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honua\Documents\Work\HDOH EALs Final (Spring 2024rev Aug 2025)\HDOH EAL Surfer Update (May 2026)\"/>
    </mc:Choice>
  </mc:AlternateContent>
  <xr:revisionPtr revIDLastSave="0" documentId="13_ncr:1_{69EB106E-1286-4C05-B47B-329232BFED41}" xr6:coauthVersionLast="47" xr6:coauthVersionMax="47" xr10:uidLastSave="{00000000-0000-0000-0000-000000000000}"/>
  <bookViews>
    <workbookView xWindow="1943" yWindow="525" windowWidth="19717" windowHeight="13133" tabRatio="924" activeTab="2" xr2:uid="{00000000-000D-0000-FFFF-FFFF00000000}"/>
  </bookViews>
  <sheets>
    <sheet name="Updates 2026" sheetId="89" r:id="rId1"/>
    <sheet name="1. EAL Surfer - Instructions" sheetId="57" r:id="rId2"/>
    <sheet name="2. EAL Surfer - Tier 1 EALs" sheetId="56" r:id="rId3"/>
    <sheet name="3. EAL Surfer - Detailed EALs" sheetId="53" r:id="rId4"/>
    <sheet name="4. EAL Surfer - Surfer Report" sheetId="52" r:id="rId5"/>
    <sheet name="5.ESL Surfer - Chemical Summary" sheetId="50" r:id="rId6"/>
    <sheet name="6. Advanced EHE Options" sheetId="66" r:id="rId7"/>
    <sheet name="7. EAL Surfer - Glossary" sheetId="51" r:id="rId8"/>
    <sheet name="Surfer Compiler HDOH" sheetId="80" state="hidden" r:id="rId9"/>
    <sheet name="Summary Table A (Soil &amp; GW)" sheetId="1" r:id="rId10"/>
    <sheet name="Summary Table B (Soil &amp; GW)" sheetId="2" r:id="rId11"/>
    <sheet name="Summary Table C (IA &amp; Soil Vap)" sheetId="5" r:id="rId12"/>
    <sheet name="Summary Table D (SW)" sheetId="6" r:id="rId13"/>
    <sheet name="Summary Table E Leaching SV" sheetId="93" r:id="rId14"/>
    <sheet name="Summary Table F (CAS #s)" sheetId="94" r:id="rId15"/>
    <sheet name="Table A-1 (DW,SW&gt;150m)" sheetId="7" r:id="rId16"/>
    <sheet name="Table A-2 (DW, SW&lt;150m)" sheetId="8" r:id="rId17"/>
    <sheet name="Table B-1 (NDW,SW&gt;150m)" sheetId="9" r:id="rId18"/>
    <sheet name="Table B-2 (NDW, SW&lt;150m)" sheetId="10" r:id="rId19"/>
    <sheet name="Table C-1a (GW to IA)" sheetId="15" r:id="rId20"/>
    <sheet name="Table C-1b (Soil to IA)" sheetId="16" r:id="rId21"/>
    <sheet name="Table C-2 (Soil Vapor to IA)" sheetId="17" r:id="rId22"/>
    <sheet name="Table C-3 (Indoor Air Goals)" sheetId="18" r:id="rId23"/>
    <sheet name="Table D-1a (DW, SW&lt;150m)" sheetId="19" r:id="rId24"/>
    <sheet name="Table D-1b (DW, SW&gt;150m)" sheetId="20" r:id="rId25"/>
    <sheet name="Table D-1c (NDW, SW&lt;150m)" sheetId="70" r:id="rId26"/>
    <sheet name="Table D-1d (NDW, SW&gt;150m)" sheetId="69" r:id="rId27"/>
    <sheet name="Table D-2a (SW-Fresh)" sheetId="21" r:id="rId28"/>
    <sheet name="Table D-2b (SW-Marine)" sheetId="22" r:id="rId29"/>
    <sheet name="Table D-2c (SW-Estuary)" sheetId="23" r:id="rId30"/>
    <sheet name="Table D-3a (Final DW-Toxicity)" sheetId="25" r:id="rId31"/>
    <sheet name="Table D-3b  (Risk-Based DW ALs)" sheetId="33" r:id="rId32"/>
    <sheet name="Table D-4a (Aquatic Goals Sum)" sheetId="63" r:id="rId33"/>
    <sheet name="Table D-4b (Chronic Summary)" sheetId="27" r:id="rId34"/>
    <sheet name="Table D-4c (Acute Summary)" sheetId="62" r:id="rId35"/>
    <sheet name="Table D-4d (Aquatic Hawaii)" sheetId="67" r:id="rId36"/>
    <sheet name="Table D-4e (Aquatic USEPA, etc)" sheetId="29" r:id="rId37"/>
    <sheet name="Table D-4f (Aquatic Bioacc.)" sheetId="30" r:id="rId38"/>
    <sheet name="Table D-5 (Agricultural Use)" sheetId="31" r:id="rId39"/>
    <sheet name="Table E-1 Leaching Soil" sheetId="34" r:id="rId40"/>
    <sheet name="Table E-2 Leaching Soil Vapor" sheetId="92" r:id="rId41"/>
    <sheet name="Table F-1 (Ceiling Level Index)" sheetId="35" r:id="rId42"/>
    <sheet name="Table F-2 (Exposed Soils)" sheetId="36" r:id="rId43"/>
    <sheet name="Table F-3 (Isolated Soils)" sheetId="37" r:id="rId44"/>
    <sheet name="Table G-1 (GW-DW Ceiling)" sheetId="38" r:id="rId45"/>
    <sheet name="Table G-2 (GW-NDW Ceiling)" sheetId="39" r:id="rId46"/>
    <sheet name="Table G-3 (SW-DW Ceiling)" sheetId="40" r:id="rId47"/>
    <sheet name="Table G-4 (SW-NDW Ceiling)" sheetId="41" r:id="rId48"/>
    <sheet name="Table H (Constants)" sheetId="42" r:id="rId49"/>
    <sheet name="Table I-1 (Unrestricted SoilDE)" sheetId="46" r:id="rId50"/>
    <sheet name="Table I-2 (C-I Soil DE)" sheetId="47" r:id="rId51"/>
    <sheet name="Table I-3 (Construction DE)" sheetId="48" r:id="rId52"/>
    <sheet name="Table J (Target Health Effects)" sheetId="49" r:id="rId53"/>
    <sheet name="Table K (Soil Background)" sheetId="60" r:id="rId54"/>
    <sheet name="Table L (Soil Ecotoxicity)" sheetId="59" r:id="rId55"/>
  </sheets>
  <definedNames>
    <definedName name="_xlnm.Print_Area" localSheetId="1">'1. EAL Surfer - Instructions'!$B$2:$J$28</definedName>
    <definedName name="_xlnm.Print_Area" localSheetId="2">'2. EAL Surfer - Tier 1 EALs'!$A$1:$K$39</definedName>
    <definedName name="_xlnm.Print_Area" localSheetId="3">'3. EAL Surfer - Detailed EALs'!$A$1:$P$36</definedName>
    <definedName name="_xlnm.Print_Area" localSheetId="4">'4. EAL Surfer - Surfer Report'!$A$1:$H$50</definedName>
    <definedName name="_xlnm.Print_Area" localSheetId="5">'5.ESL Surfer - Chemical Summary'!$B$1:$F$55</definedName>
    <definedName name="_xlnm.Print_Area" localSheetId="6">'6. Advanced EHE Options'!$A$1:$M$22</definedName>
    <definedName name="_xlnm.Print_Area" localSheetId="9">'Summary Table A (Soil &amp; GW)'!$A$1:$E$175</definedName>
    <definedName name="_xlnm.Print_Area" localSheetId="13">'Summary Table E Leaching SV'!$A$1:$C$162</definedName>
    <definedName name="_xlnm.Print_Area" localSheetId="36">'Table D-4e (Aquatic USEPA, etc)'!$A$4:$M$179</definedName>
    <definedName name="_xlnm.Print_Area" localSheetId="48">'Table H (Constants)'!$A$1:$W$192</definedName>
    <definedName name="_xlnm.Print_Area" localSheetId="53">'Table K (Soil Background)'!$A$1:$E$168</definedName>
    <definedName name="_xlnm.Print_Titles" localSheetId="9">'Summary Table A (Soil &amp; GW)'!$1:$4</definedName>
    <definedName name="_xlnm.Print_Titles" localSheetId="10">'Summary Table B (Soil &amp; GW)'!$1:$4</definedName>
    <definedName name="_xlnm.Print_Titles" localSheetId="11">'Summary Table C (IA &amp; Soil Vap)'!$1:$4</definedName>
    <definedName name="_xlnm.Print_Titles" localSheetId="12">'Summary Table D (SW)'!$1:$4</definedName>
    <definedName name="_xlnm.Print_Titles" localSheetId="13">'Summary Table E Leaching SV'!$1:$3</definedName>
    <definedName name="_xlnm.Print_Titles" localSheetId="15">'Table A-1 (DW,SW&gt;150m)'!$1:$6</definedName>
    <definedName name="_xlnm.Print_Titles" localSheetId="16">'Table A-2 (DW, SW&lt;150m)'!$1:$6</definedName>
    <definedName name="_xlnm.Print_Titles" localSheetId="17">'Table B-1 (NDW,SW&gt;150m)'!$1:$6</definedName>
    <definedName name="_xlnm.Print_Titles" localSheetId="18">'Table B-2 (NDW, SW&lt;150m)'!$1:$6</definedName>
    <definedName name="_xlnm.Print_Titles" localSheetId="19">'Table C-1a (GW to IA)'!$1:$4</definedName>
    <definedName name="_xlnm.Print_Titles" localSheetId="20">'Table C-1b (Soil to IA)'!$1:$4</definedName>
    <definedName name="_xlnm.Print_Titles" localSheetId="21">'Table C-2 (Soil Vapor to IA)'!$1:$6</definedName>
    <definedName name="_xlnm.Print_Titles" localSheetId="22">'Table C-3 (Indoor Air Goals)'!$1:$7</definedName>
    <definedName name="_xlnm.Print_Titles" localSheetId="23">'Table D-1a (DW, SW&lt;150m)'!$1:$5</definedName>
    <definedName name="_xlnm.Print_Titles" localSheetId="24">'Table D-1b (DW, SW&gt;150m)'!$1:$5</definedName>
    <definedName name="_xlnm.Print_Titles" localSheetId="25">'Table D-1c (NDW, SW&lt;150m)'!$1:$5</definedName>
    <definedName name="_xlnm.Print_Titles" localSheetId="26">'Table D-1d (NDW, SW&gt;150m)'!$1:$5</definedName>
    <definedName name="_xlnm.Print_Titles" localSheetId="27">'Table D-2a (SW-Fresh)'!$1:$5</definedName>
    <definedName name="_xlnm.Print_Titles" localSheetId="28">'Table D-2b (SW-Marine)'!$1:$5</definedName>
    <definedName name="_xlnm.Print_Titles" localSheetId="29">'Table D-2c (SW-Estuary)'!$1:$5</definedName>
    <definedName name="_xlnm.Print_Titles" localSheetId="30">'Table D-3a (Final DW-Toxicity)'!$1:$4</definedName>
    <definedName name="_xlnm.Print_Titles" localSheetId="31">'Table D-3b  (Risk-Based DW ALs)'!$1:$4</definedName>
    <definedName name="_xlnm.Print_Titles" localSheetId="32">'Table D-4a (Aquatic Goals Sum)'!$1:$4</definedName>
    <definedName name="_xlnm.Print_Titles" localSheetId="33">'Table D-4b (Chronic Summary)'!$1:$4</definedName>
    <definedName name="_xlnm.Print_Titles" localSheetId="34">'Table D-4c (Acute Summary)'!$1:$4</definedName>
    <definedName name="_xlnm.Print_Titles" localSheetId="35">'Table D-4d (Aquatic Hawaii)'!$1:$4</definedName>
    <definedName name="_xlnm.Print_Titles" localSheetId="36">'Table D-4e (Aquatic USEPA, etc)'!$1:$5</definedName>
    <definedName name="_xlnm.Print_Titles" localSheetId="37">'Table D-4f (Aquatic Bioacc.)'!$1:$4</definedName>
    <definedName name="_xlnm.Print_Titles" localSheetId="38">'Table D-5 (Agricultural Use)'!$1:$4</definedName>
    <definedName name="_xlnm.Print_Titles" localSheetId="39">'Table E-1 Leaching Soil'!$1:$6</definedName>
    <definedName name="_xlnm.Print_Titles" localSheetId="40">'Table E-2 Leaching Soil Vapor'!$1:$4</definedName>
    <definedName name="_xlnm.Print_Titles" localSheetId="42">'Table F-2 (Exposed Soils)'!$1:$3</definedName>
    <definedName name="_xlnm.Print_Titles" localSheetId="43">'Table F-3 (Isolated Soils)'!$1:$3</definedName>
    <definedName name="_xlnm.Print_Titles" localSheetId="44">'Table G-1 (GW-DW Ceiling)'!$1:$3</definedName>
    <definedName name="_xlnm.Print_Titles" localSheetId="45">'Table G-2 (GW-NDW Ceiling)'!$1:$3</definedName>
    <definedName name="_xlnm.Print_Titles" localSheetId="46">'Table G-3 (SW-DW Ceiling)'!$1:$3</definedName>
    <definedName name="_xlnm.Print_Titles" localSheetId="47">'Table G-4 (SW-NDW Ceiling)'!$1:$3</definedName>
    <definedName name="_xlnm.Print_Titles" localSheetId="48">'Table H (Constants)'!$1:$9</definedName>
    <definedName name="_xlnm.Print_Titles" localSheetId="49">'Table I-1 (Unrestricted SoilDE)'!$1:$5</definedName>
    <definedName name="_xlnm.Print_Titles" localSheetId="50">'Table I-2 (C-I Soil DE)'!$1:$5</definedName>
    <definedName name="_xlnm.Print_Titles" localSheetId="51">'Table I-3 (Construction DE)'!$1:$5</definedName>
    <definedName name="_xlnm.Print_Titles" localSheetId="52">'Table J (Target Health Effects)'!$1:$4</definedName>
    <definedName name="_xlnm.Print_Titles" localSheetId="53">'Table K (Soil Background)'!$1:$3</definedName>
    <definedName name="_xlnm.Print_Titles" localSheetId="54">'Table L (Soil Ecotoxicity)'!$1:$4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52" l="1"/>
  <c r="H3" i="56" l="1"/>
  <c r="B3" i="53" l="1"/>
  <c r="C35" i="50"/>
  <c r="C34" i="50"/>
  <c r="C33" i="50"/>
  <c r="C32" i="50"/>
  <c r="C31" i="50"/>
  <c r="C30" i="50"/>
  <c r="D29" i="50"/>
  <c r="C29" i="50"/>
  <c r="C28" i="50"/>
  <c r="C22" i="50"/>
  <c r="C20" i="50"/>
  <c r="C18" i="50"/>
  <c r="C12" i="50"/>
  <c r="C11" i="50"/>
  <c r="C8" i="50"/>
  <c r="C98" i="80"/>
  <c r="C94" i="80"/>
  <c r="C85" i="80"/>
  <c r="C81" i="80"/>
  <c r="C78" i="80"/>
  <c r="C77" i="80"/>
  <c r="C75" i="80"/>
  <c r="C70" i="80"/>
  <c r="C66" i="80"/>
  <c r="C65" i="80"/>
  <c r="C63" i="80"/>
  <c r="C62" i="80"/>
  <c r="C59" i="80"/>
  <c r="C58" i="80"/>
  <c r="C55" i="80"/>
  <c r="C54" i="80"/>
  <c r="C53" i="80"/>
  <c r="C52" i="80"/>
  <c r="C49" i="80"/>
  <c r="C48" i="80"/>
  <c r="C45" i="80"/>
  <c r="C44" i="80"/>
  <c r="C43" i="80"/>
  <c r="C24" i="50"/>
  <c r="C23" i="50"/>
  <c r="C21" i="50"/>
  <c r="C19" i="50"/>
  <c r="C13" i="50"/>
  <c r="C10" i="50"/>
  <c r="C9" i="50"/>
  <c r="C97" i="80"/>
  <c r="C93" i="80"/>
  <c r="C86" i="80"/>
  <c r="C82" i="80"/>
  <c r="H2" i="56"/>
  <c r="C14" i="50" l="1"/>
  <c r="C15" i="50"/>
  <c r="M34" i="56"/>
  <c r="M35" i="56"/>
  <c r="M36" i="56"/>
  <c r="M37" i="56"/>
  <c r="M38" i="56"/>
  <c r="M39" i="56"/>
  <c r="M40" i="56"/>
  <c r="M41" i="56"/>
  <c r="M42" i="56"/>
  <c r="M43" i="56"/>
  <c r="M44" i="56"/>
  <c r="M45" i="56"/>
  <c r="M46" i="56"/>
  <c r="M47" i="56"/>
  <c r="M48" i="56"/>
  <c r="M49" i="56"/>
  <c r="M50" i="56"/>
  <c r="M51" i="56"/>
  <c r="M52" i="56"/>
  <c r="M53" i="56"/>
  <c r="M54" i="56"/>
  <c r="M55" i="56"/>
  <c r="M56" i="56"/>
  <c r="M57" i="56"/>
  <c r="M58" i="56"/>
  <c r="M59" i="56"/>
  <c r="M60" i="56"/>
  <c r="M61" i="56"/>
  <c r="M62" i="56"/>
  <c r="M63" i="56"/>
  <c r="M64" i="56"/>
  <c r="M65" i="56"/>
  <c r="M66" i="56"/>
  <c r="M67" i="56"/>
  <c r="M68" i="56"/>
  <c r="M69" i="56"/>
  <c r="M70" i="56"/>
  <c r="M71" i="56"/>
  <c r="M72" i="56"/>
  <c r="M73" i="56"/>
  <c r="M74" i="56"/>
  <c r="M75" i="56"/>
  <c r="M76" i="56"/>
  <c r="M77" i="56"/>
  <c r="M78" i="56"/>
  <c r="M79" i="56"/>
  <c r="M80" i="56"/>
  <c r="M81" i="56"/>
  <c r="M82" i="56"/>
  <c r="M83" i="56"/>
  <c r="M84" i="56"/>
  <c r="M85" i="56"/>
  <c r="M86" i="56"/>
  <c r="M87" i="56"/>
  <c r="M88" i="56"/>
  <c r="M89" i="56"/>
  <c r="M90" i="56"/>
  <c r="M91" i="56"/>
  <c r="M92" i="56"/>
  <c r="M93" i="56"/>
  <c r="M94" i="56"/>
  <c r="M95" i="56"/>
  <c r="M96" i="56"/>
  <c r="M97" i="56"/>
  <c r="M98" i="56"/>
  <c r="M99" i="56"/>
  <c r="M100" i="56"/>
  <c r="M101" i="56"/>
  <c r="M102" i="56"/>
  <c r="M103" i="56"/>
  <c r="M104" i="56"/>
  <c r="M105" i="56"/>
  <c r="M106" i="56"/>
  <c r="M107" i="56"/>
  <c r="M108" i="56"/>
  <c r="M109" i="56"/>
  <c r="M110" i="56"/>
  <c r="M111" i="56"/>
  <c r="M112" i="56"/>
  <c r="M113" i="56"/>
  <c r="M114" i="56"/>
  <c r="M115" i="56"/>
  <c r="M116" i="56"/>
  <c r="M117" i="56"/>
  <c r="M118" i="56"/>
  <c r="M119" i="56"/>
  <c r="M120" i="56"/>
  <c r="M121" i="56"/>
  <c r="M122" i="56"/>
  <c r="M123" i="56"/>
  <c r="M124" i="56"/>
  <c r="M125" i="56"/>
  <c r="M126" i="56"/>
  <c r="M127" i="56"/>
  <c r="M128" i="56"/>
  <c r="M129" i="56"/>
  <c r="M130" i="56"/>
  <c r="M131" i="56"/>
  <c r="M132" i="56"/>
  <c r="M133" i="56"/>
  <c r="M134" i="56"/>
  <c r="M135" i="56"/>
  <c r="M136" i="56"/>
  <c r="M137" i="56"/>
  <c r="M138" i="56"/>
  <c r="M139" i="56"/>
  <c r="M140" i="56"/>
  <c r="M141" i="56"/>
  <c r="M142" i="56"/>
  <c r="M143" i="56"/>
  <c r="M144" i="56"/>
  <c r="M145" i="56"/>
  <c r="M146" i="56"/>
  <c r="M147" i="56"/>
  <c r="M148" i="56"/>
  <c r="M149" i="56"/>
  <c r="M150" i="56"/>
  <c r="M151" i="56"/>
  <c r="M152" i="56"/>
  <c r="M153" i="56"/>
  <c r="M154" i="56"/>
  <c r="M155" i="56"/>
  <c r="M156" i="56"/>
  <c r="M157" i="56"/>
  <c r="M158" i="56"/>
  <c r="M159" i="56"/>
  <c r="M160" i="56"/>
  <c r="M161" i="56"/>
  <c r="M162" i="56"/>
  <c r="M163" i="56"/>
  <c r="M164" i="56"/>
  <c r="M165" i="56"/>
  <c r="M166" i="56"/>
  <c r="M167" i="56"/>
  <c r="M168" i="56"/>
  <c r="M169" i="56"/>
  <c r="M170" i="56"/>
  <c r="M171" i="56"/>
  <c r="M172" i="56"/>
  <c r="M173" i="56"/>
  <c r="M174" i="56"/>
  <c r="M175" i="56"/>
  <c r="M176" i="56"/>
  <c r="M177" i="56"/>
  <c r="M178" i="56"/>
  <c r="M179" i="56"/>
  <c r="M180" i="56"/>
  <c r="M181" i="56"/>
  <c r="M182" i="56"/>
  <c r="M183" i="56"/>
  <c r="M184" i="56"/>
  <c r="M185" i="56"/>
  <c r="M186" i="56"/>
  <c r="M33" i="56"/>
  <c r="B5" i="50" l="1"/>
  <c r="E16" i="52"/>
  <c r="C4" i="80"/>
  <c r="C52" i="50" l="1"/>
  <c r="C51" i="50"/>
  <c r="C50" i="50"/>
  <c r="C49" i="50"/>
  <c r="C48" i="50"/>
  <c r="C47" i="50"/>
  <c r="C46" i="50"/>
  <c r="C45" i="50"/>
  <c r="C44" i="50"/>
  <c r="C43" i="50"/>
  <c r="C42" i="50"/>
  <c r="C41" i="50"/>
  <c r="C40" i="50"/>
  <c r="C39" i="50"/>
  <c r="C38" i="50"/>
  <c r="Y45" i="56"/>
  <c r="W45" i="56"/>
  <c r="E79" i="60" l="1"/>
  <c r="E5" i="60"/>
  <c r="E6" i="60"/>
  <c r="E7" i="60"/>
  <c r="E8" i="60"/>
  <c r="E9" i="60"/>
  <c r="E10" i="60"/>
  <c r="E11" i="60"/>
  <c r="E12" i="60"/>
  <c r="E13" i="60"/>
  <c r="E14" i="60"/>
  <c r="E15" i="60"/>
  <c r="E17" i="60"/>
  <c r="E18" i="60"/>
  <c r="E19" i="60"/>
  <c r="E20" i="60"/>
  <c r="E21" i="60"/>
  <c r="E22" i="60"/>
  <c r="E23" i="60"/>
  <c r="E24" i="60"/>
  <c r="E25" i="60"/>
  <c r="E26" i="60"/>
  <c r="E27" i="60"/>
  <c r="E28" i="60"/>
  <c r="E29" i="60"/>
  <c r="E30" i="60"/>
  <c r="E31" i="60"/>
  <c r="E33" i="60"/>
  <c r="E34" i="60"/>
  <c r="E35" i="60"/>
  <c r="E36" i="60"/>
  <c r="E37" i="60"/>
  <c r="E38" i="60"/>
  <c r="E39" i="60"/>
  <c r="E40" i="60"/>
  <c r="E41" i="60"/>
  <c r="E42" i="60"/>
  <c r="E43" i="60"/>
  <c r="E44" i="60"/>
  <c r="E45" i="60"/>
  <c r="E46" i="60"/>
  <c r="E47" i="60"/>
  <c r="E48" i="60"/>
  <c r="E49" i="60"/>
  <c r="E50" i="60"/>
  <c r="E51" i="60"/>
  <c r="E52" i="60"/>
  <c r="E53" i="60"/>
  <c r="E54" i="60"/>
  <c r="E55" i="60"/>
  <c r="E56" i="60"/>
  <c r="E57" i="60"/>
  <c r="E58" i="60"/>
  <c r="E59" i="60"/>
  <c r="E60" i="60"/>
  <c r="E61" i="60"/>
  <c r="E62" i="60"/>
  <c r="E63" i="60"/>
  <c r="E64" i="60"/>
  <c r="E65" i="60"/>
  <c r="E66" i="60"/>
  <c r="E67" i="60"/>
  <c r="E68" i="60"/>
  <c r="E69" i="60"/>
  <c r="E70" i="60"/>
  <c r="E71" i="60"/>
  <c r="E72" i="60"/>
  <c r="E73" i="60"/>
  <c r="E74" i="60"/>
  <c r="E75" i="60"/>
  <c r="E76" i="60"/>
  <c r="E77" i="60"/>
  <c r="E78" i="60"/>
  <c r="E80" i="60"/>
  <c r="E81" i="60"/>
  <c r="E82" i="60"/>
  <c r="E83" i="60"/>
  <c r="E84" i="60"/>
  <c r="E85" i="60"/>
  <c r="E86" i="60"/>
  <c r="E87" i="60"/>
  <c r="E88" i="60"/>
  <c r="E89" i="60"/>
  <c r="E90" i="60"/>
  <c r="E91" i="60"/>
  <c r="E92" i="60"/>
  <c r="E93" i="60"/>
  <c r="E94" i="60"/>
  <c r="E95" i="60"/>
  <c r="E96" i="60"/>
  <c r="E97" i="60"/>
  <c r="E98" i="60"/>
  <c r="E99" i="60"/>
  <c r="E100" i="60"/>
  <c r="E101" i="60"/>
  <c r="E102" i="60"/>
  <c r="E103" i="60"/>
  <c r="E104" i="60"/>
  <c r="E105" i="60"/>
  <c r="E106" i="60"/>
  <c r="E107" i="60"/>
  <c r="E108" i="60"/>
  <c r="E109" i="60"/>
  <c r="E110" i="60"/>
  <c r="E111" i="60"/>
  <c r="E112" i="60"/>
  <c r="E113" i="60"/>
  <c r="E114" i="60"/>
  <c r="E115" i="60"/>
  <c r="E116" i="60"/>
  <c r="E117" i="60"/>
  <c r="E118" i="60"/>
  <c r="E119" i="60"/>
  <c r="E120" i="60"/>
  <c r="E121" i="60"/>
  <c r="E122" i="60"/>
  <c r="E123" i="60"/>
  <c r="E124" i="60"/>
  <c r="E125" i="60"/>
  <c r="E126" i="60"/>
  <c r="E127" i="60"/>
  <c r="E128" i="60"/>
  <c r="E129" i="60"/>
  <c r="E130" i="60"/>
  <c r="E131" i="60"/>
  <c r="E132" i="60"/>
  <c r="E133" i="60"/>
  <c r="E134" i="60"/>
  <c r="E135" i="60"/>
  <c r="E136" i="60"/>
  <c r="E137" i="60"/>
  <c r="E138" i="60"/>
  <c r="E139" i="60"/>
  <c r="E140" i="60"/>
  <c r="E141" i="60"/>
  <c r="E142" i="60"/>
  <c r="E143" i="60"/>
  <c r="E144" i="60"/>
  <c r="E145" i="60"/>
  <c r="E146" i="60"/>
  <c r="E147" i="60"/>
  <c r="E148" i="60"/>
  <c r="E149" i="60"/>
  <c r="E150" i="60"/>
  <c r="E151" i="60"/>
  <c r="E152" i="60"/>
  <c r="E153" i="60"/>
  <c r="E154" i="60"/>
  <c r="E155" i="60"/>
  <c r="E156" i="60"/>
  <c r="E157" i="60"/>
  <c r="E158" i="60"/>
  <c r="E159" i="60"/>
  <c r="E4" i="60"/>
  <c r="D18" i="53"/>
  <c r="F15" i="50"/>
  <c r="F14" i="50"/>
  <c r="W34" i="56"/>
  <c r="W35" i="56"/>
  <c r="W36" i="56"/>
  <c r="X36" i="56" s="1"/>
  <c r="W37" i="56"/>
  <c r="X37" i="56" s="1"/>
  <c r="Y37" i="56" s="1"/>
  <c r="W38" i="56"/>
  <c r="X38" i="56" s="1"/>
  <c r="Y38" i="56" s="1"/>
  <c r="W39" i="56"/>
  <c r="X39" i="56" s="1"/>
  <c r="Y39" i="56" s="1"/>
  <c r="W40" i="56"/>
  <c r="W41" i="56"/>
  <c r="W42" i="56"/>
  <c r="W43" i="56"/>
  <c r="X43" i="56" s="1"/>
  <c r="Y43" i="56" s="1"/>
  <c r="W44" i="56"/>
  <c r="W46" i="56"/>
  <c r="W47" i="56"/>
  <c r="X47" i="56" s="1"/>
  <c r="Y47" i="56" s="1"/>
  <c r="W48" i="56"/>
  <c r="X48" i="56" s="1"/>
  <c r="Y48" i="56" s="1"/>
  <c r="W49" i="56"/>
  <c r="X49" i="56" s="1"/>
  <c r="Y49" i="56" s="1"/>
  <c r="W50" i="56"/>
  <c r="X50" i="56" s="1"/>
  <c r="Y50" i="56" s="1"/>
  <c r="W51" i="56"/>
  <c r="X51" i="56" s="1"/>
  <c r="Y51" i="56" s="1"/>
  <c r="W52" i="56"/>
  <c r="W53" i="56"/>
  <c r="W54" i="56"/>
  <c r="W55" i="56"/>
  <c r="W56" i="56"/>
  <c r="X56" i="56" s="1"/>
  <c r="Y56" i="56" s="1"/>
  <c r="W57" i="56"/>
  <c r="W58" i="56"/>
  <c r="W59" i="56"/>
  <c r="X59" i="56" s="1"/>
  <c r="Y59" i="56" s="1"/>
  <c r="W60" i="56"/>
  <c r="W61" i="56"/>
  <c r="W62" i="56"/>
  <c r="W63" i="56"/>
  <c r="X63" i="56" s="1"/>
  <c r="W64" i="56"/>
  <c r="X64" i="56" s="1"/>
  <c r="Y64" i="56" s="1"/>
  <c r="W65" i="56"/>
  <c r="W66" i="56"/>
  <c r="W67" i="56"/>
  <c r="W68" i="56"/>
  <c r="W69" i="56"/>
  <c r="W70" i="56"/>
  <c r="W71" i="56"/>
  <c r="W72" i="56"/>
  <c r="W73" i="56"/>
  <c r="X73" i="56" s="1"/>
  <c r="Y73" i="56" s="1"/>
  <c r="W74" i="56"/>
  <c r="W75" i="56"/>
  <c r="W76" i="56"/>
  <c r="W77" i="56"/>
  <c r="X77" i="56" s="1"/>
  <c r="Y77" i="56" s="1"/>
  <c r="W78" i="56"/>
  <c r="X78" i="56" s="1"/>
  <c r="Y78" i="56" s="1"/>
  <c r="W79" i="56"/>
  <c r="X79" i="56" s="1"/>
  <c r="Y79" i="56" s="1"/>
  <c r="W80" i="56"/>
  <c r="W81" i="56"/>
  <c r="W82" i="56"/>
  <c r="W83" i="56"/>
  <c r="W84" i="56"/>
  <c r="W85" i="56"/>
  <c r="W86" i="56"/>
  <c r="X86" i="56" s="1"/>
  <c r="Y86" i="56" s="1"/>
  <c r="W87" i="56"/>
  <c r="X87" i="56" s="1"/>
  <c r="Y87" i="56" s="1"/>
  <c r="W88" i="56"/>
  <c r="X88" i="56" s="1"/>
  <c r="Y88" i="56" s="1"/>
  <c r="W89" i="56"/>
  <c r="X89" i="56" s="1"/>
  <c r="Y89" i="56" s="1"/>
  <c r="W90" i="56"/>
  <c r="W91" i="56"/>
  <c r="W92" i="56"/>
  <c r="W93" i="56"/>
  <c r="W94" i="56"/>
  <c r="W95" i="56"/>
  <c r="X95" i="56" s="1"/>
  <c r="Y95" i="56" s="1"/>
  <c r="W96" i="56"/>
  <c r="X96" i="56" s="1"/>
  <c r="Y96" i="56" s="1"/>
  <c r="W97" i="56"/>
  <c r="W98" i="56"/>
  <c r="W99" i="56"/>
  <c r="W100" i="56"/>
  <c r="X100" i="56" s="1"/>
  <c r="Y100" i="56" s="1"/>
  <c r="W101" i="56"/>
  <c r="W102" i="56"/>
  <c r="X102" i="56" s="1"/>
  <c r="Y102" i="56" s="1"/>
  <c r="W103" i="56"/>
  <c r="X103" i="56" s="1"/>
  <c r="Y103" i="56" s="1"/>
  <c r="W104" i="56"/>
  <c r="X104" i="56" s="1"/>
  <c r="Y104" i="56" s="1"/>
  <c r="W105" i="56"/>
  <c r="X105" i="56" s="1"/>
  <c r="Y105" i="56" s="1"/>
  <c r="W106" i="56"/>
  <c r="X106" i="56" s="1"/>
  <c r="Y106" i="56" s="1"/>
  <c r="W107" i="56"/>
  <c r="X107" i="56" s="1"/>
  <c r="Y107" i="56" s="1"/>
  <c r="W108" i="56"/>
  <c r="W109" i="56"/>
  <c r="X109" i="56" s="1"/>
  <c r="Y109" i="56" s="1"/>
  <c r="W110" i="56"/>
  <c r="W111" i="56"/>
  <c r="W113" i="56"/>
  <c r="W114" i="56"/>
  <c r="X114" i="56" s="1"/>
  <c r="Y114" i="56" s="1"/>
  <c r="W115" i="56"/>
  <c r="W116" i="56"/>
  <c r="X116" i="56" s="1"/>
  <c r="Y116" i="56" s="1"/>
  <c r="W117" i="56"/>
  <c r="X117" i="56" s="1"/>
  <c r="Y117" i="56" s="1"/>
  <c r="W118" i="56"/>
  <c r="W119" i="56"/>
  <c r="X119" i="56" s="1"/>
  <c r="Y119" i="56" s="1"/>
  <c r="W120" i="56"/>
  <c r="X120" i="56" s="1"/>
  <c r="Y120" i="56" s="1"/>
  <c r="W121" i="56"/>
  <c r="X121" i="56" s="1"/>
  <c r="Y121" i="56" s="1"/>
  <c r="W122" i="56"/>
  <c r="X122" i="56" s="1"/>
  <c r="Y122" i="56" s="1"/>
  <c r="W123" i="56"/>
  <c r="X123" i="56" s="1"/>
  <c r="Y123" i="56" s="1"/>
  <c r="W124" i="56"/>
  <c r="X124" i="56" s="1"/>
  <c r="Y124" i="56" s="1"/>
  <c r="W125" i="56"/>
  <c r="X125" i="56" s="1"/>
  <c r="Y125" i="56" s="1"/>
  <c r="W126" i="56"/>
  <c r="W127" i="56"/>
  <c r="W128" i="56"/>
  <c r="X128" i="56" s="1"/>
  <c r="Y128" i="56" s="1"/>
  <c r="W129" i="56"/>
  <c r="W130" i="56"/>
  <c r="W131" i="56"/>
  <c r="W132" i="56"/>
  <c r="W133" i="56"/>
  <c r="W134" i="56"/>
  <c r="W135" i="56"/>
  <c r="W136" i="56"/>
  <c r="W137" i="56"/>
  <c r="W138" i="56"/>
  <c r="W139" i="56"/>
  <c r="W140" i="56"/>
  <c r="X140" i="56" s="1"/>
  <c r="Y140" i="56" s="1"/>
  <c r="W141" i="56"/>
  <c r="W142" i="56"/>
  <c r="W143" i="56"/>
  <c r="X143" i="56" s="1"/>
  <c r="Y143" i="56" s="1"/>
  <c r="W144" i="56"/>
  <c r="X144" i="56" s="1"/>
  <c r="Y144" i="56" s="1"/>
  <c r="W145" i="56"/>
  <c r="X145" i="56" s="1"/>
  <c r="Y145" i="56" s="1"/>
  <c r="W146" i="56"/>
  <c r="X146" i="56" s="1"/>
  <c r="Y146" i="56" s="1"/>
  <c r="W147" i="56"/>
  <c r="W148" i="56"/>
  <c r="X148" i="56" s="1"/>
  <c r="Y148" i="56" s="1"/>
  <c r="W149" i="56"/>
  <c r="X149" i="56" s="1"/>
  <c r="W150" i="56"/>
  <c r="X150" i="56" s="1"/>
  <c r="Y150" i="56" s="1"/>
  <c r="W151" i="56"/>
  <c r="W152" i="56"/>
  <c r="W153" i="56"/>
  <c r="W154" i="56"/>
  <c r="X154" i="56" s="1"/>
  <c r="Y154" i="56" s="1"/>
  <c r="W155" i="56"/>
  <c r="W156" i="56"/>
  <c r="X156" i="56" s="1"/>
  <c r="Y156" i="56" s="1"/>
  <c r="W157" i="56"/>
  <c r="W158" i="56"/>
  <c r="W159" i="56"/>
  <c r="W160" i="56"/>
  <c r="W161" i="56"/>
  <c r="X161" i="56" s="1"/>
  <c r="Y161" i="56" s="1"/>
  <c r="W162" i="56"/>
  <c r="X162" i="56" s="1"/>
  <c r="Y162" i="56" s="1"/>
  <c r="W163" i="56"/>
  <c r="W164" i="56"/>
  <c r="W165" i="56"/>
  <c r="X165" i="56" s="1"/>
  <c r="Y165" i="56" s="1"/>
  <c r="W166" i="56"/>
  <c r="W167" i="56"/>
  <c r="W168" i="56"/>
  <c r="X168" i="56" s="1"/>
  <c r="W169" i="56"/>
  <c r="W170" i="56"/>
  <c r="W171" i="56"/>
  <c r="W172" i="56"/>
  <c r="W173" i="56"/>
  <c r="X173" i="56" s="1"/>
  <c r="Y173" i="56" s="1"/>
  <c r="W174" i="56"/>
  <c r="X174" i="56" s="1"/>
  <c r="Y174" i="56" s="1"/>
  <c r="W175" i="56"/>
  <c r="X175" i="56" s="1"/>
  <c r="Y175" i="56" s="1"/>
  <c r="W176" i="56"/>
  <c r="X176" i="56" s="1"/>
  <c r="Y176" i="56" s="1"/>
  <c r="W177" i="56"/>
  <c r="W178" i="56"/>
  <c r="W179" i="56"/>
  <c r="W180" i="56"/>
  <c r="X180" i="56" s="1"/>
  <c r="Y180" i="56" s="1"/>
  <c r="W181" i="56"/>
  <c r="X181" i="56" s="1"/>
  <c r="Y181" i="56" s="1"/>
  <c r="W182" i="56"/>
  <c r="X182" i="56" s="1"/>
  <c r="Y182" i="56" s="1"/>
  <c r="W183" i="56"/>
  <c r="W184" i="56"/>
  <c r="W185" i="56"/>
  <c r="W186" i="56"/>
  <c r="W33" i="56"/>
  <c r="Y135" i="56"/>
  <c r="X127" i="56"/>
  <c r="Y127" i="56" s="1"/>
  <c r="C10" i="80"/>
  <c r="X46" i="56"/>
  <c r="X167" i="56"/>
  <c r="X137" i="56"/>
  <c r="Y137" i="56" s="1"/>
  <c r="C6" i="80"/>
  <c r="C7" i="80"/>
  <c r="E16" i="80" s="1"/>
  <c r="C60" i="80"/>
  <c r="D87" i="80"/>
  <c r="H37" i="52" s="1"/>
  <c r="D46" i="80"/>
  <c r="H24" i="52" s="1"/>
  <c r="D19" i="52"/>
  <c r="D20" i="52"/>
  <c r="D21" i="52"/>
  <c r="X44" i="56"/>
  <c r="Y44" i="56" s="1"/>
  <c r="X170" i="56"/>
  <c r="Y170" i="56" s="1"/>
  <c r="X171" i="56"/>
  <c r="Y171" i="56" s="1"/>
  <c r="X172" i="56"/>
  <c r="Y172" i="56" s="1"/>
  <c r="X177" i="56"/>
  <c r="Y177" i="56" s="1"/>
  <c r="X178" i="56"/>
  <c r="Y178" i="56" s="1"/>
  <c r="Y179" i="56"/>
  <c r="X183" i="56"/>
  <c r="Y183" i="56" s="1"/>
  <c r="X184" i="56"/>
  <c r="Y184" i="56" s="1"/>
  <c r="X185" i="56"/>
  <c r="Y185" i="56" s="1"/>
  <c r="X186" i="56"/>
  <c r="Y186" i="56" s="1"/>
  <c r="X169" i="56"/>
  <c r="Y169" i="56" s="1"/>
  <c r="X133" i="56"/>
  <c r="Y133" i="56" s="1"/>
  <c r="Y134" i="56"/>
  <c r="X136" i="56"/>
  <c r="Y136" i="56" s="1"/>
  <c r="X138" i="56"/>
  <c r="Y138" i="56" s="1"/>
  <c r="X139" i="56"/>
  <c r="Y139" i="56" s="1"/>
  <c r="X141" i="56"/>
  <c r="Y141" i="56" s="1"/>
  <c r="X142" i="56"/>
  <c r="Y142" i="56" s="1"/>
  <c r="Y147" i="56"/>
  <c r="Y151" i="56"/>
  <c r="X152" i="56"/>
  <c r="Y152" i="56" s="1"/>
  <c r="X153" i="56"/>
  <c r="Y153" i="56" s="1"/>
  <c r="X155" i="56"/>
  <c r="Y155" i="56" s="1"/>
  <c r="X157" i="56"/>
  <c r="Y157" i="56" s="1"/>
  <c r="X158" i="56"/>
  <c r="Y158" i="56" s="1"/>
  <c r="X159" i="56"/>
  <c r="Y159" i="56" s="1"/>
  <c r="X160" i="56"/>
  <c r="Y160" i="56" s="1"/>
  <c r="X163" i="56"/>
  <c r="X164" i="56"/>
  <c r="Y164" i="56" s="1"/>
  <c r="X132" i="56"/>
  <c r="Y132" i="56" s="1"/>
  <c r="X130" i="56"/>
  <c r="Y130" i="56" s="1"/>
  <c r="X129" i="56"/>
  <c r="Y129" i="56" s="1"/>
  <c r="Y115" i="56"/>
  <c r="Y118" i="56"/>
  <c r="X126" i="56"/>
  <c r="Y126" i="56" s="1"/>
  <c r="X113" i="56"/>
  <c r="Y113" i="56" s="1"/>
  <c r="Y34" i="56"/>
  <c r="X35" i="56"/>
  <c r="Y35" i="56" s="1"/>
  <c r="Y40" i="56"/>
  <c r="X41" i="56"/>
  <c r="Y41" i="56" s="1"/>
  <c r="X42" i="56"/>
  <c r="X52" i="56"/>
  <c r="Y52" i="56" s="1"/>
  <c r="Y53" i="56"/>
  <c r="X54" i="56"/>
  <c r="Y54" i="56" s="1"/>
  <c r="X55" i="56"/>
  <c r="Y55" i="56" s="1"/>
  <c r="X57" i="56"/>
  <c r="Y57" i="56" s="1"/>
  <c r="X58" i="56"/>
  <c r="Y58" i="56" s="1"/>
  <c r="X60" i="56"/>
  <c r="Y60" i="56" s="1"/>
  <c r="X61" i="56"/>
  <c r="Y61" i="56" s="1"/>
  <c r="X62" i="56"/>
  <c r="Y62" i="56" s="1"/>
  <c r="X65" i="56"/>
  <c r="Y65" i="56" s="1"/>
  <c r="X66" i="56"/>
  <c r="Y66" i="56" s="1"/>
  <c r="X67" i="56"/>
  <c r="Y67" i="56" s="1"/>
  <c r="X68" i="56"/>
  <c r="Y68" i="56" s="1"/>
  <c r="X69" i="56"/>
  <c r="Y69" i="56" s="1"/>
  <c r="X70" i="56"/>
  <c r="X71" i="56"/>
  <c r="Y71" i="56" s="1"/>
  <c r="X72" i="56"/>
  <c r="X74" i="56"/>
  <c r="Y74" i="56" s="1"/>
  <c r="X75" i="56"/>
  <c r="Y75" i="56" s="1"/>
  <c r="X76" i="56"/>
  <c r="Y76" i="56" s="1"/>
  <c r="X80" i="56"/>
  <c r="Y80" i="56" s="1"/>
  <c r="X81" i="56"/>
  <c r="Y81" i="56" s="1"/>
  <c r="X82" i="56"/>
  <c r="Y82" i="56" s="1"/>
  <c r="X83" i="56"/>
  <c r="Y83" i="56" s="1"/>
  <c r="X84" i="56"/>
  <c r="Y84" i="56" s="1"/>
  <c r="X85" i="56"/>
  <c r="Y85" i="56" s="1"/>
  <c r="X90" i="56"/>
  <c r="Y90" i="56" s="1"/>
  <c r="X91" i="56"/>
  <c r="Y91" i="56" s="1"/>
  <c r="X92" i="56"/>
  <c r="Y92" i="56" s="1"/>
  <c r="X93" i="56"/>
  <c r="Y93" i="56" s="1"/>
  <c r="X94" i="56"/>
  <c r="Y94" i="56" s="1"/>
  <c r="X97" i="56"/>
  <c r="Y97" i="56" s="1"/>
  <c r="X98" i="56"/>
  <c r="Y98" i="56" s="1"/>
  <c r="X101" i="56"/>
  <c r="Y101" i="56" s="1"/>
  <c r="Y33" i="56"/>
  <c r="X131" i="56"/>
  <c r="X166" i="56"/>
  <c r="D14" i="53"/>
  <c r="F18" i="53"/>
  <c r="F17" i="53"/>
  <c r="F16" i="53"/>
  <c r="H36" i="52"/>
  <c r="H35" i="52"/>
  <c r="H28" i="52"/>
  <c r="H27" i="52"/>
  <c r="H26" i="52"/>
  <c r="H25" i="52"/>
  <c r="H42" i="52"/>
  <c r="H43" i="52"/>
  <c r="C6" i="53"/>
  <c r="W112" i="56"/>
  <c r="X112" i="56" s="1"/>
  <c r="C9" i="80"/>
  <c r="C8" i="80"/>
  <c r="C5" i="80"/>
  <c r="O28" i="53"/>
  <c r="K30" i="53"/>
  <c r="K29" i="53"/>
  <c r="K28" i="53"/>
  <c r="D17" i="53"/>
  <c r="D16" i="53"/>
  <c r="F14" i="52"/>
  <c r="F13" i="52"/>
  <c r="F12" i="52"/>
  <c r="F23" i="53"/>
  <c r="D12" i="53" l="1"/>
  <c r="Y149" i="56"/>
  <c r="H20" i="56" s="1"/>
  <c r="C24" i="80"/>
  <c r="F12" i="53" s="1"/>
  <c r="E29" i="80"/>
  <c r="E15" i="80"/>
  <c r="E31" i="80"/>
  <c r="E30" i="80"/>
  <c r="Y46" i="56"/>
  <c r="F26" i="52"/>
  <c r="G26" i="52" s="1"/>
  <c r="C22" i="80"/>
  <c r="J7" i="53" s="1"/>
  <c r="H6" i="53" s="1"/>
  <c r="E14" i="80"/>
  <c r="E13" i="80"/>
  <c r="E28" i="80"/>
  <c r="C87" i="80" l="1"/>
  <c r="F37" i="52" s="1"/>
  <c r="G37" i="52" s="1"/>
  <c r="F29" i="52"/>
  <c r="B12" i="53"/>
  <c r="C18" i="80"/>
  <c r="C33" i="80"/>
  <c r="F24" i="53" l="1"/>
  <c r="D24" i="53" s="1"/>
  <c r="C37" i="80"/>
  <c r="C83" i="80"/>
  <c r="C67" i="80" l="1"/>
  <c r="C64" i="80"/>
  <c r="C50" i="80"/>
  <c r="C36" i="80"/>
  <c r="D21" i="53"/>
  <c r="B20" i="53" s="1"/>
  <c r="F36" i="52"/>
  <c r="F34" i="52" l="1"/>
  <c r="G34" i="52" s="1"/>
  <c r="C68" i="80"/>
  <c r="F27" i="52" s="1"/>
  <c r="G27" i="52" s="1"/>
  <c r="O7" i="53"/>
  <c r="N6" i="53" s="1"/>
  <c r="F25" i="52"/>
  <c r="G25" i="52" s="1"/>
  <c r="C20" i="80"/>
  <c r="G36" i="52"/>
  <c r="C34" i="80" l="1"/>
  <c r="O24" i="53" s="1"/>
  <c r="N24" i="53" s="1"/>
  <c r="C23" i="80"/>
  <c r="F10" i="53" s="1"/>
  <c r="E9" i="53" s="1"/>
  <c r="C95" i="80"/>
  <c r="L7" i="53" s="1"/>
  <c r="C99" i="80"/>
  <c r="J9" i="56" s="1"/>
  <c r="K10" i="56" s="1"/>
  <c r="F43" i="52" l="1"/>
  <c r="C46" i="80"/>
  <c r="N14" i="53"/>
  <c r="L13" i="53" s="1"/>
  <c r="F42" i="52"/>
  <c r="G42" i="52" s="1"/>
  <c r="F24" i="52" l="1"/>
  <c r="G24" i="52" s="1"/>
  <c r="C19" i="80"/>
  <c r="O10" i="53"/>
  <c r="N9" i="53" s="1"/>
  <c r="C79" i="80" l="1"/>
  <c r="C88" i="80" l="1"/>
  <c r="C35" i="80"/>
  <c r="O21" i="53" s="1"/>
  <c r="N20" i="53" s="1"/>
  <c r="F35" i="52"/>
  <c r="G35" i="52" l="1"/>
  <c r="F38" i="52"/>
  <c r="J6" i="56"/>
  <c r="K7" i="56" s="1"/>
  <c r="C38" i="80"/>
  <c r="K21" i="53" s="1"/>
  <c r="C89" i="80"/>
  <c r="D38" i="80" s="1"/>
  <c r="F39" i="52" s="1"/>
  <c r="C56" i="80" l="1"/>
  <c r="C69" i="80" s="1"/>
  <c r="C71" i="80" s="1"/>
  <c r="C21" i="80" l="1"/>
  <c r="H17" i="53" s="1"/>
  <c r="G16" i="53" s="1"/>
  <c r="F28" i="52"/>
  <c r="G28" i="52" s="1"/>
  <c r="K14" i="53"/>
  <c r="C25" i="80"/>
  <c r="C72" i="80"/>
  <c r="D25" i="80" s="1"/>
  <c r="F31" i="52" s="1"/>
  <c r="J5" i="56"/>
  <c r="K5" i="56" s="1"/>
  <c r="H13" i="56" s="1"/>
  <c r="F30" i="52"/>
</calcChain>
</file>

<file path=xl/sharedStrings.xml><?xml version="1.0" encoding="utf-8"?>
<sst xmlns="http://schemas.openxmlformats.org/spreadsheetml/2006/main" count="26575" uniqueCount="1752">
  <si>
    <t>Soil gas action levels do not address mass-balance issues.  May be overly conservative for sites with low permeability soils immediately beneath a building slab</t>
  </si>
  <si>
    <t>or limited soil impacts and no source of VOCs in groundwater.</t>
  </si>
  <si>
    <t>Nickel toxicity factors based on soluble salts.</t>
  </si>
  <si>
    <t>NA: Carcinogen classification information not available</t>
  </si>
  <si>
    <r>
      <t xml:space="preserve">0.1 </t>
    </r>
    <r>
      <rPr>
        <u/>
        <sz val="10"/>
        <rFont val="Arial"/>
        <family val="2"/>
      </rPr>
      <t>&lt;</t>
    </r>
    <r>
      <rPr>
        <sz val="10"/>
        <rFont val="Arial"/>
        <family val="2"/>
      </rPr>
      <t xml:space="preserve"> Odor Index &lt; 100 OR
no Odor Index and Vapor Pressure &lt; 1 Torr</t>
    </r>
  </si>
  <si>
    <t>Soil Saturation Limit
(mg/kg)</t>
  </si>
  <si>
    <t>50 Percentile
Odor Recognition
Threshold (ORT)
(ppm-v)</t>
  </si>
  <si>
    <t>Odor Index</t>
  </si>
  <si>
    <t>See also attached Detailed EALs, Surfer Report, Chemical Summary worksheet, Advanced EHE Options and Glossary.</t>
  </si>
  <si>
    <t>No Tier 2 option for adustment of promulgated Surface Water Standards (refer to Table F-4d).  Review aquatic ecotoxicity data used to develop chronic or acute action levels in cases where a promulgated standard is not available.</t>
  </si>
  <si>
    <t>Final Soil Tier 1 EAL:</t>
  </si>
  <si>
    <t>EAL</t>
  </si>
  <si>
    <t>3.  See Section 2.4 of Volume 1 for determination of groundwater utility.</t>
  </si>
  <si>
    <t>General Notes:</t>
  </si>
  <si>
    <t>Notes on Individual Chemicals</t>
  </si>
  <si>
    <t>B1</t>
  </si>
  <si>
    <t>B</t>
  </si>
  <si>
    <t>C</t>
  </si>
  <si>
    <t>E</t>
  </si>
  <si>
    <t>tert-BUTYL ALCOHOL</t>
  </si>
  <si>
    <t>TOXAPHENE</t>
  </si>
  <si>
    <t>G</t>
  </si>
  <si>
    <t xml:space="preserve">a. Carcinogen type from RWQCBCV 2007; ORNL 2001 (see classification below). </t>
  </si>
  <si>
    <t>*Potential Health Effects</t>
  </si>
  <si>
    <t>Target Organs &amp; Health Effect</t>
  </si>
  <si>
    <t>Ethanol: Human health toxicity data not available.  Environmental concerns driven by gross contamination/nuisance concerns.</t>
  </si>
  <si>
    <t>4. Vapor Pressure for 1,4 Dioxane from "Solvent Stabilizers - White Paper" (Mohr 2001).  Odor Threshold from US Department of Health and Human Services, National Toxicology</t>
  </si>
  <si>
    <t xml:space="preserve">    Program (USDHHS, 2001).</t>
  </si>
  <si>
    <t>ETHANOL</t>
  </si>
  <si>
    <t>Other</t>
  </si>
  <si>
    <t>(ug/l)</t>
  </si>
  <si>
    <t>Source (unless otherwise noted):</t>
  </si>
  <si>
    <t>Impacts to
Aquatic Habitats</t>
  </si>
  <si>
    <r>
      <t xml:space="preserve">Indoor Air
</t>
    </r>
    <r>
      <rPr>
        <b/>
        <sz val="11"/>
        <rFont val="Tahoma"/>
        <family val="2"/>
      </rPr>
      <t>(ug/m</t>
    </r>
    <r>
      <rPr>
        <b/>
        <vertAlign val="superscript"/>
        <sz val="11"/>
        <rFont val="Tahoma"/>
        <family val="2"/>
      </rPr>
      <t>3</t>
    </r>
    <r>
      <rPr>
        <b/>
        <sz val="11"/>
        <rFont val="Tahoma"/>
        <family val="2"/>
      </rPr>
      <t>)</t>
    </r>
  </si>
  <si>
    <r>
      <t>Soil</t>
    </r>
    <r>
      <rPr>
        <b/>
        <sz val="11"/>
        <rFont val="Tahoma"/>
        <family val="2"/>
      </rPr>
      <t xml:space="preserve"> (mg/kg)</t>
    </r>
  </si>
  <si>
    <r>
      <t>Groundwater</t>
    </r>
    <r>
      <rPr>
        <b/>
        <sz val="11"/>
        <rFont val="Tahoma"/>
        <family val="2"/>
      </rPr>
      <t xml:space="preserve"> (ug/L)</t>
    </r>
  </si>
  <si>
    <t>Target Hard Quotient (all)</t>
  </si>
  <si>
    <t>Final Terrestrial Ecotoxicity:</t>
  </si>
  <si>
    <t>Gastro-Intestinal Absorption Factor</t>
  </si>
  <si>
    <t>Other Tier 1 EALs:</t>
  </si>
  <si>
    <t>Soil EALS:</t>
  </si>
  <si>
    <t>Groundwater EALs:</t>
  </si>
  <si>
    <t>Indoor Air and Soil Gas EALs:</t>
  </si>
  <si>
    <t>Table H</t>
  </si>
  <si>
    <t>Table D-4f</t>
  </si>
  <si>
    <t>Mutagen</t>
  </si>
  <si>
    <t>Soil Tier 1 EAL Tables</t>
  </si>
  <si>
    <t>Lowest Soil EAL:</t>
  </si>
  <si>
    <t>MADEP</t>
  </si>
  <si>
    <r>
      <t xml:space="preserve">Vapor Pressure for ethanol from </t>
    </r>
    <r>
      <rPr>
        <i/>
        <sz val="8"/>
        <rFont val="Arial"/>
        <family val="2"/>
      </rPr>
      <t>Fate and Transport of Ethanol-Blended Gasoline in the Environment</t>
    </r>
    <r>
      <rPr>
        <sz val="8"/>
        <rFont val="Arial"/>
        <family val="2"/>
      </rPr>
      <t xml:space="preserve"> (Ulrich 1999). Odor threshold from </t>
    </r>
  </si>
  <si>
    <t>not available</t>
  </si>
  <si>
    <r>
      <t>(Risk = 10</t>
    </r>
    <r>
      <rPr>
        <b/>
        <vertAlign val="superscript"/>
        <sz val="8"/>
        <rFont val="Arial"/>
        <family val="2"/>
      </rPr>
      <t>-5</t>
    </r>
    <r>
      <rPr>
        <b/>
        <sz val="8"/>
        <rFont val="Arial"/>
        <family val="2"/>
      </rPr>
      <t>)</t>
    </r>
  </si>
  <si>
    <t>GIABS</t>
  </si>
  <si>
    <t>GI</t>
  </si>
  <si>
    <t>Xylenes physio-chemical and toxicity constants based on m-xylene.</t>
  </si>
  <si>
    <t>Used for development of groundwater and soil screening levels.</t>
  </si>
  <si>
    <t>TPH (middle distillates)</t>
  </si>
  <si>
    <t>TPH (gasolines)</t>
  </si>
  <si>
    <t>140000</t>
  </si>
  <si>
    <t>Reference Dose - oral</t>
  </si>
  <si>
    <t>mg/kg-day</t>
  </si>
  <si>
    <t>Reference Dose - inhalation</t>
  </si>
  <si>
    <t>Skin Absorption Factor</t>
  </si>
  <si>
    <t>Target Excess Cancer Risk Used:</t>
  </si>
  <si>
    <t>Target Hazard Quotient Used:</t>
  </si>
  <si>
    <t>Freshwater Chronic Goal</t>
  </si>
  <si>
    <t>Marine Chronic Goal</t>
  </si>
  <si>
    <t>Marine</t>
  </si>
  <si>
    <t>Saturation limits calculated using equation in USEPA Region IX PRG guidance (for chemicals that are liquid at ambient temperatures and pressures;</t>
  </si>
  <si>
    <t>refer to Appendix 2).</t>
  </si>
  <si>
    <t>References for vapor pressure and odor threshold data (in order of use):</t>
  </si>
  <si>
    <t>1. Ontario Ministry of Environment and Energy (MOEE 1996).</t>
  </si>
  <si>
    <t>NON-Drinking Water Resource</t>
  </si>
  <si>
    <t>Inspect site (or boring cuttings) for potential gross contamination concerns.  Include future management of grossly contaminated soil in an Environmental Hazard Management Plan if identified and left in place at the site.</t>
  </si>
  <si>
    <t>SOIL</t>
  </si>
  <si>
    <t>GROUNDWATER</t>
  </si>
  <si>
    <t>SOIL GAS (Vapor Intrusion)</t>
  </si>
  <si>
    <t>DIBROMO-3-CHLOROPROPANE, 1,2-</t>
  </si>
  <si>
    <t>mg/kg</t>
  </si>
  <si>
    <t>TPH (residual fuels) soil action level for leaching from California Regional Water Board, Region 4 - drinking water protection, C23-C32 carbon range (RWQCBLA 1996).</t>
  </si>
  <si>
    <t>Target Organs And Health Effects</t>
  </si>
  <si>
    <t>Other 
Criteria</t>
  </si>
  <si>
    <t>Groundwater Category NON-Drinking Water Resource - protective of discharge of impacted groundwater to surface water and subsequent impact on aquatic life.</t>
  </si>
  <si>
    <t>TPH ceiling levels after Massachusetts DEP (MADEP 1997a).</t>
  </si>
  <si>
    <t>4,6</t>
  </si>
  <si>
    <t>3,5,6</t>
  </si>
  <si>
    <t>1,2,3,4,5,6</t>
  </si>
  <si>
    <t>B1/D</t>
  </si>
  <si>
    <t>3,5</t>
  </si>
  <si>
    <t>3,6</t>
  </si>
  <si>
    <t>1,2,3,4,5</t>
  </si>
  <si>
    <t>C/D</t>
  </si>
  <si>
    <t>A/D</t>
  </si>
  <si>
    <t>1,3</t>
  </si>
  <si>
    <t>AMINO,4- DINITROTOLUENE,2,6-</t>
  </si>
  <si>
    <t>ATRAZINE</t>
  </si>
  <si>
    <t>CYCLO-1,3,5-TRIMETHYLENE-2,4,6-TRINITRAMINE (RDX)</t>
  </si>
  <si>
    <t>DALAPON</t>
  </si>
  <si>
    <t>DICHLOROPHENOXYACETIC ACID (2,4-D)</t>
  </si>
  <si>
    <t>DINITROBENZENE, 1,3-</t>
  </si>
  <si>
    <t>DINITROTOLUENE, 2,4- (2,4-DNT)</t>
  </si>
  <si>
    <t>DINITROTOLUENE, 2,6- (2,6-DNT)</t>
  </si>
  <si>
    <t>DIURON</t>
  </si>
  <si>
    <t>GLYPHOSATE</t>
  </si>
  <si>
    <t>HEXAZINONE</t>
  </si>
  <si>
    <t>ISOPHORONE</t>
  </si>
  <si>
    <t>NITROBENZENE</t>
  </si>
  <si>
    <t>NITROGLYCERIN</t>
  </si>
  <si>
    <t>NITROTOLUENE, 2-</t>
  </si>
  <si>
    <t>NITROTOLUENE, 3-</t>
  </si>
  <si>
    <t>NITROTOLUENE, 4-</t>
  </si>
  <si>
    <t>PENTAERYTHRITOLTETRANITRATE (PETN)</t>
  </si>
  <si>
    <t>PROPICONAZOLE</t>
  </si>
  <si>
    <t>SIMAZINE</t>
  </si>
  <si>
    <t>TERBACIL</t>
  </si>
  <si>
    <t>TETRACHLOROPHENOL, 2,3,4,6-</t>
  </si>
  <si>
    <t>TETRANITRO-1,3,5,7-TETRAAZOCYCLOOCTANE (HMX)</t>
  </si>
  <si>
    <t>TRICHLOROPHENOXYACETIC ACID, 2,4,5- (2,4,5-T)</t>
  </si>
  <si>
    <t>TRICHLOROPHENOXYPROPIONIC ACID, 2,4,5- (2,4,5-TP)</t>
  </si>
  <si>
    <t>TRICHLOROPROPANE, 1,2,3-</t>
  </si>
  <si>
    <t>TRICHLOROPROPENE, 1,2,3-</t>
  </si>
  <si>
    <r>
      <t>1</t>
    </r>
    <r>
      <rPr>
        <b/>
        <sz val="8"/>
        <rFont val="Arial"/>
        <family val="2"/>
      </rPr>
      <t>Estuarine Acute
Aquatic
Habitat Goal
(ug/L)</t>
    </r>
  </si>
  <si>
    <t>Freshwater Acute 
Aquatic
Habitat Goal
(ug/L)</t>
  </si>
  <si>
    <t>Saltwater Acute
Aquatic
Habitat Goal
(ug/L)</t>
  </si>
  <si>
    <t>Freshwater
(ug/L)</t>
  </si>
  <si>
    <t>Saltwater
(ug/L)</t>
  </si>
  <si>
    <t>BERYLLIUM</t>
  </si>
  <si>
    <t>BIS(2-CHLOROETHYL)ETHER</t>
  </si>
  <si>
    <t>BIS(2-ETHYLHEXYL)PHTHALATE</t>
  </si>
  <si>
    <t>BORON</t>
  </si>
  <si>
    <t>BROMODICHLOROMETHANE</t>
  </si>
  <si>
    <t>BROMOFORM</t>
  </si>
  <si>
    <t>BROMOMETHANE</t>
  </si>
  <si>
    <t>CADMIUM</t>
  </si>
  <si>
    <t>CARBON TETRACHLORIDE</t>
  </si>
  <si>
    <t>CHLOROANILINE, p-</t>
  </si>
  <si>
    <t>CHLOROBENZENE</t>
  </si>
  <si>
    <t>CHLOROFORM</t>
  </si>
  <si>
    <t>CHLOROPHENOL, 2-</t>
  </si>
  <si>
    <t>CHRYSENE</t>
  </si>
  <si>
    <t>COBALT</t>
  </si>
  <si>
    <t>COPPER</t>
  </si>
  <si>
    <t>CYANIDE (Free)</t>
  </si>
  <si>
    <t>DIBENZO(a,h)ANTHTRACENE</t>
  </si>
  <si>
    <t>DIBROMOCHLOROMETHANE</t>
  </si>
  <si>
    <t>DICHLOROBENZENE, 1,2-</t>
  </si>
  <si>
    <t>Background:</t>
  </si>
  <si>
    <t>TABLE C-3. INDOOR AIR ACTION LEVELS
(volatile chemicals only)</t>
  </si>
  <si>
    <t>Soil leaching equation from Ontario MOEE guidance (see text).</t>
  </si>
  <si>
    <t>2. Source of Freshwater EALs: Refer to Appendix 1, Table D-2a for basis.  Includes consideration of drinking water action levels.</t>
  </si>
  <si>
    <t>1. Compiled for screening of contaminated groundwater that could discharge to surface water.  Check with agency overseeing surface water quality for application to aquatic habitats.</t>
  </si>
  <si>
    <t>TABLE A-1.  SOIL ACTION LEVELS
(Potentially impacted groundwater IS a current or potential drinking water resource;
Surface water body IS NOT located within 150m of release site)</t>
  </si>
  <si>
    <r>
      <t>1</t>
    </r>
    <r>
      <rPr>
        <b/>
        <sz val="8"/>
        <rFont val="Arial"/>
        <family val="2"/>
      </rPr>
      <t>Final
Surface Water Action Level</t>
    </r>
  </si>
  <si>
    <t>Risk-Based Action Level
(Table D-3b)</t>
  </si>
  <si>
    <t>TABLE D-4d. SUMMARY OF HAWAI'I CHRONIC AND ACUTE
SURFACE WATER (AQUATIC HABITAT) STANDARDS</t>
  </si>
  <si>
    <t>TABLE D-2a. SURFACE WATER ACTION LEVELS
Fresh Water Habitats</t>
  </si>
  <si>
    <t>TABLE D-2b. SURFACE WATER ACTION LEVELS
Marine Habitats</t>
  </si>
  <si>
    <t>TABLE D-2c. SURFACE WATER ACTION LEVELS
*Estuary Habitats</t>
  </si>
  <si>
    <t>TABLE D-4e. SUMMARY OF USEPA AND OTHER PUBLISHED AQUATIC HABITAT GOALS</t>
  </si>
  <si>
    <t>Action Level</t>
  </si>
  <si>
    <t>TABLE I-3. DIRECT-EXPOSURE ACTION LEVELS
CONSTRUCTION/TRENCH WORKER EXPOSURE SCENARIO</t>
  </si>
  <si>
    <t>AMETRYN</t>
  </si>
  <si>
    <t>AMINO,2- DINITROTOLUENE,4,6-</t>
  </si>
  <si>
    <t>of all potentially significant health effects),  http://www.epa.gov/iris/subst/index.html</t>
  </si>
  <si>
    <t>Effect used for derivation of RfDs, http://risk.lsd.ornl.gov/tox/rap_toxp.shtml</t>
  </si>
  <si>
    <t>50% Odor Recognition Thresholds from Massachusetts Department of Environmental Protection (MADEP, 1994) and ATSDR; included for reference (potential nuisance concerns, see Table F series).</t>
  </si>
  <si>
    <t>#DIBENZO(a,h)ANTHTRACENE</t>
  </si>
  <si>
    <t>TPH Total Petroleum Hydrocarbons.  See text for discussion of different TPH categories.</t>
  </si>
  <si>
    <t>#METHYL ISOBUTYL KETONE</t>
  </si>
  <si>
    <t>#METHYL ETHYL KETONE</t>
  </si>
  <si>
    <t>Target Groundwater
Concentration
(Surface Water
Within 150m;
Table D-1a)</t>
  </si>
  <si>
    <t>Target Groundwater
Concentration
(Surface Water
NOT Within 150m; Table D-1b)</t>
  </si>
  <si>
    <t>Target Groundwater
Concentration
(Surface Water
Within 150m;
Table D-1c)</t>
  </si>
  <si>
    <t>Target Groundwater
Concentration
(Surface Water
NOT Within 150m; Table D-1d)</t>
  </si>
  <si>
    <t>Soil Leaching
Action Level
(Surface Water
Within 150m)</t>
  </si>
  <si>
    <t>Soil Leaching
Action Level
(Surface Water
NOT Within 150m)</t>
  </si>
  <si>
    <t>Sorting</t>
  </si>
  <si>
    <t>TABLE H. PHYSIO-CHEMICAL AND TOXICITY CONSTANTS USED IN MODELS.</t>
  </si>
  <si>
    <t>Aquatic
Habitat
Impacts
(acute)</t>
  </si>
  <si>
    <t>Aquatic
Habitat
Impacts
(chronic)</t>
  </si>
  <si>
    <t>TABLE D-3b. RISK-BASED ACTION LEVELS FOR TAPWATER</t>
  </si>
  <si>
    <t>Final
Action
Level</t>
  </si>
  <si>
    <t>1. Default 0-3m below ground surface for residential settings and 0-1m below ground surface for commercial/industrial settings.</t>
  </si>
  <si>
    <r>
      <t xml:space="preserve">TABLE F-2. GROSS CONTAMINATION ACTION LEVELS FOR </t>
    </r>
    <r>
      <rPr>
        <b/>
        <vertAlign val="superscript"/>
        <sz val="12"/>
        <rFont val="Arial"/>
        <family val="2"/>
      </rPr>
      <t>1</t>
    </r>
    <r>
      <rPr>
        <b/>
        <sz val="12"/>
        <rFont val="Arial"/>
        <family val="2"/>
      </rPr>
      <t>EXPOSED OR POTENTIALLY EXPOSED SOIL
(mg/kg)</t>
    </r>
  </si>
  <si>
    <r>
      <t xml:space="preserve">TABLE F-3. GROSS CONTAMINATION ACTION LEVELS FOR </t>
    </r>
    <r>
      <rPr>
        <b/>
        <vertAlign val="superscript"/>
        <sz val="12"/>
        <rFont val="Arial"/>
        <family val="2"/>
      </rPr>
      <t>1</t>
    </r>
    <r>
      <rPr>
        <b/>
        <sz val="12"/>
        <rFont val="Arial"/>
        <family val="2"/>
      </rPr>
      <t>DEEP OR OTHERWISE ISOLATED SOILS
(mg/kg)</t>
    </r>
  </si>
  <si>
    <t>TABLE G-1. GROUNDWATER GROSS CONTAMINATION ACTION LEVELS
(groundwater IS a current or potential source of drinking water)
(ug/L)</t>
  </si>
  <si>
    <t>TABLE G-2. GROUNDWATER GROSS CONTAMINATION ACTION LEVELS
(groundwater IS NOT a current or potential source of drinking water)
(ug/L)</t>
  </si>
  <si>
    <t>TABLE G-3. SURFACE WATER GROSS CONTAMINATION ACTION LEVELS
(surface water IS a current or potential source of drinking water)
(ug/L)</t>
  </si>
  <si>
    <t>TABLE G-4. SURFACE WATER GROSS CONTAMINATION ACTION LEVELS
(surface water IS NOT a current or potential source of drinking water)
(ug/L)</t>
  </si>
  <si>
    <t>Final
Action Level</t>
  </si>
  <si>
    <t>1/2 solubility based on solubility constants in USEPA RSL guidance (USEPA 2008a) or Ontario MOEE (MOEE 1996) if not available.</t>
  </si>
  <si>
    <t>C/I</t>
  </si>
  <si>
    <t>Final Vapor Intrusion:</t>
  </si>
  <si>
    <t>Final Leaching:</t>
  </si>
  <si>
    <t>Residential:</t>
  </si>
  <si>
    <t>Commercial or Industrial:</t>
  </si>
  <si>
    <r>
      <t>b</t>
    </r>
    <r>
      <rPr>
        <b/>
        <sz val="8"/>
        <rFont val="Arial"/>
        <family val="2"/>
      </rPr>
      <t>Mutagen</t>
    </r>
  </si>
  <si>
    <r>
      <t>c</t>
    </r>
    <r>
      <rPr>
        <b/>
        <sz val="8"/>
        <rFont val="Arial"/>
        <family val="2"/>
      </rPr>
      <t>Alimentary Tract</t>
    </r>
  </si>
  <si>
    <r>
      <t>d</t>
    </r>
    <r>
      <rPr>
        <b/>
        <sz val="8"/>
        <rFont val="Arial"/>
        <family val="2"/>
      </rPr>
      <t>Skin</t>
    </r>
  </si>
  <si>
    <t>c. Includes gastro-intestinal tract, liver, spleen, gall bladder, etc.</t>
  </si>
  <si>
    <r>
      <t xml:space="preserve">Soil Gas: </t>
    </r>
    <r>
      <rPr>
        <sz val="12"/>
        <rFont val="Times New Roman"/>
        <family val="1"/>
      </rPr>
      <t>Address intrusion of subsurface vapors into a building and subsequent impacts to indoor air.</t>
    </r>
  </si>
  <si>
    <r>
      <t xml:space="preserve">Drinking Water (Toxicity): </t>
    </r>
    <r>
      <rPr>
        <sz val="12"/>
        <rFont val="Times New Roman"/>
        <family val="1"/>
      </rPr>
      <t>Address potential toxicity to humans using the water as a drinking water resource.  Based on promulgated Primary Maximum Contaminant Levels (Primary MCLs) or equivalent.</t>
    </r>
  </si>
  <si>
    <r>
      <t xml:space="preserve">Gross Contamination:  </t>
    </r>
    <r>
      <rPr>
        <sz val="12"/>
        <rFont val="Times New Roman"/>
        <family val="1"/>
      </rPr>
      <t>Address odor, nuisance, generation of explosive vapors and other, non-risk related hazards posed by heavily contamniated groundwater.  For drinking water resources, Secondary Maximum Contaminant Level (Secondary MCL) or equivalent for taste and odor concerns also considered.</t>
    </r>
  </si>
  <si>
    <t>Cancer Inhalation Unit Risk Factor</t>
  </si>
  <si>
    <r>
      <t>(ug/m</t>
    </r>
    <r>
      <rPr>
        <vertAlign val="superscript"/>
        <sz val="10"/>
        <rFont val="Arial"/>
        <family val="2"/>
      </rPr>
      <t>3</t>
    </r>
    <r>
      <rPr>
        <sz val="10"/>
        <rFont val="Arial"/>
        <family val="2"/>
      </rPr>
      <t>)</t>
    </r>
    <r>
      <rPr>
        <vertAlign val="superscript"/>
        <sz val="10"/>
        <rFont val="Arial"/>
        <family val="2"/>
      </rPr>
      <t>-1</t>
    </r>
  </si>
  <si>
    <r>
      <t>(mg/m</t>
    </r>
    <r>
      <rPr>
        <vertAlign val="superscript"/>
        <sz val="10"/>
        <rFont val="Arial"/>
        <family val="2"/>
      </rPr>
      <t>3</t>
    </r>
    <r>
      <rPr>
        <sz val="10"/>
        <rFont val="Arial"/>
        <family val="2"/>
      </rPr>
      <t>)</t>
    </r>
  </si>
  <si>
    <t>6. ORNL, 2007, Risk Assessment Information System (RAIS), Toxicity Profiles: Oak Ridge National Laboratory/U.S. Department of Energy (accessed December 2007), RAGs A Format, especially Critical</t>
  </si>
  <si>
    <t>8. TPH whole product toxicity based review of TPH Working Group petroleum carbon fraction guidance (TPHWG 1998, Volume 4) and Massachusetts DEP VPH/EPH guidance (MADEP 2002a).</t>
  </si>
  <si>
    <t xml:space="preserve">oxidizers, etc.).  See Section 2.6 in text.  </t>
  </si>
  <si>
    <t>TABLE D-1b. GROUNDWATER ACTION LEVELS
(Groundwater IS a current or potential drinking water resource)
(Surface water body IS NOT located within 150m of release site)</t>
  </si>
  <si>
    <t>Table G-2</t>
  </si>
  <si>
    <t>Thallium toxicity factors based on soluble salts.</t>
  </si>
  <si>
    <r>
      <t xml:space="preserve">Land Use: </t>
    </r>
    <r>
      <rPr>
        <sz val="12"/>
        <rFont val="Times New Roman"/>
        <family val="1"/>
      </rPr>
      <t>Unrestricted land use includes single-family homes and high-density housing areas.  Also appropriate for other sensitive property uses, including schools, day care centers, medical facilities, etc.</t>
    </r>
  </si>
  <si>
    <t>Soil Action Levels (mg/kg)</t>
  </si>
  <si>
    <t>Final Tier 1 Soil EAL:</t>
  </si>
  <si>
    <t>Groundwater Action Levels (ug/L)</t>
  </si>
  <si>
    <t>Final Tier 1 GW EAL:</t>
  </si>
  <si>
    <r>
      <t>Indoor Air and Soil Gas Action Levels (ug/m</t>
    </r>
    <r>
      <rPr>
        <b/>
        <vertAlign val="superscript"/>
        <sz val="10"/>
        <rFont val="Arial"/>
        <family val="2"/>
      </rPr>
      <t>3</t>
    </r>
    <r>
      <rPr>
        <b/>
        <sz val="10"/>
        <rFont val="Arial"/>
        <family val="2"/>
      </rPr>
      <t>)</t>
    </r>
  </si>
  <si>
    <t>material immediately beneath building slab or could be present below future buildings following redevelopment.  Evaluation of deeper soil gas data (e.g., &gt;1.5m bgs) should be</t>
  </si>
  <si>
    <t>Soil gas action levels intended to be protective of indoor air quality, calculated for volatile chemicals only.</t>
  </si>
  <si>
    <t xml:space="preserve">Dibromochloromethane, dibromochloropropane and pyrene considered volatile for purposes of modeling (USEPA 2004, 2008).  </t>
  </si>
  <si>
    <t xml:space="preserve">TPH -Total Petroleum Hydrocarbons: TPH Action Levels must be used in conjunction with Action Levels for related chemicals (e.g., BTEX, PAHs, </t>
  </si>
  <si>
    <t>commercial/industrial exposure</t>
  </si>
  <si>
    <t>Physical
State</t>
  </si>
  <si>
    <r>
      <t xml:space="preserve">Odor Index </t>
    </r>
    <r>
      <rPr>
        <u/>
        <sz val="10"/>
        <rFont val="Arial"/>
        <family val="2"/>
      </rPr>
      <t>&gt;</t>
    </r>
    <r>
      <rPr>
        <sz val="10"/>
        <rFont val="Arial"/>
        <family val="2"/>
      </rPr>
      <t xml:space="preserve"> 100 OR
no Odor Index and Vapor Pressure </t>
    </r>
    <r>
      <rPr>
        <u/>
        <sz val="10"/>
        <rFont val="Arial"/>
        <family val="2"/>
      </rPr>
      <t>&gt;</t>
    </r>
    <r>
      <rPr>
        <sz val="10"/>
        <rFont val="Arial"/>
        <family val="2"/>
      </rPr>
      <t xml:space="preserve"> 1 Torr OR
no data</t>
    </r>
  </si>
  <si>
    <t>DICHLOROBENZENE, 1,3-</t>
  </si>
  <si>
    <t>DICHLOROBENZENE, 1,4-</t>
  </si>
  <si>
    <t>DICHLOROBENZIDINE, 3,3-</t>
  </si>
  <si>
    <t>DICHLOROETHYLENE, Trans 1,2-</t>
  </si>
  <si>
    <r>
      <t xml:space="preserve">STEP 1: Select </t>
    </r>
    <r>
      <rPr>
        <b/>
        <vertAlign val="superscript"/>
        <sz val="12"/>
        <rFont val="Times New Roman"/>
        <family val="1"/>
      </rPr>
      <t>1</t>
    </r>
    <r>
      <rPr>
        <b/>
        <sz val="12"/>
        <rFont val="Times New Roman"/>
        <family val="1"/>
      </rPr>
      <t>Site Scenario:</t>
    </r>
  </si>
  <si>
    <t>#CHLORDANE (TECHNICAL)</t>
  </si>
  <si>
    <t>PERCHLORATE</t>
  </si>
  <si>
    <t>CHEMICAL PARAMETER</t>
  </si>
  <si>
    <t>BIPHENYL, 1,1-</t>
  </si>
  <si>
    <t>DICHLOROETHANE, 1,1-</t>
  </si>
  <si>
    <t>DICHLOROETHANE, 1,2-</t>
  </si>
  <si>
    <t>Lowest</t>
  </si>
  <si>
    <r>
      <t>ug/m</t>
    </r>
    <r>
      <rPr>
        <vertAlign val="superscript"/>
        <sz val="12"/>
        <rFont val="Times New Roman"/>
        <family val="1"/>
      </rPr>
      <t>3</t>
    </r>
  </si>
  <si>
    <t>Tier 1 EALs Compiler (Hide in public version)</t>
  </si>
  <si>
    <r>
      <t xml:space="preserve">STEP 2. </t>
    </r>
    <r>
      <rPr>
        <sz val="12"/>
        <rFont val="Times New Roman"/>
        <family val="1"/>
      </rPr>
      <t>Select chemical of potential concern.</t>
    </r>
  </si>
  <si>
    <r>
      <t>(ug/m</t>
    </r>
    <r>
      <rPr>
        <b/>
        <vertAlign val="superscript"/>
        <sz val="8"/>
        <rFont val="Arial"/>
        <family val="2"/>
      </rPr>
      <t>3</t>
    </r>
    <r>
      <rPr>
        <b/>
        <sz val="8"/>
        <rFont val="Arial"/>
        <family val="2"/>
      </rPr>
      <t>)</t>
    </r>
  </si>
  <si>
    <t>Unit Risk</t>
  </si>
  <si>
    <t>Concentration</t>
  </si>
  <si>
    <t>URF</t>
  </si>
  <si>
    <t>RfC</t>
  </si>
  <si>
    <t>= Fluoranthene</t>
  </si>
  <si>
    <t>= Fluorene</t>
  </si>
  <si>
    <t>Reference</t>
  </si>
  <si>
    <t>Agricultural Water Quality Goals</t>
  </si>
  <si>
    <t>Addresses use of water (including groundwater) for</t>
  </si>
  <si>
    <t>Freshwater Acute Goal</t>
  </si>
  <si>
    <t>Marine Acute Goal</t>
  </si>
  <si>
    <t>Estuary Acute Goal</t>
  </si>
  <si>
    <t>*Bioaccumulation goals used to screen surface water only (refer to Volume 1, Chapter 2 of EAL text).</t>
  </si>
  <si>
    <t>3. Referred to as "ceiling levels" in original MADEP guidance (MADEP 1994).</t>
  </si>
  <si>
    <t>1. Lowest of action levels for gross contamination, drinking water toxicity, vapor intrusion and aquatic habitat impacts.  Used to develop</t>
  </si>
  <si>
    <t>Gross Contamination
(Taste &amp; Odors, etc.)</t>
  </si>
  <si>
    <t>Gross Contamination
(Odors, etc.)</t>
  </si>
  <si>
    <t>Gross Contamination: Odor threshold, 1/2 solubility or 50000 ug/L maximum, whichever is lower. Intended to limit general groundwater resource</t>
  </si>
  <si>
    <t>Drinking Water Toxicity: Based on primary maximum concentration levels (MCLs), or equivalent.  Considered protective of human health.</t>
  </si>
  <si>
    <t xml:space="preserve">Aquatic Habitat Impacts: Addresses potential discharge of groundwater to estuarine aquatic habitat and subsequent impact on aquatic life; dilution of groundwater </t>
  </si>
  <si>
    <t>Method reporting limits and background concentrations replace final screening level as appropriate.</t>
  </si>
  <si>
    <t>1. Lowest of action levels for gross contamination, vapor intrusion and aquatic habitat impacts.  Used to develop</t>
  </si>
  <si>
    <t>Nondrinking Water:</t>
  </si>
  <si>
    <t>Final Indoor Air:</t>
  </si>
  <si>
    <t>Final Soil Gas:</t>
  </si>
  <si>
    <t>Notes</t>
  </si>
  <si>
    <t>Groundwater Utility:</t>
  </si>
  <si>
    <t>Soil (mg/kg):</t>
  </si>
  <si>
    <t>Terrestrial
Ecological Impacts</t>
  </si>
  <si>
    <t>Gross Contamination</t>
  </si>
  <si>
    <t>Human
Health
Impacts</t>
  </si>
  <si>
    <t>Leaching</t>
  </si>
  <si>
    <t>Current Land Use:</t>
  </si>
  <si>
    <t>Nondrinking Water Resource</t>
  </si>
  <si>
    <t>Drinking Water
(toxicity)</t>
  </si>
  <si>
    <t>Soil Tier 1 EAL:</t>
  </si>
  <si>
    <t>TPH(middle distillate fuels) gross contamination action level for isolated soils at commercial/industrial sites set at 5,000 mg/kg, based on profession judgement.</t>
  </si>
  <si>
    <t>Residential Exposed Soil:</t>
  </si>
  <si>
    <t>Residential Isolated Soil:</t>
  </si>
  <si>
    <t>Commercial/Industrial Exposed Soil:</t>
  </si>
  <si>
    <t>Commercial/Industrial Isolated Soil:</t>
  </si>
  <si>
    <t>TABLE D-1c. GROUNDWATER ACTION LEVELS
(Groundwater IS NOT a current or potential drinking water resource)
(Surface water body IS located within 150m of release site)</t>
  </si>
  <si>
    <t>TABLE D-1d. GROUNDWATER ACTION LEVELS
(Groundwater IS NOT a current or potential drinking water resource)
(Surface water body IS NOT located within 150m of release site)</t>
  </si>
  <si>
    <t>Vapor Intrusion: Addresses potential emission of volatile chemicals from groundwater into buildings and subsequent impact on indoor air.  Assumes moderately</t>
  </si>
  <si>
    <t>Dermal</t>
  </si>
  <si>
    <t>Carcinogenic Effects</t>
  </si>
  <si>
    <t>Source of Soil Action Levels: Refer to Appendix 1, Tables A-1 and A-2.</t>
  </si>
  <si>
    <r>
      <t>Source of Groundwater Action Levels: Appendix 1, Table D-1a (</t>
    </r>
    <r>
      <rPr>
        <u/>
        <sz val="8"/>
        <rFont val="Arial"/>
        <family val="2"/>
      </rPr>
      <t>&lt;</t>
    </r>
    <r>
      <rPr>
        <sz val="8"/>
        <rFont val="Arial"/>
        <family val="2"/>
      </rPr>
      <t>150m to Surface Water Body) and Table D-1b (&gt;150m to Surface Water Body).</t>
    </r>
  </si>
  <si>
    <t>Amoore &amp; Hautala</t>
  </si>
  <si>
    <t>CalDHS 2nd MCL</t>
  </si>
  <si>
    <t>USEPA 2nd MCL</t>
  </si>
  <si>
    <t>Cal DHS 2nd MCL</t>
  </si>
  <si>
    <t>USEPA (1995)</t>
  </si>
  <si>
    <t>DICHLOROETHYLENE, 1,1-</t>
  </si>
  <si>
    <t>DICHLOROETHYLENE, Cis 1,2-</t>
  </si>
  <si>
    <t>DICHLOROPROPENE, 1,3-</t>
  </si>
  <si>
    <t>DINITROPHENOL, 2,4-</t>
  </si>
  <si>
    <t>DIOXIN (2,3,7,8-TCDD)</t>
  </si>
  <si>
    <t>Upper limit of 50000 ug/L intended to limit general groundwater resource degradation (MOEE 1996).</t>
  </si>
  <si>
    <t>.</t>
  </si>
  <si>
    <t>Site Name:</t>
  </si>
  <si>
    <t>Site Address:</t>
  </si>
  <si>
    <t>Site ID Number:</t>
  </si>
  <si>
    <t>Selected Site Scenario</t>
  </si>
  <si>
    <t>Selected Chemical of Concern:</t>
  </si>
  <si>
    <t>Groundwater (ug/L):</t>
  </si>
  <si>
    <t>Units</t>
  </si>
  <si>
    <t>Referenced Table</t>
  </si>
  <si>
    <t>Direct Exposure:</t>
  </si>
  <si>
    <t>Table A-2:</t>
  </si>
  <si>
    <t>Vapor Emissions To Indoor Air:</t>
  </si>
  <si>
    <t>Gross Contamination:</t>
  </si>
  <si>
    <t>Drinking Water (Toxicity):</t>
  </si>
  <si>
    <t>ug/L</t>
  </si>
  <si>
    <t>Indoor Air:</t>
  </si>
  <si>
    <t>Final Soil Tier 1 EALs (mg/kg)</t>
  </si>
  <si>
    <t>Final Groundwater Action Levels (ug/L)</t>
  </si>
  <si>
    <t>Metals</t>
  </si>
  <si>
    <r>
      <t>STEP 4: L</t>
    </r>
    <r>
      <rPr>
        <sz val="12"/>
        <rFont val="Times New Roman"/>
        <family val="1"/>
      </rPr>
      <t>aboratory method reporting limit takes precedence if greater than the EAL (assuming standard MRL for a commercial laboratory).  Natural background concentration of metals takes precedence if greater than the EAL. (Refer to Volume 1, Section 2.9).</t>
    </r>
  </si>
  <si>
    <r>
      <t xml:space="preserve">STEP 5: </t>
    </r>
    <r>
      <rPr>
        <sz val="12"/>
        <rFont val="Times New Roman"/>
        <family val="1"/>
      </rPr>
      <t>Determine vertical and lateral extent of soil and/or groundwater impacted above action levels to extent feasible. EALs may also be used as a guide for re-use of excavated soil.</t>
    </r>
  </si>
  <si>
    <t>Instructions For Use of EALs and EAL Surfer
(Refer also to Volume 1, Section 2 of EHE document)</t>
  </si>
  <si>
    <t>Vapor Intrusion
into Buildings</t>
  </si>
  <si>
    <r>
      <t>1</t>
    </r>
    <r>
      <rPr>
        <b/>
        <sz val="16"/>
        <rFont val="Times New Roman"/>
        <family val="1"/>
      </rPr>
      <t>Tier 1 EAL SURFER SUMMARY REPORT</t>
    </r>
  </si>
  <si>
    <t>Input Site Concentrations</t>
  </si>
  <si>
    <t>VI - VOCs</t>
  </si>
  <si>
    <t>Leaching - Persistent NVOCs</t>
  </si>
  <si>
    <t>Mutagenic
Effects</t>
  </si>
  <si>
    <t>M</t>
  </si>
  <si>
    <r>
      <t>2</t>
    </r>
    <r>
      <rPr>
        <b/>
        <sz val="8"/>
        <rFont val="Arial"/>
        <family val="2"/>
      </rPr>
      <t>Carcinogens</t>
    </r>
  </si>
  <si>
    <r>
      <t>2</t>
    </r>
    <r>
      <rPr>
        <b/>
        <sz val="8"/>
        <rFont val="Arial"/>
        <family val="2"/>
      </rPr>
      <t>Mutagens</t>
    </r>
  </si>
  <si>
    <r>
      <t>3</t>
    </r>
    <r>
      <rPr>
        <b/>
        <sz val="8"/>
        <rFont val="Arial"/>
        <family val="2"/>
      </rPr>
      <t>Noncarcinogens</t>
    </r>
  </si>
  <si>
    <r>
      <t>1</t>
    </r>
    <r>
      <rPr>
        <b/>
        <sz val="8"/>
        <rFont val="Arial"/>
        <family val="2"/>
      </rPr>
      <t>Carcinogens</t>
    </r>
  </si>
  <si>
    <r>
      <t>2</t>
    </r>
    <r>
      <rPr>
        <b/>
        <sz val="8"/>
        <rFont val="Arial"/>
        <family val="2"/>
      </rPr>
      <t>Noncarcinogens</t>
    </r>
  </si>
  <si>
    <t>carbon</t>
  </si>
  <si>
    <t>component</t>
  </si>
  <si>
    <t>Steps 1 and 2:
Click in cell and use pull-down boxes to make selection.</t>
  </si>
  <si>
    <t>ENDRIN</t>
  </si>
  <si>
    <t>ETHYLBENZENE</t>
  </si>
  <si>
    <t>FLUORANTHENE</t>
  </si>
  <si>
    <t>FLUORENE</t>
  </si>
  <si>
    <t>HEPTACHLOR</t>
  </si>
  <si>
    <t>HEPTACHLOR EPOXIDE</t>
  </si>
  <si>
    <t>HEXACHLOROBUTADIENE</t>
  </si>
  <si>
    <t>HEXACHLOROETHANE</t>
  </si>
  <si>
    <t>INDENO(1,2,3-cd)PYRENE</t>
  </si>
  <si>
    <t>LEAD</t>
  </si>
  <si>
    <t>MERCURY</t>
  </si>
  <si>
    <t>METHOXYCHLOR</t>
  </si>
  <si>
    <t>METHYLENE CHLORIDE</t>
  </si>
  <si>
    <t>METHYL ETHYL KETONE</t>
  </si>
  <si>
    <t>METHYL ISOBUTYL KETONE</t>
  </si>
  <si>
    <t>METHYL MERCURY</t>
  </si>
  <si>
    <t>METHYL TERT BUTYL ETHER</t>
  </si>
  <si>
    <t xml:space="preserve">Reference: </t>
  </si>
  <si>
    <t>Ceiling Level: Odor threshold, 1/2 solubility or 50000 ug/L maximum, whichever is lower. Intended to limit</t>
  </si>
  <si>
    <t>Odor Index &lt; 0.1 OR
non-odorous chemical</t>
  </si>
  <si>
    <t>Subsurface Soils</t>
  </si>
  <si>
    <t>50% MOEE FW Chronic AWQC</t>
  </si>
  <si>
    <t>Unrestricted</t>
  </si>
  <si>
    <t>Commercial/
Industrial Only</t>
  </si>
  <si>
    <t>DICHLORODIPHENYLDICHLOROETHANE (DDD)</t>
  </si>
  <si>
    <t>DICHLORODIPHENYLDICHLOROETHYLENE (DDE)</t>
  </si>
  <si>
    <t>DICHLORODIPHENYLTRICHLOROETHANE (DDT)</t>
  </si>
  <si>
    <t>HEXACHLOROCYCLOHEXANE (gamma) LINDANE</t>
  </si>
  <si>
    <t>POLYCHLORINATED BIPHENYLS (PCBs)</t>
  </si>
  <si>
    <t>TOLUENE</t>
  </si>
  <si>
    <t>-</t>
  </si>
  <si>
    <t>5.0</t>
  </si>
  <si>
    <t>Cal DHS AL</t>
  </si>
  <si>
    <t>ENDOSULFAN</t>
  </si>
  <si>
    <t>HEXACHLOROBENZENE</t>
  </si>
  <si>
    <t>USEPA: U.S. Environmental Protection Agency</t>
  </si>
  <si>
    <t>Modified from Ontario Ministry of Environment and Energy (MOEE 1996) and Massachusetts</t>
  </si>
  <si>
    <r>
      <t>(Risk = 10</t>
    </r>
    <r>
      <rPr>
        <b/>
        <vertAlign val="superscript"/>
        <sz val="8"/>
        <rFont val="Arial"/>
        <family val="2"/>
      </rPr>
      <t>-6</t>
    </r>
    <r>
      <rPr>
        <b/>
        <sz val="8"/>
        <rFont val="Arial"/>
        <family val="2"/>
      </rPr>
      <t>)</t>
    </r>
  </si>
  <si>
    <t>not apploicable</t>
  </si>
  <si>
    <r>
      <t>(ug/m</t>
    </r>
    <r>
      <rPr>
        <b/>
        <vertAlign val="superscript"/>
        <sz val="8"/>
        <rFont val="Arial"/>
        <family val="2"/>
      </rPr>
      <t>3</t>
    </r>
    <r>
      <rPr>
        <b/>
        <sz val="8"/>
        <rFont val="Arial"/>
        <family val="2"/>
      </rPr>
      <t>)</t>
    </r>
    <r>
      <rPr>
        <b/>
        <vertAlign val="superscript"/>
        <sz val="8"/>
        <rFont val="Arial"/>
        <family val="2"/>
      </rPr>
      <t>-1</t>
    </r>
  </si>
  <si>
    <t>Groundwater Category Drinking Water Resource - protective of groundwater that is a source of drinking water AND protective of discharge of groundwater to a surface water and subsequent impact on aquatic life.</t>
  </si>
  <si>
    <r>
      <t>(cm</t>
    </r>
    <r>
      <rPr>
        <vertAlign val="superscript"/>
        <sz val="8"/>
        <color indexed="10"/>
        <rFont val="Arial"/>
        <family val="2"/>
      </rPr>
      <t>3</t>
    </r>
    <r>
      <rPr>
        <sz val="8"/>
        <color indexed="10"/>
        <rFont val="Arial"/>
        <family val="2"/>
      </rPr>
      <t>/g)</t>
    </r>
  </si>
  <si>
    <t>Odor Index = VP/ORT in ppm-v</t>
  </si>
  <si>
    <t>Background</t>
  </si>
  <si>
    <t>DIBROMO,1,2- CHLOROPROPANE,3-</t>
  </si>
  <si>
    <t>DIOXANE, 1,4-</t>
  </si>
  <si>
    <t>Physio-chemical constants Ontario MOEE (MOEE 1996) except as noted.</t>
  </si>
  <si>
    <t>Unrestricted Land Use
(includes Residential, Schools, Parkland, etc.)</t>
  </si>
  <si>
    <t>Industrial/Commercial
Land Use Only</t>
  </si>
  <si>
    <t>Steps 1 through 3 refer to the EAL - Site Input Worksheet ("EAL Surfer - Tier 1 EALs")</t>
  </si>
  <si>
    <t>Noncancer Effects</t>
  </si>
  <si>
    <t>TPH (gasolines) action level rounded from 95 ug/L to 100 ug/L.</t>
  </si>
  <si>
    <r>
      <t>Target risk = 10</t>
    </r>
    <r>
      <rPr>
        <vertAlign val="superscript"/>
        <sz val="8"/>
        <rFont val="Arial"/>
        <family val="2"/>
      </rPr>
      <t>-6</t>
    </r>
    <r>
      <rPr>
        <sz val="8"/>
        <rFont val="Arial"/>
        <family val="2"/>
      </rPr>
      <t>.  Target HQ = 1.0.  See Appendix 2 for equations.</t>
    </r>
  </si>
  <si>
    <t>Leaching &amp; Groundwater Protection</t>
  </si>
  <si>
    <t>Final Environmental Action Level is lowest of gross contamination, ecotoxicity, direct-exposure, vapor intrusion and leaching action levels.</t>
  </si>
  <si>
    <t>Indoor air action levels listed only for volatile chemicals included in database of referenced model spreadsheet (plus MTBE).</t>
  </si>
  <si>
    <t>Indoor air action level for ethanol based on potential odor concerns (refer to Chapter 4 and Table F series).  Human health risk toxicity data not available but likely to exceed odor thresholds.</t>
  </si>
  <si>
    <t xml:space="preserve">    soil leaching action levels for protection of groundwater quality.</t>
  </si>
  <si>
    <t>1.  Lowest of gross contamination, drinking water toxicity, aquatic habitat and bioaccumulation action levels.</t>
  </si>
  <si>
    <t>1.  Lowest of gross contamination, aquatic habitat and bioaccumulation action levels.</t>
  </si>
  <si>
    <t>Final health-based screening level for drinking water: HDOH Primary MCLs or, in order of preference and availability, USEPA Primary MCL and risk-based Tapwater Goal (Table D-3b)</t>
  </si>
  <si>
    <t>Reference: Appendix 1, Table D-4b (chronic) and D-4c (acute).</t>
  </si>
  <si>
    <t>Used for development of groundwater and soil action levels.</t>
  </si>
  <si>
    <t>See text for prioritization and selection of surface water quality action levels.</t>
  </si>
  <si>
    <t>TABLE D-4b. SUMMARY OF SELECTED CHRONIC AQUATIC HABITAT GOALS</t>
  </si>
  <si>
    <t>TABLE D-4a.  SUMMARY OF AQUATIC HABITAT GOALS</t>
  </si>
  <si>
    <t>Table D-4a</t>
  </si>
  <si>
    <t>Solubility (1/2)</t>
  </si>
  <si>
    <t>Taste And Odor
Threshold</t>
  </si>
  <si>
    <t>Upper Limit</t>
  </si>
  <si>
    <t>Ontario MOEE</t>
  </si>
  <si>
    <r>
      <t>STEP 3 (optional):</t>
    </r>
    <r>
      <rPr>
        <sz val="12"/>
        <rFont val="Times New Roman"/>
        <family val="1"/>
      </rPr>
      <t xml:space="preserve"> Input representative site chemical concentration in soil, groundwater and/or soil gas.  Surfer identifies if EALs exceeded.  Refer to Detailed EAL worksheet tab to tentatively identified environmental hazards.</t>
    </r>
  </si>
  <si>
    <t>See also attached Tier 1 EAL Summary Report, Chemical Summary, Glossary and Advanced EHE Overview.</t>
  </si>
  <si>
    <t>Decreased body weight</t>
  </si>
  <si>
    <t>4,5</t>
  </si>
  <si>
    <t>2,6</t>
  </si>
  <si>
    <t>2,3</t>
  </si>
  <si>
    <t>No data, TNT data shown</t>
  </si>
  <si>
    <t>2,3,5</t>
  </si>
  <si>
    <t>1,2,3,5</t>
  </si>
  <si>
    <t>3,4,5</t>
  </si>
  <si>
    <t>1,5</t>
  </si>
  <si>
    <t>?</t>
  </si>
  <si>
    <t>6,7</t>
  </si>
  <si>
    <t>1,2,4,5</t>
  </si>
  <si>
    <t>2,3,4,5</t>
  </si>
  <si>
    <t>bone loss (1,3)</t>
  </si>
  <si>
    <t>1,3,5</t>
  </si>
  <si>
    <t>2,4</t>
  </si>
  <si>
    <t>2,5</t>
  </si>
  <si>
    <t>1,4,5</t>
  </si>
  <si>
    <t>hearing (2)</t>
  </si>
  <si>
    <t>2,5,7</t>
  </si>
  <si>
    <t>1,2,5</t>
  </si>
  <si>
    <t>1,</t>
  </si>
  <si>
    <t>2,3,4,6</t>
  </si>
  <si>
    <t>Information not available</t>
  </si>
  <si>
    <t>2,3,5,6</t>
  </si>
  <si>
    <t>2,3,6</t>
  </si>
  <si>
    <t>B1?</t>
  </si>
  <si>
    <t>4.9E-02</t>
  </si>
  <si>
    <r>
      <t>(mg/kg-day)</t>
    </r>
    <r>
      <rPr>
        <vertAlign val="superscript"/>
        <sz val="10"/>
        <rFont val="Arial"/>
        <family val="2"/>
      </rPr>
      <t>-1</t>
    </r>
  </si>
  <si>
    <r>
      <t>cm</t>
    </r>
    <r>
      <rPr>
        <vertAlign val="superscript"/>
        <sz val="10"/>
        <rFont val="Arial"/>
        <family val="2"/>
      </rPr>
      <t>3</t>
    </r>
    <r>
      <rPr>
        <sz val="10"/>
        <rFont val="Arial"/>
        <family val="2"/>
      </rPr>
      <t>/g</t>
    </r>
  </si>
  <si>
    <r>
      <t>cm</t>
    </r>
    <r>
      <rPr>
        <vertAlign val="superscript"/>
        <sz val="10"/>
        <rFont val="Arial"/>
        <family val="2"/>
      </rPr>
      <t>2</t>
    </r>
    <r>
      <rPr>
        <sz val="10"/>
        <rFont val="Arial"/>
        <family val="2"/>
      </rPr>
      <t>/s</t>
    </r>
  </si>
  <si>
    <r>
      <t>atm-m</t>
    </r>
    <r>
      <rPr>
        <vertAlign val="superscript"/>
        <sz val="10"/>
        <rFont val="Arial"/>
        <family val="2"/>
      </rPr>
      <t>3</t>
    </r>
    <r>
      <rPr>
        <sz val="10"/>
        <rFont val="Arial"/>
        <family val="2"/>
      </rPr>
      <t>/mol</t>
    </r>
  </si>
  <si>
    <r>
      <t>1</t>
    </r>
    <r>
      <rPr>
        <b/>
        <sz val="8"/>
        <rFont val="Arial"/>
        <family val="2"/>
      </rPr>
      <t>Aquatic Habitat Goals</t>
    </r>
  </si>
  <si>
    <t>Cardiovascular</t>
  </si>
  <si>
    <t>Developmental</t>
  </si>
  <si>
    <t>Endocrine</t>
  </si>
  <si>
    <t>Eye</t>
  </si>
  <si>
    <t>Hematologic</t>
  </si>
  <si>
    <t>Immune</t>
  </si>
  <si>
    <t>Kidney</t>
  </si>
  <si>
    <t>Nervous</t>
  </si>
  <si>
    <t>Reproductive</t>
  </si>
  <si>
    <t>Respiratory</t>
  </si>
  <si>
    <t>5,6</t>
  </si>
  <si>
    <t>5,7</t>
  </si>
  <si>
    <t>3,4,6</t>
  </si>
  <si>
    <t>1,2,3,4</t>
  </si>
  <si>
    <t>1,2</t>
  </si>
  <si>
    <t>Odor threshold for MTBE based on average, upper range at which most subjects could smell MTBE in water (CalEPA 1999).</t>
  </si>
  <si>
    <t>Nuisance Odor Thresholds assume ten-fold attenuation/dilution of chemical in groundwater upon discharge to surface water.</t>
  </si>
  <si>
    <t>Urban Area Ecotoxicity Criteria (mg/kg)</t>
  </si>
  <si>
    <t>Residential Areas</t>
  </si>
  <si>
    <t>Commercial/
Industrial areas</t>
  </si>
  <si>
    <t>Table F-3</t>
  </si>
  <si>
    <t>Table I-1</t>
  </si>
  <si>
    <t>MOLYBDENUM</t>
  </si>
  <si>
    <t>NAPHTHALENE</t>
  </si>
  <si>
    <t>PENTACHLOROPHENOL</t>
  </si>
  <si>
    <t>PHENANTHRENE</t>
  </si>
  <si>
    <t>PHENOL</t>
  </si>
  <si>
    <t>PYRENE</t>
  </si>
  <si>
    <t>SELENIUM</t>
  </si>
  <si>
    <t>STYRENE</t>
  </si>
  <si>
    <t>TETRACHLOROETHANE, 1,1,1,2-</t>
  </si>
  <si>
    <t>TETRACHLOROETHANE, 1,1,2,2-</t>
  </si>
  <si>
    <t>TETRACHLOROETHYLENE</t>
  </si>
  <si>
    <t>THALLIUM</t>
  </si>
  <si>
    <t>TRICHLOROETHANE, 1,1,2-</t>
  </si>
  <si>
    <t>TRICHLOROETHYLENE</t>
  </si>
  <si>
    <t>TRICHLOROPHENOL, 2,4,5-</t>
  </si>
  <si>
    <t>TRICHLOROPHENOL, 2,4,6-</t>
  </si>
  <si>
    <t>VANADIUM</t>
  </si>
  <si>
    <t>VINYL CHLORIDE</t>
  </si>
  <si>
    <t>XYLENES</t>
  </si>
  <si>
    <t>ZINC</t>
  </si>
  <si>
    <t>Basis</t>
  </si>
  <si>
    <t>2.0</t>
  </si>
  <si>
    <t>DIBROMOETHANE, 1,2-</t>
  </si>
  <si>
    <t>Notes:</t>
  </si>
  <si>
    <t>1. Default &gt;3m below ground surface for residential settings and &gt;1m below unpaved ground surface for commercial/industrial settings.</t>
  </si>
  <si>
    <t>1. Based on assumed residential exposure scenario.  Considered adequate for residential housing, schools, medical facilities, day-care centers, parks and other sensitive uses.</t>
  </si>
  <si>
    <t>1. Based on unrestricted current or future land use.  Considered adequate for residential housing, schools, medical facilities, day-care centers, parks and other sensitive uses.</t>
  </si>
  <si>
    <t>1. Based on unrestricted current or future land use. Considered adequate for residential housing, schools, medical facilities, day-care centers, parks and other sensitive uses.</t>
  </si>
  <si>
    <r>
      <t>STEP 1.</t>
    </r>
    <r>
      <rPr>
        <sz val="12"/>
        <rFont val="Times New Roman"/>
        <family val="1"/>
      </rPr>
      <t xml:space="preserve"> Input site Land Use, Depth of Impacted Soil and Groundwater Utility.  Check with overseeing agency to ensure that proper categories are selected.  "Unrestricted Land Use" category recommended for initial use at all sites to determine if future land use restrictions are needed. (Refer to Volume 1, Section 2.) </t>
    </r>
  </si>
  <si>
    <t>TABLE A-2.  SOIL ACTION LEVELS
(Potentially impacted groundwater IS a current or potential drinking water resource;
Surface water body IS located within 150m of release site)</t>
  </si>
  <si>
    <t>TABLE B-1.  SOIL ACTION LEVELS
(Potentially impacted groundwater IS NOT a current or potential drinking water resource;
Surface water body IS NOT located within 150m of release site)</t>
  </si>
  <si>
    <t>TABLE B-2.  SOIL ACTION LEVELS
(Potentially impacted groundwater IS NOT a current or potential drinking water resource;
Surface water body IS located within 150m of release site)</t>
  </si>
  <si>
    <t>Target cancer risk = 1E-06, Target Hazard Quotient = 0.2 except as noted.</t>
  </si>
  <si>
    <t>Selected?</t>
  </si>
  <si>
    <t>Table A-1:</t>
  </si>
  <si>
    <t>Table B-1:</t>
  </si>
  <si>
    <t>Table B-2:</t>
  </si>
  <si>
    <t>Drinking Water:</t>
  </si>
  <si>
    <t>Aquatic Ecotoxicity:</t>
  </si>
  <si>
    <t>Land Use:</t>
  </si>
  <si>
    <t>Selected Criteria</t>
  </si>
  <si>
    <r>
      <t>1</t>
    </r>
    <r>
      <rPr>
        <b/>
        <sz val="8"/>
        <rFont val="Arial"/>
        <family val="2"/>
      </rPr>
      <t>HI DOH WQS</t>
    </r>
  </si>
  <si>
    <r>
      <t>2</t>
    </r>
    <r>
      <rPr>
        <b/>
        <sz val="8"/>
        <rFont val="Arial"/>
        <family val="2"/>
      </rPr>
      <t>USEPA NWQC</t>
    </r>
  </si>
  <si>
    <t>Hawai'I Surface Water Quality Standards for fish consumption considered if available.</t>
  </si>
  <si>
    <t>2. USEPA National Recommended Water Quality Criteria (USEPA 2006).</t>
  </si>
  <si>
    <t>TABLE D-4f. SURFACE WATER QUALITY STANDARDS FOR BIOACCUMULATION
AND HUMAN CONSUMPTION OF AQUATIC ORGANISMS</t>
  </si>
  <si>
    <r>
      <t>A Compiliation of Water Quality Goals</t>
    </r>
    <r>
      <rPr>
        <sz val="8"/>
        <rFont val="Arial"/>
        <family val="2"/>
      </rPr>
      <t xml:space="preserve"> (RWQCBCV 2007).</t>
    </r>
  </si>
  <si>
    <t xml:space="preserve">Action levels for perchlorate calculated using leaching equation in USEPA Soil Screening Guidance and assumed Dilution/Attenuation Factor of 20 (see text). </t>
  </si>
  <si>
    <t xml:space="preserve">    levels for protection of indoor air under a residential exposure scenario carried forward for use at both residential and</t>
  </si>
  <si>
    <t xml:space="preserve"> vadose-zone prior to emission at surface.</t>
  </si>
  <si>
    <t>Estuarine</t>
  </si>
  <si>
    <t>Aquatic goals for estuarine environments based on lowest of lowest of freshwater and marine goals.</t>
  </si>
  <si>
    <t>Target Cancer Risk
(Const. Workers)</t>
  </si>
  <si>
    <t>HIDE COLUMN</t>
  </si>
  <si>
    <t>Tier 1
Action Level</t>
  </si>
  <si>
    <t>2. Environmental hazard could exist of concentration of contaminant exceeds action level.</t>
  </si>
  <si>
    <t>Example advanced Environmental Hazard Evaluation options
when Tier 1 EALs exceeded and cleanup to EALs is not feasible
 (see also Chapter 4 of EHE Guidance)</t>
  </si>
  <si>
    <t>Site Scenarios</t>
  </si>
  <si>
    <t>NA</t>
  </si>
  <si>
    <t>1. CalEPA, 2005, Consolidated Table of Chronic Reference Exposure Levels: California Environmental Protection Agency, Office of Environmental Health Hazard Assessment/Air Resources Board, April 2005,</t>
  </si>
  <si>
    <t>http://www.arb.ca.gov/toxics/healthval/healthval.htm</t>
  </si>
  <si>
    <t>2. CDC, 2007, International Chemical Safety Cards: International Programme on Chemical Safety: United Nations Environment Program, International Labour Office</t>
  </si>
  <si>
    <t>Physical state of chemical at ambient conditions (V - volatile, NV - nonvolatile, S -solid, L - liquid, G - gas).</t>
  </si>
  <si>
    <t>vadose-zone prior to emission at surface.</t>
  </si>
  <si>
    <t>Carcinogen</t>
  </si>
  <si>
    <t>Alimentary Tract</t>
  </si>
  <si>
    <t>Site Scenario Selected:</t>
  </si>
  <si>
    <t>Chemical Selected:</t>
  </si>
  <si>
    <t>Groundwater ALs &gt;150m to Surface Water Body: Groundwater screened with respect to acute surface water goals (See Table D-1b).</t>
  </si>
  <si>
    <r>
      <t xml:space="preserve">Groundwater ALs </t>
    </r>
    <r>
      <rPr>
        <u/>
        <sz val="8"/>
        <rFont val="Arial"/>
        <family val="2"/>
      </rPr>
      <t>&lt;</t>
    </r>
    <r>
      <rPr>
        <sz val="8"/>
        <rFont val="Arial"/>
        <family val="2"/>
      </rPr>
      <t>150m to Surface Water Body: Groundwater screened with respect to chronic surface water goals (see Table D-1a).</t>
    </r>
  </si>
  <si>
    <t>INDOOR AIR
ACTION LEVELS</t>
  </si>
  <si>
    <t>SURFACE WATER
ACTION LEVELS</t>
  </si>
  <si>
    <t>Estuarine action levels lowest of freshwater and marine action levels.</t>
  </si>
  <si>
    <t>Water EALs for ethanol based on gross contamination concerns (see Appendix 1, Chapter 5 and related tables).</t>
  </si>
  <si>
    <t>(RWQCBCV 2007) or Ontario MOEE if not available (MOEE 1996).</t>
  </si>
  <si>
    <r>
      <t xml:space="preserve">presented in </t>
    </r>
    <r>
      <rPr>
        <i/>
        <sz val="8"/>
        <rFont val="Arial"/>
        <family val="2"/>
      </rPr>
      <t xml:space="preserve">A Compilation of Water Quality Goals </t>
    </r>
    <r>
      <rPr>
        <sz val="8"/>
        <rFont val="Arial"/>
        <family val="2"/>
      </rPr>
      <t>if not available</t>
    </r>
    <r>
      <rPr>
        <i/>
        <sz val="8"/>
        <rFont val="Arial"/>
        <family val="2"/>
      </rPr>
      <t xml:space="preserve"> (RWQCBCV 2007).</t>
    </r>
  </si>
  <si>
    <t xml:space="preserve"> 2007).</t>
  </si>
  <si>
    <t>Final</t>
  </si>
  <si>
    <t>(HQ = 1.0)</t>
  </si>
  <si>
    <t>Saturation</t>
  </si>
  <si>
    <t>See text for equations and assumptions used in models.</t>
  </si>
  <si>
    <t>carried out on a site-specific basis.</t>
  </si>
  <si>
    <t>Vapor Intrusion
Into Buildings</t>
  </si>
  <si>
    <t>ACENAPHTHENE</t>
  </si>
  <si>
    <t>ACENAPHTHYLENE</t>
  </si>
  <si>
    <t>ACETONE</t>
  </si>
  <si>
    <t>ALDRIN</t>
  </si>
  <si>
    <t>ANTHRACENE</t>
  </si>
  <si>
    <t>ANTIMONY</t>
  </si>
  <si>
    <t>Input Soil Concentration (mg/kg):</t>
  </si>
  <si>
    <t>Input Groundwater Concentration (ug/L):</t>
  </si>
  <si>
    <r>
      <t>Input Soil Gas Concentration (ug/m</t>
    </r>
    <r>
      <rPr>
        <vertAlign val="superscript"/>
        <sz val="10"/>
        <rFont val="Arial"/>
        <family val="2"/>
      </rPr>
      <t>3</t>
    </r>
    <r>
      <rPr>
        <sz val="10"/>
        <rFont val="Arial"/>
        <family val="2"/>
      </rPr>
      <t>)</t>
    </r>
  </si>
  <si>
    <r>
      <t>3</t>
    </r>
    <r>
      <rPr>
        <b/>
        <sz val="12"/>
        <rFont val="Times New Roman"/>
        <family val="1"/>
      </rPr>
      <t>Referenced Table</t>
    </r>
  </si>
  <si>
    <r>
      <t xml:space="preserve">1. Include Surfer Summary Report in appendices of </t>
    </r>
    <r>
      <rPr>
        <i/>
        <sz val="11"/>
        <rFont val="Times New Roman"/>
        <family val="1"/>
      </rPr>
      <t>Environmental Hazard Evaluation</t>
    </r>
    <r>
      <rPr>
        <sz val="11"/>
        <rFont val="Times New Roman"/>
        <family val="1"/>
      </rPr>
      <t xml:space="preserve"> (EHE) for contaminants that exceed Tier 1 EALs (refer to Chapter 3 of main text).</t>
    </r>
  </si>
  <si>
    <t>Date of EAL Search:</t>
  </si>
  <si>
    <r>
      <t xml:space="preserve">STEP 3 (optional): Enter site data.
</t>
    </r>
    <r>
      <rPr>
        <b/>
        <sz val="10"/>
        <rFont val="Times New Roman"/>
        <family val="1"/>
      </rPr>
      <t xml:space="preserve">(Potential environmental hazards highlighted
in </t>
    </r>
    <r>
      <rPr>
        <b/>
        <sz val="10"/>
        <color indexed="10"/>
        <rFont val="Times New Roman"/>
        <family val="1"/>
      </rPr>
      <t>Red</t>
    </r>
    <r>
      <rPr>
        <b/>
        <sz val="10"/>
        <rFont val="Times New Roman"/>
        <family val="1"/>
      </rPr>
      <t xml:space="preserve"> on Detailed EAL worksheet.)</t>
    </r>
  </si>
  <si>
    <t>4. Illinois, 2001, Tiered Approach to Corrective Action Objectives (TACO): Illinois Environmental Protection Agency, Title 35, Subtitle G, Chapter I, Subchapter f, Part 742, Appendix A, Table E, Similar-Acting Noncarcinogenic Chemicals (accessed December 2007), http://www.ipcb.state.il.us/SLR/IPCBandIEPAEnvironmentalRegulations-Title35.asp</t>
  </si>
  <si>
    <t>5. USEPA, 2007, IRIS: U.S. Environmental Protection Agency, IRIS Database (accessed December 2007); (Critical effect used for derivation of USEPA RfD as presented in IRIS database; may not be inclusive</t>
  </si>
  <si>
    <r>
      <t>Distance to Surface Water Body:</t>
    </r>
    <r>
      <rPr>
        <sz val="12"/>
        <rFont val="Times New Roman"/>
        <family val="1"/>
      </rPr>
      <t xml:space="preserve"> Used to evaluate potential impacts to aquatic habitats.  Chronic aquatic toxicity goals used to screen groundwater situated </t>
    </r>
    <r>
      <rPr>
        <u/>
        <sz val="12"/>
        <rFont val="Times New Roman"/>
        <family val="1"/>
      </rPr>
      <t>&lt;</t>
    </r>
    <r>
      <rPr>
        <sz val="12"/>
        <rFont val="Times New Roman"/>
        <family val="1"/>
      </rPr>
      <t xml:space="preserve">150m from an aquatic habitat.  Acute aquatic toxicity goals used to screen groundwater situated &gt;150m from an aquatic habitat.  Potential for groundwater contaminated above chronic goals to migrate into the 150m buffer zone must also be evaluated. </t>
    </r>
  </si>
  <si>
    <r>
      <t>Groundwater Utility:</t>
    </r>
    <r>
      <rPr>
        <sz val="12"/>
        <rFont val="Times New Roman"/>
        <family val="1"/>
      </rPr>
      <t xml:space="preserve"> Groundwater categorized as drinking water or nondrinking water resource.  See Section 2.4 of Volume 1 for determination of groundwater utility at a specific site.</t>
    </r>
  </si>
  <si>
    <r>
      <t xml:space="preserve">Vapor Emissions To Indoor Air: </t>
    </r>
    <r>
      <rPr>
        <sz val="12"/>
        <rFont val="Times New Roman"/>
        <family val="1"/>
      </rPr>
      <t>Address potential impacts to indoor air due to the intrusion of vapors from underlying, contaminated soil.</t>
    </r>
  </si>
  <si>
    <r>
      <t xml:space="preserve">Vapor Emissions To Indoor Air: </t>
    </r>
    <r>
      <rPr>
        <sz val="12"/>
        <rFont val="Times New Roman"/>
        <family val="1"/>
      </rPr>
      <t>Address potential impacts to indoor air due to the intrusion of vapors from underlying, contaminated groundwater.</t>
    </r>
  </si>
  <si>
    <r>
      <t xml:space="preserve">Gross Contamination:  </t>
    </r>
    <r>
      <rPr>
        <sz val="12"/>
        <rFont val="Times New Roman"/>
        <family val="1"/>
      </rPr>
      <t>Address odor, nuisance, generation of explosive vapors and other, non-risk related hazards posed by heavily contaminated soil.</t>
    </r>
  </si>
  <si>
    <r>
      <t xml:space="preserve">Indoor Air: </t>
    </r>
    <r>
      <rPr>
        <sz val="12"/>
        <rFont val="Times New Roman"/>
        <family val="1"/>
      </rPr>
      <t>Address direct exposure to volatile chemicals via inhalation.</t>
    </r>
  </si>
  <si>
    <t>Summary of Toxicity and Fate &amp; Transport Information</t>
  </si>
  <si>
    <t>Appendix 1
Reference Table</t>
  </si>
  <si>
    <t>Cancer Slope Factor - oral</t>
  </si>
  <si>
    <t>2. Soil model: One meter dry sandy soil (92% sand, 5% silt, 3% clay) over one meter moist clayey loam (33% sand, 34% silt,</t>
  </si>
  <si>
    <t>Soil model: Two meters dry sandy soil (92% sand, 5% silt, 3% clay) directly underlying building foundation.</t>
  </si>
  <si>
    <t>1. Shallow soil gas defined as soil gas sample data collected within 1.5 meters (five feet) from a building foundation or the ground surface.  Assumes very permeable (e.g., sandy) fill</t>
  </si>
  <si>
    <t>Tier 1 Environmental Action Levels Surfer
(Screening Levels For Specific Environmental Hazards)</t>
  </si>
  <si>
    <t>TABLE C-1a. GROUNDWATER ACTION LEVELS 
FOR EVALUATION OF POTENTIAL VAPOR INTRUSION HAZARDS
(volatile chemicals only)</t>
  </si>
  <si>
    <t>TABLE C-1b. SOIL ACTION LEVELS 
FOR EVALUATION OF POTENTIAL VAPOR INTRUSION HAZARDS
(volatile chemicals only)
(Use with Soil Gas Action Levels for sites with significant VOC releases)</t>
  </si>
  <si>
    <r>
      <t xml:space="preserve">TABLE I-1. DIRECT-EXPOSURE ACTION LEVELS
</t>
    </r>
    <r>
      <rPr>
        <b/>
        <vertAlign val="superscript"/>
        <sz val="12"/>
        <rFont val="Arial"/>
        <family val="2"/>
      </rPr>
      <t>1</t>
    </r>
    <r>
      <rPr>
        <b/>
        <sz val="12"/>
        <rFont val="Arial"/>
        <family val="2"/>
      </rPr>
      <t>UNRESTRICTED LAND USE SCENARIO</t>
    </r>
  </si>
  <si>
    <t>TABLE I-2. DIRECT-EXPOSURE ACTION LEVELS
COMMERCIAL/INDUSTRIAL  LAND USE SCENARIO</t>
  </si>
  <si>
    <t>Toxicity factors for ethanol not developed. Assumed to primarily pose gross contamination hazards in soil and water (odors, taste, etc.).  Vapors in heavily contaminated soil could pose explosive hazards.</t>
  </si>
  <si>
    <t>Final Tier 1 Gross Contamination:</t>
  </si>
  <si>
    <t>Review published or site-specific data to evaluate natural background concentrations of metals in soil or groundwater if Tier 1 EAL exceeded and no known potential source of a release.</t>
  </si>
  <si>
    <t>Soil and Groundwater Background</t>
  </si>
  <si>
    <t>Carcinogenic</t>
  </si>
  <si>
    <t>Effects</t>
  </si>
  <si>
    <t>Noncarcinogenic</t>
  </si>
  <si>
    <t>Table G-3</t>
  </si>
  <si>
    <t>Table G-4</t>
  </si>
  <si>
    <t>Table D-4F</t>
  </si>
  <si>
    <t>METHYLNAPHTHALENE, 1-</t>
  </si>
  <si>
    <t>METHYLNAPHTHALENE, 2-</t>
  </si>
  <si>
    <t>#METHYLNAPHTHALENE, 1-</t>
  </si>
  <si>
    <t>#METHYLNAPHTHALENE, 2-</t>
  </si>
  <si>
    <t>DIOXINS (TEQ)</t>
  </si>
  <si>
    <t>Addresses potential accumulation of chemical in aquatic organisms and subsequent consumption by humans.</t>
  </si>
  <si>
    <t>For</t>
  </si>
  <si>
    <t>VLOOKUP</t>
  </si>
  <si>
    <r>
      <t xml:space="preserve">dilution factor) OR data from Amoore and Hautala (1983) as presented in </t>
    </r>
    <r>
      <rPr>
        <i/>
        <sz val="8"/>
        <rFont val="Arial"/>
        <family val="2"/>
      </rPr>
      <t xml:space="preserve">A Compilation of Water Quality Goals </t>
    </r>
    <r>
      <rPr>
        <sz val="8"/>
        <rFont val="Arial"/>
        <family val="2"/>
      </rPr>
      <t>if not available (RWQCBCV</t>
    </r>
  </si>
  <si>
    <t>Bioaccumulation
and Human Consumption</t>
  </si>
  <si>
    <t>nuisances and general resource degradation.</t>
  </si>
  <si>
    <r>
      <t>2</t>
    </r>
    <r>
      <rPr>
        <sz val="11"/>
        <rFont val="Times New Roman"/>
        <family val="1"/>
      </rPr>
      <t>Land Use:</t>
    </r>
  </si>
  <si>
    <t>TRIFLURALIN</t>
  </si>
  <si>
    <t>TRINITROPHENYLMETHYLNITRAMINE, 2,4,6- (TETRYL)</t>
  </si>
  <si>
    <t>TRINITROTOLUENE, 1,3,5-</t>
  </si>
  <si>
    <t>TRINITROTOLUENE, 2,4,6- (TNT)</t>
  </si>
  <si>
    <t>Direct
Exposure</t>
  </si>
  <si>
    <t>Drinking Water Resource</t>
  </si>
  <si>
    <t>Final Groundwater Tier 1 EAL:</t>
  </si>
  <si>
    <t>Addresses use of water for drinking water and inhalation of volatile chemicals during showering.</t>
  </si>
  <si>
    <t>Drinking Water
(Toxicity)</t>
  </si>
  <si>
    <t>Table I-3</t>
  </si>
  <si>
    <t>CHROMIUM (Total)</t>
  </si>
  <si>
    <t>CONTAMINANT</t>
  </si>
  <si>
    <t>CHLORDANE (TECHNICAL)</t>
  </si>
  <si>
    <t>Electrical Conductivity
(mS/cm, USEPA Method 120.1 MOD)</t>
  </si>
  <si>
    <t>Sodium Adsorption Ratio</t>
  </si>
  <si>
    <t>Assumes soil pH 5.0 to 9.0.</t>
  </si>
  <si>
    <t>Skin</t>
  </si>
  <si>
    <t>Slope</t>
  </si>
  <si>
    <t>partition</t>
  </si>
  <si>
    <t>Diffusivity</t>
  </si>
  <si>
    <t>water</t>
  </si>
  <si>
    <t>Henry's</t>
  </si>
  <si>
    <t>Absorption</t>
  </si>
  <si>
    <t>Factor</t>
  </si>
  <si>
    <t>Dose</t>
  </si>
  <si>
    <t>coefficient,</t>
  </si>
  <si>
    <t>in air,</t>
  </si>
  <si>
    <t>in water,</t>
  </si>
  <si>
    <t>solubility,</t>
  </si>
  <si>
    <t>Law constant</t>
  </si>
  <si>
    <t>Oral</t>
  </si>
  <si>
    <t>Physical</t>
  </si>
  <si>
    <t>Molecular</t>
  </si>
  <si>
    <r>
      <t>K</t>
    </r>
    <r>
      <rPr>
        <b/>
        <vertAlign val="subscript"/>
        <sz val="8"/>
        <rFont val="Arial"/>
        <family val="2"/>
      </rPr>
      <t>oc</t>
    </r>
  </si>
  <si>
    <r>
      <t>D</t>
    </r>
    <r>
      <rPr>
        <b/>
        <vertAlign val="subscript"/>
        <sz val="8"/>
        <rFont val="Arial"/>
        <family val="2"/>
      </rPr>
      <t>a</t>
    </r>
  </si>
  <si>
    <r>
      <t>D</t>
    </r>
    <r>
      <rPr>
        <b/>
        <vertAlign val="subscript"/>
        <sz val="8"/>
        <rFont val="Arial"/>
        <family val="2"/>
      </rPr>
      <t>w</t>
    </r>
  </si>
  <si>
    <t>S</t>
  </si>
  <si>
    <t>H</t>
  </si>
  <si>
    <t>H'</t>
  </si>
  <si>
    <t>ABS</t>
  </si>
  <si>
    <t>RfDo</t>
  </si>
  <si>
    <t>State</t>
  </si>
  <si>
    <t>Weight</t>
  </si>
  <si>
    <r>
      <t>(cm</t>
    </r>
    <r>
      <rPr>
        <b/>
        <vertAlign val="superscript"/>
        <sz val="8"/>
        <rFont val="Arial"/>
        <family val="2"/>
      </rPr>
      <t>3</t>
    </r>
    <r>
      <rPr>
        <b/>
        <sz val="8"/>
        <rFont val="Arial"/>
        <family val="2"/>
      </rPr>
      <t>/g)</t>
    </r>
  </si>
  <si>
    <r>
      <t>(cm</t>
    </r>
    <r>
      <rPr>
        <b/>
        <vertAlign val="superscript"/>
        <sz val="8"/>
        <rFont val="Arial"/>
        <family val="2"/>
      </rPr>
      <t>2</t>
    </r>
    <r>
      <rPr>
        <b/>
        <sz val="8"/>
        <rFont val="Arial"/>
        <family val="2"/>
      </rPr>
      <t>/s)</t>
    </r>
  </si>
  <si>
    <t>(mg/L)</t>
  </si>
  <si>
    <r>
      <t>(atm-m</t>
    </r>
    <r>
      <rPr>
        <b/>
        <vertAlign val="superscript"/>
        <sz val="8"/>
        <rFont val="Arial"/>
        <family val="2"/>
      </rPr>
      <t>3</t>
    </r>
    <r>
      <rPr>
        <b/>
        <sz val="8"/>
        <rFont val="Arial"/>
        <family val="2"/>
      </rPr>
      <t>/mol)</t>
    </r>
  </si>
  <si>
    <t>(unitless)</t>
  </si>
  <si>
    <t>(mg/kg-d)</t>
  </si>
  <si>
    <t>V</t>
  </si>
  <si>
    <t>L</t>
  </si>
  <si>
    <t>NV</t>
  </si>
  <si>
    <t>Modeled</t>
  </si>
  <si>
    <t>TABLE A.  ENVIRONMENTAL ACTION LEVELS (EALs)
Groundwater IS Current or Potential Source of Drinking Water</t>
  </si>
  <si>
    <t>&gt;150m to Surface Water Body</t>
  </si>
  <si>
    <r>
      <t>&lt;</t>
    </r>
    <r>
      <rPr>
        <b/>
        <sz val="8"/>
        <rFont val="Arial"/>
        <family val="2"/>
      </rPr>
      <t>150m to Surface Water Body</t>
    </r>
  </si>
  <si>
    <r>
      <t>1</t>
    </r>
    <r>
      <rPr>
        <b/>
        <sz val="8"/>
        <rFont val="Arial"/>
        <family val="2"/>
      </rPr>
      <t>Soil
 (mg/kg)</t>
    </r>
  </si>
  <si>
    <r>
      <t>2</t>
    </r>
    <r>
      <rPr>
        <b/>
        <sz val="8"/>
        <rFont val="Arial"/>
        <family val="2"/>
      </rPr>
      <t>Groundwater
(ug/L)</t>
    </r>
  </si>
  <si>
    <t>TABLE B.  ENVIRONMENTAL ACTION LEVELS (EALs)
Groundwater IS NOT Current or Potential Source of Drinking Water</t>
  </si>
  <si>
    <t>Volatile?</t>
  </si>
  <si>
    <t>Persistent?</t>
  </si>
  <si>
    <t>Metal?</t>
  </si>
  <si>
    <t>Code</t>
  </si>
  <si>
    <t>N</t>
  </si>
  <si>
    <t>Y</t>
  </si>
  <si>
    <t>Leaching - Non-Persistent NVOCs</t>
  </si>
  <si>
    <t>Modeled Koc</t>
  </si>
  <si>
    <t>Non-persistent contaminant with relatively low mobility potential.  Consider natural attenuation over time in final remedial actions.  See Advanced EHE Options tab of Surfer.</t>
  </si>
  <si>
    <t>CDPH notification level</t>
  </si>
  <si>
    <t>CDPH: California Department of Public Health, Drinking Water Notification Level (December 2007), http://ww2.cdph.ca.gov/certlic/drinkingwater/Pages/NotificationLevels.aspx</t>
  </si>
  <si>
    <t>Terrestrial Ecotoxicity</t>
  </si>
  <si>
    <t>Vapor Intrusion</t>
  </si>
  <si>
    <t>Direct Exposure</t>
  </si>
  <si>
    <t>Aquatic Ecotoxicity</t>
  </si>
  <si>
    <t>Soil Gas</t>
  </si>
  <si>
    <t>Basis:</t>
  </si>
  <si>
    <t>Terrestrial Ecotoxicity:</t>
  </si>
  <si>
    <t>(carcinogens)</t>
  </si>
  <si>
    <t>Raw
Industrial/
Commercial
Action Level</t>
  </si>
  <si>
    <t>TABLE F-1. CRITERIA FOR ASSIGNMENT
OF SOIL GROSS CONTAMINATION ACTION LEVELS</t>
  </si>
  <si>
    <t>Gross Contamination Action Level
(mg/kg)</t>
  </si>
  <si>
    <t>http://www.cdc.gov/niosh/ipcs/icstart.html</t>
  </si>
  <si>
    <t>3. ATSDR, 2007, ToxFAQs™: Agency for Toxic Substances and Disease Registry (accessed December 2007), http://www.atsdr.cdc.gov/toxfaq.html</t>
  </si>
  <si>
    <r>
      <t xml:space="preserve">STEP 2: </t>
    </r>
    <r>
      <rPr>
        <b/>
        <vertAlign val="superscript"/>
        <sz val="12"/>
        <rFont val="Times New Roman"/>
        <family val="1"/>
      </rPr>
      <t>5</t>
    </r>
    <r>
      <rPr>
        <b/>
        <sz val="12"/>
        <rFont val="Times New Roman"/>
        <family val="1"/>
      </rPr>
      <t>Select Contaminant</t>
    </r>
  </si>
  <si>
    <t>ARSENIC</t>
  </si>
  <si>
    <t>BARIUM</t>
  </si>
  <si>
    <t>BENZENE</t>
  </si>
  <si>
    <t>BENZO(a)ANTHRACENE</t>
  </si>
  <si>
    <t>BENZO(a)PYRENE</t>
  </si>
  <si>
    <t>BENZO(b)FLUORANTHENE</t>
  </si>
  <si>
    <t>BENZO(g,h,i)PERYLENE</t>
  </si>
  <si>
    <t>BENZO(k)FLUORANTHENE</t>
  </si>
  <si>
    <t>AWQC: Aquatic Water Quality Criteria</t>
  </si>
  <si>
    <t>Freshwater</t>
  </si>
  <si>
    <t>References:</t>
  </si>
  <si>
    <t>Target cancer risk = 1E-06, Target Hazard Quotient = 0.2 for all chemicals except as noted.</t>
  </si>
  <si>
    <t>Tier 1 Environmental Action Levels Surfer</t>
  </si>
  <si>
    <t>"#": Nonchlorinated VOCs (except MTBE) adjusted upwards by factor of ten to account for assumed biodegradation in</t>
  </si>
  <si>
    <r>
      <t>a</t>
    </r>
    <r>
      <rPr>
        <b/>
        <sz val="8"/>
        <rFont val="Arial"/>
        <family val="2"/>
      </rPr>
      <t>Carcinogen</t>
    </r>
  </si>
  <si>
    <t xml:space="preserve">7. USEPA National Primary Drinking Water Standards (March 2001): U.S. Environmental Protection Agency, Office of Water, EPA 816-F-01-007, http://www.epa.gov/safewater/consumer/pdf/mcl.pdf  (selectively used) </t>
  </si>
  <si>
    <t>For additional online references, see also: Hazardous Substances (On-line) Database: U.S. National Library of Medicine, Toxicology Data Network, http://toxnet.nlm.nih.gov.</t>
  </si>
  <si>
    <t>TABLE J. TARGET ORGANS AND CHRONIC HEALTH EFFECTS
(For general reference only.  May not be adequately comprehensive for some chemicals.
Some noted effects may be insignificant.  Refer to original documents for additional information.)</t>
  </si>
  <si>
    <t>d. Includes skin sensitization but not general dermatitis or defatting of skin.</t>
  </si>
  <si>
    <t>and World Health Organization (accessed December 2007); published through US Department of Health and Human Services, Centers for Disease Control and Prevention,</t>
  </si>
  <si>
    <t>Nuisance Odor
Threshold</t>
  </si>
  <si>
    <t>CalDHS</t>
  </si>
  <si>
    <t>No further action required if site lacks sigificant terrestrial eco habitats or threatened/endangered species.  Proceed to site-specific assessment if significant habitats or threatened/endangered species are present.</t>
  </si>
  <si>
    <t>Input site-specific building design and ventilation data into Tier 1 soil gas vapor intrusion models.  Evalaute need to proceed to indoor air study.</t>
  </si>
  <si>
    <t>Leaching:</t>
  </si>
  <si>
    <r>
      <t xml:space="preserve">Discharges to Surface Water:  </t>
    </r>
    <r>
      <rPr>
        <sz val="12"/>
        <rFont val="Times New Roman"/>
        <family val="1"/>
      </rPr>
      <t>Address potential chronic impacts to aquatic organisms.  Promulgated chronic surface water standard or equivalent.</t>
    </r>
  </si>
  <si>
    <t>TPH -Total Petroleum Hydrocarbons.  See text for discussion of different TPH categories.  TPH action levels presented in 1996 HIDOH RBCA document applied to NDW, &gt;150m from surface water groundwater category.  May be applicable to other areas on a site-by-site basis if groundwater monitoring indicates that leaching of residual contamination from soil is not significant hazard.</t>
  </si>
  <si>
    <t>Action levels for TPH categories rounded to nearest 100 mg/kg.</t>
  </si>
  <si>
    <t>FW: Freshwater</t>
  </si>
  <si>
    <t>SW: Saltwater</t>
  </si>
  <si>
    <t>Fresh Water
Aquatic
Habitat Goal
(Chronic Toxicity)</t>
  </si>
  <si>
    <t>TABLE D-1a. GROUNDWATER ACTION LEVELS
(Groundwater IS a current or potential drinking water resource)
(Surface water body IS located within 150 meters of release site)</t>
  </si>
  <si>
    <r>
      <t>1</t>
    </r>
    <r>
      <rPr>
        <b/>
        <sz val="8"/>
        <rFont val="Arial"/>
        <family val="2"/>
      </rPr>
      <t>Final Groundwater Action Level</t>
    </r>
  </si>
  <si>
    <t>Drinking Water
Toxicity</t>
  </si>
  <si>
    <t>Table G-1</t>
  </si>
  <si>
    <t>Table C-1a</t>
  </si>
  <si>
    <t>3. Source of Marine EALs: Refer to Appendix 1, Table D-2b for basis.</t>
  </si>
  <si>
    <t>Distance To Nearest
Surface Water Body:</t>
  </si>
  <si>
    <t>&gt;150m</t>
  </si>
  <si>
    <t>&lt; 150m</t>
  </si>
  <si>
    <t>Vapor Intrusion:</t>
  </si>
  <si>
    <t>Table D-1a:</t>
  </si>
  <si>
    <t>Table D-1b:</t>
  </si>
  <si>
    <t>Table D-1c:</t>
  </si>
  <si>
    <t>Table D-1d:</t>
  </si>
  <si>
    <t>Groundwater (ug/L)</t>
  </si>
  <si>
    <t>Lowest GW EAL:</t>
  </si>
  <si>
    <t>Table C-3</t>
  </si>
  <si>
    <t>Table C-2</t>
  </si>
  <si>
    <r>
      <t>3</t>
    </r>
    <r>
      <rPr>
        <sz val="12"/>
        <rFont val="Times New Roman"/>
        <family val="1"/>
      </rPr>
      <t>Groundwater Utility:</t>
    </r>
  </si>
  <si>
    <t>Distance To Nearest Surface Water Body:</t>
  </si>
  <si>
    <r>
      <t>&lt;</t>
    </r>
    <r>
      <rPr>
        <sz val="10"/>
        <rFont val="Arial"/>
        <family val="2"/>
      </rPr>
      <t xml:space="preserve"> 150m</t>
    </r>
  </si>
  <si>
    <r>
      <t>4</t>
    </r>
    <r>
      <rPr>
        <sz val="12"/>
        <rFont val="Times New Roman"/>
        <family val="1"/>
      </rPr>
      <t>Distance To Nearest
Surface Water Body:</t>
    </r>
  </si>
  <si>
    <t>groundwater resource degradation).</t>
  </si>
  <si>
    <t>TPH ceiling level after Massachusetts DEP (MADEP 1997a).</t>
  </si>
  <si>
    <t>Nuisance Odor Thresholds assume no attenuation/dilution of chemical in surface water.</t>
  </si>
  <si>
    <r>
      <t>1</t>
    </r>
    <r>
      <rPr>
        <b/>
        <sz val="8"/>
        <rFont val="Arial"/>
        <family val="2"/>
      </rPr>
      <t>Estuarine
Aquatic Habitat Goal
(ug/L)</t>
    </r>
  </si>
  <si>
    <t>Lowest Freshwater
Aquatic Habitat Goal
(ug/L)</t>
  </si>
  <si>
    <t>Lowest
Marine
Aquatic Habitat Goal
(ug/L)</t>
  </si>
  <si>
    <t>(noncarcinogens)</t>
  </si>
  <si>
    <t>Soil Category</t>
  </si>
  <si>
    <t>Criteria</t>
  </si>
  <si>
    <t>Surface Soils</t>
  </si>
  <si>
    <t>#DICHLORODIPHENYLDICHLOROETHYLENE (DDE)</t>
  </si>
  <si>
    <t>#DICHLORODIPHENYLTRICHLOROETHANE (DDT)</t>
  </si>
  <si>
    <t>#FLUORANTHENE</t>
  </si>
  <si>
    <t>#HEXACHLOROBENZENE</t>
  </si>
  <si>
    <t>#INDENO(1,2,3-cd)PYRENE</t>
  </si>
  <si>
    <t>#METHOXYCHLOR</t>
  </si>
  <si>
    <t>#POLYCHLORINATED BIPHENYLS (PCBs)</t>
  </si>
  <si>
    <t>GLOSSARY</t>
  </si>
  <si>
    <r>
      <t xml:space="preserve">Direct Exposure: </t>
    </r>
    <r>
      <rPr>
        <sz val="12"/>
        <rFont val="Times New Roman"/>
        <family val="1"/>
      </rPr>
      <t>Address direct exposure and toxicity to humans.  Includes incidental ingestion, dermal contact and inhalation of vapors or dust particles in outdoor air.</t>
    </r>
  </si>
  <si>
    <t>significantly greater than ceiling level of 50,000 ug/L (refer to USEPA 2003b, ECOTOX database).</t>
  </si>
  <si>
    <t>Indoor-air sampling and/or passive vapor mitigation measures may be prudent for sites where concentrations of</t>
  </si>
  <si>
    <t>(Inhalation)</t>
  </si>
  <si>
    <t>IUR</t>
  </si>
  <si>
    <t>50% ORT of 0.13 ppm-v for MTBE from information in CaEPA Public Health Goal for MTBE (CalEPA 1999).</t>
  </si>
  <si>
    <t>5.  Military range Database (ARAMS), U.S. Army Corps of Engineers, Engineer Research and Development Center, http://el.erdc.usace.army.mil/arams/databases.html (used for explosive-related contaminants).</t>
  </si>
  <si>
    <t>USEPA Reg. V FW Chronic</t>
  </si>
  <si>
    <t>50% SW LC50</t>
  </si>
  <si>
    <t>5% Acute SW LC 50</t>
  </si>
  <si>
    <t>USEPA Reg IV SW Acute</t>
  </si>
  <si>
    <t>USEPA Reg. IV SW Chronic</t>
  </si>
  <si>
    <t>Ceiling Level</t>
  </si>
  <si>
    <t>Other Acute</t>
  </si>
  <si>
    <t>Other Chronic</t>
  </si>
  <si>
    <t>Chronic
Aquatic
Toxicity
 (ug/L)</t>
  </si>
  <si>
    <t>Acute
Aquatic
Toxicity
 (ug/L)</t>
  </si>
  <si>
    <t>No chronic toxicity factors.</t>
  </si>
  <si>
    <t>1,6</t>
  </si>
  <si>
    <t>degradation.</t>
  </si>
  <si>
    <t>TPH (residual fuels)</t>
  </si>
  <si>
    <t>TPH -Total Petroleum Hydrocarbons.  See text for discussion of different TPH categories.</t>
  </si>
  <si>
    <t>CHROMIUM III</t>
  </si>
  <si>
    <t>CHROMIUM VI</t>
  </si>
  <si>
    <t>CHLOROETHANE</t>
  </si>
  <si>
    <t>CHLOROMETHANE</t>
  </si>
  <si>
    <t>D</t>
  </si>
  <si>
    <t>B2</t>
  </si>
  <si>
    <t>A</t>
  </si>
  <si>
    <t>Lowest
Tapwater Goal
(ug/L</t>
  </si>
  <si>
    <t>Aquatic Habitat Protection Goals</t>
  </si>
  <si>
    <t>*Bioaccumulation Goal</t>
  </si>
  <si>
    <t>unitless</t>
  </si>
  <si>
    <t>Construction/Trench Worker</t>
  </si>
  <si>
    <t>Final Direct Exposure:</t>
  </si>
  <si>
    <t>Final Gross Contamination:</t>
  </si>
  <si>
    <t>Department of Environmental Protection (MADEP 1994).</t>
  </si>
  <si>
    <t>Saturation: Theoretical soil saturation level in the absence of free product; calculated for volatile organic compounds that are liquids under ambient conditions (refer to Table H).</t>
  </si>
  <si>
    <t xml:space="preserve">Residential soil gas:indoor air attenuation factor = 0.001 (1/1000).  Commercial/industrial soil gas:indoor air attenuation factor = 0.0005 (1/2000).  Refer to Section 3.3. </t>
  </si>
  <si>
    <t>not applicable</t>
  </si>
  <si>
    <t>#ALDRIN</t>
  </si>
  <si>
    <t>#BENZO(a)ANTHRACENE</t>
  </si>
  <si>
    <t>#BENZO(b)FLUORANTHENE</t>
  </si>
  <si>
    <t>#BENZO(k)FLUORANTHENE</t>
  </si>
  <si>
    <t>#BENZO(g,h,i)PERYLENE</t>
  </si>
  <si>
    <t>#BENZO(a)PYRENE</t>
  </si>
  <si>
    <t>#CHRYSENE</t>
  </si>
  <si>
    <t>3. For inclusion in Tier 1 action levels, all groundwater assumed to potentially migrate under a residential area.  Action</t>
  </si>
  <si>
    <r>
      <t xml:space="preserve">   </t>
    </r>
    <r>
      <rPr>
        <sz val="8"/>
        <rFont val="Arial"/>
        <family val="2"/>
      </rPr>
      <t>commercial/industrial sites (see Table D series).</t>
    </r>
  </si>
  <si>
    <t>Assumed vadose-zone thickness/depth to groundwater three meters.  See Appendix 1 text for model details.</t>
  </si>
  <si>
    <t>TABLE D-3a. FINAL DRINKING WATER ACTION LEVELS FOR HUMAN TOXICITY.</t>
  </si>
  <si>
    <t>Table D-3a</t>
  </si>
  <si>
    <t>Chronic</t>
  </si>
  <si>
    <t>Acute</t>
  </si>
  <si>
    <t>Primary Reference:</t>
  </si>
  <si>
    <t>NICKEL</t>
  </si>
  <si>
    <t>SILVER</t>
  </si>
  <si>
    <t>TRICHLOROBENZENE, 1,2,4-</t>
  </si>
  <si>
    <t>TRICHLOROETHANE, 1,1,1-</t>
  </si>
  <si>
    <t>(ug/L)</t>
  </si>
  <si>
    <t>Odor Recognition Threshold in parts per million - volume (ppm-v = (concentration in mg/m3) x (24/molecular weight)).</t>
  </si>
  <si>
    <t>Ceiling Levels for TPH after guidance from Massachusetts Department of Environmental Protection (MADEP 1997a).</t>
  </si>
  <si>
    <t>5. U.S. Department of Health and Human Services (NIOSH 2000).</t>
  </si>
  <si>
    <t xml:space="preserve">Ceiling Level: Based on comparison of vapor pressure and odor index to Table F-1 or saturation limit, if lower. </t>
  </si>
  <si>
    <t>Estuary Chronic Goal</t>
  </si>
  <si>
    <t>Fate &amp; Transport Information</t>
  </si>
  <si>
    <t>Molecular Weight</t>
  </si>
  <si>
    <t>Physical State</t>
  </si>
  <si>
    <t>Organic Carbon Partition Coeff. (koc)</t>
  </si>
  <si>
    <t>Diffusivity in air</t>
  </si>
  <si>
    <t>Diffusivity in water</t>
  </si>
  <si>
    <t>Solubility (water)</t>
  </si>
  <si>
    <t>mg/L</t>
  </si>
  <si>
    <t>Henry's Law Constant</t>
  </si>
  <si>
    <t>4. Source of Estuarine EALs: Refer to Appendix 1, Table D-2c for basis.</t>
  </si>
  <si>
    <r>
      <t>2</t>
    </r>
    <r>
      <rPr>
        <b/>
        <sz val="8"/>
        <rFont val="Arial"/>
        <family val="2"/>
      </rPr>
      <t>Freshwater
 (ug/L)</t>
    </r>
  </si>
  <si>
    <r>
      <t>3</t>
    </r>
    <r>
      <rPr>
        <b/>
        <sz val="8"/>
        <rFont val="Arial"/>
        <family val="2"/>
      </rPr>
      <t>Marine
 (ug/L)</t>
    </r>
  </si>
  <si>
    <r>
      <t>4</t>
    </r>
    <r>
      <rPr>
        <b/>
        <sz val="8"/>
        <rFont val="Arial"/>
        <family val="2"/>
      </rPr>
      <t>Estuarine
 (ug/L)</t>
    </r>
  </si>
  <si>
    <r>
      <t xml:space="preserve">TABLE D.  ENVIRONMENTAL ACTION LEVELS (EALs)
</t>
    </r>
    <r>
      <rPr>
        <b/>
        <vertAlign val="superscript"/>
        <sz val="12"/>
        <rFont val="Arial"/>
        <family val="2"/>
      </rPr>
      <t>1</t>
    </r>
    <r>
      <rPr>
        <b/>
        <sz val="12"/>
        <rFont val="Arial"/>
        <family val="2"/>
      </rPr>
      <t>Surface Water Bodies</t>
    </r>
  </si>
  <si>
    <t>Table K</t>
  </si>
  <si>
    <t>Table F-2</t>
  </si>
  <si>
    <t>Table L</t>
  </si>
  <si>
    <t>Table C-1b</t>
  </si>
  <si>
    <t>Table E-1</t>
  </si>
  <si>
    <t xml:space="preserve"> (mg/kg)</t>
  </si>
  <si>
    <t>Final EAL</t>
  </si>
  <si>
    <r>
      <t xml:space="preserve">4. Used to evaluate potential impacts to aquatic habitats.  Chronic aquatic toxicity goals used to screen groundwater situated </t>
    </r>
    <r>
      <rPr>
        <i/>
        <sz val="12"/>
        <rFont val="Times New Roman"/>
        <family val="1"/>
      </rPr>
      <t>&lt;</t>
    </r>
    <r>
      <rPr>
        <sz val="12"/>
        <rFont val="Times New Roman"/>
        <family val="1"/>
      </rPr>
      <t xml:space="preserve">150m from an aquatic habitat.  Acute aquatic toxicity goals used to screen groundwater situated &gt;150m from an aquatic habitat.  Potential for groundwater contaminated above chronic goals to migrate into the 150m buffer zone must also be evaluated. </t>
    </r>
  </si>
  <si>
    <t>EAL Surfer modeled after San Francisco Bay Regional Water Quality Control Board EAL Surfer (original design by Laurent Meillier, 2005).</t>
  </si>
  <si>
    <t>Dibromochloromethane, dibromochloropropane and pyrene considered volatile for purposes of modeling (USEPA 2004, 2008).</t>
  </si>
  <si>
    <t>TPH soil action levels for gross contamination hazards in isolated soils may be used as final cleanup levels if soil situated &gt;3m deep at residential site and &gt;1m (or otherwise capped) at commercial sites AND site data indicate that remaining contamination will not pose leaching or vapor intrusion hazards (refer to Table F-3 in Appendix 1; TPHg = 4,500 mg/kg, TPHmd &amp; TPHrf = 5,000 mg/kg). TPH soil action levels noted in above table should be applied at sites with elevated threats to drinking water resources or aquatic habitats.  Refer to Section 2.6 in text.</t>
  </si>
  <si>
    <t>chemicals in soil gas approach but do not exceed action levels.  Consider other sources of VOCs in all indoor air studies.</t>
  </si>
  <si>
    <t>Health-Based Action Levels</t>
  </si>
  <si>
    <t>Action levels calculated using spreadhseet provided with User's Guide for the USEPA vapor intrusion guidance (USEPA 2004, refer to Appendix 2 for equations and default input parameter values).</t>
  </si>
  <si>
    <t>bones (3)</t>
  </si>
  <si>
    <t>2,4,5</t>
  </si>
  <si>
    <t>2,3,4,5,6</t>
  </si>
  <si>
    <t>Selenosis (3,5)</t>
  </si>
  <si>
    <t>2,5,6</t>
  </si>
  <si>
    <t>1,3,4,5</t>
  </si>
  <si>
    <r>
      <t xml:space="preserve">Vapor Pressure
(VP)
(Torr @ 20-30 </t>
    </r>
    <r>
      <rPr>
        <b/>
        <vertAlign val="superscript"/>
        <sz val="8"/>
        <rFont val="Arial"/>
        <family val="2"/>
      </rPr>
      <t>o</t>
    </r>
    <r>
      <rPr>
        <b/>
        <sz val="8"/>
        <rFont val="Arial"/>
        <family val="2"/>
      </rPr>
      <t>C)</t>
    </r>
  </si>
  <si>
    <r>
      <t>50 Percentile
Odor Recognition
Threshold (ORT)
(ug/m</t>
    </r>
    <r>
      <rPr>
        <b/>
        <vertAlign val="superscript"/>
        <sz val="8"/>
        <rFont val="Arial"/>
        <family val="2"/>
      </rPr>
      <t>3</t>
    </r>
    <r>
      <rPr>
        <b/>
        <sz val="8"/>
        <rFont val="Arial"/>
        <family val="2"/>
      </rPr>
      <t>)</t>
    </r>
  </si>
  <si>
    <t>4. National Library of Medicine, Hazardous Substances Data Bank (NLM 2000).</t>
  </si>
  <si>
    <t>Residential</t>
  </si>
  <si>
    <t>Estuary
Aquatic
Habitat Goal
(Chronic Toxicity)</t>
  </si>
  <si>
    <t>Marine
Aquatic
Habitat Goal
(Chronic Toxicity)</t>
  </si>
  <si>
    <t>Table I-2</t>
  </si>
  <si>
    <t>DW, &lt;150m</t>
  </si>
  <si>
    <t>DW, &gt;150m</t>
  </si>
  <si>
    <t>NDW, &lt;150m</t>
  </si>
  <si>
    <t>NDW, &gt;150m</t>
  </si>
  <si>
    <t>Chronic:</t>
  </si>
  <si>
    <t>Acute:</t>
  </si>
  <si>
    <t>Final Aquatic Ecotoxicity:</t>
  </si>
  <si>
    <t>Drinking Water Toxicity</t>
  </si>
  <si>
    <t>Distance to Surface Water:</t>
  </si>
  <si>
    <r>
      <t xml:space="preserve">Site Scenarios:  </t>
    </r>
    <r>
      <rPr>
        <sz val="11"/>
        <rFont val="Times New Roman"/>
        <family val="1"/>
      </rPr>
      <t>Site scenario options based on scenarios used to develop EAL lookup tables.</t>
    </r>
  </si>
  <si>
    <t>Vanadium toxicity factors based on metallic forms.</t>
  </si>
  <si>
    <t>Zinc toxicity factors based on metallic forms.</t>
  </si>
  <si>
    <t>Surfer generates summary and detailed EALs for selected site scenario and chemical of concern.</t>
  </si>
  <si>
    <t>TABLE D-5. CALIFORNIA AGRICULTURAL 
WATER QUALITY GOALS</t>
  </si>
  <si>
    <t>TABLE D-4c. SUMMARY OF SELECTED ACUTE AQUATIC HABITAT GOALS</t>
  </si>
  <si>
    <t>Carcinogen Classification</t>
  </si>
  <si>
    <t>A: Human carcinogen</t>
  </si>
  <si>
    <t>B: Probable human carcinogen (B1: limited human evidence; B2 Sufficient evidence in animals and inadequate or no evidence in humans)</t>
  </si>
  <si>
    <t>C: Possible human carcinogen</t>
  </si>
  <si>
    <t>D: Not classifiable as to human carcinogenicity</t>
  </si>
  <si>
    <t>E: Evidence of noncarcinogenicity for humans</t>
  </si>
  <si>
    <t>Organic</t>
  </si>
  <si>
    <t>Pure</t>
  </si>
  <si>
    <t>Cancer</t>
  </si>
  <si>
    <t>agricultural/irrigation purposes.</t>
  </si>
  <si>
    <t>Value</t>
  </si>
  <si>
    <t>*Estuary Habitats: Mixed freshwater/marine water habitats.</t>
  </si>
  <si>
    <t>Target Groundwater Concentrations</t>
  </si>
  <si>
    <t>Organic Carbon
Coefficient
(Koc)</t>
  </si>
  <si>
    <t>Henry's Law
Constant
(H)</t>
  </si>
  <si>
    <t>Dilution/
Atenuation
Factor
(DAF)</t>
  </si>
  <si>
    <t>CHEMICAL</t>
  </si>
  <si>
    <r>
      <t>(cm</t>
    </r>
    <r>
      <rPr>
        <vertAlign val="superscript"/>
        <sz val="8"/>
        <rFont val="Arial"/>
        <family val="2"/>
      </rPr>
      <t>3</t>
    </r>
    <r>
      <rPr>
        <sz val="8"/>
        <rFont val="Arial"/>
        <family val="2"/>
      </rPr>
      <t>/g)</t>
    </r>
  </si>
  <si>
    <r>
      <t>(atm-m</t>
    </r>
    <r>
      <rPr>
        <vertAlign val="superscript"/>
        <sz val="8"/>
        <rFont val="Arial"/>
        <family val="2"/>
      </rPr>
      <t>3</t>
    </r>
    <r>
      <rPr>
        <sz val="8"/>
        <rFont val="Arial"/>
        <family val="2"/>
      </rPr>
      <t>/mol)</t>
    </r>
  </si>
  <si>
    <t>(mg/kg)</t>
  </si>
  <si>
    <t>Soil Leaching Action Levels</t>
  </si>
  <si>
    <t>Drinking Water IS Threatened</t>
  </si>
  <si>
    <t>Drinking Water NOT Threatened</t>
  </si>
  <si>
    <t>*Not intended to serve as a comprehensive source of toxicological information.  Ultimate potential health effects dependent on exposure dose, duration of exposure and numerous other factors.  Refer to Appendix 1, Table J for specific references.</t>
  </si>
  <si>
    <t>Leaching (threat to groundwater):</t>
  </si>
  <si>
    <t>2. "Unrestricted" land use category suitable for residential housing, schools, day care, medical facilities, parks and similar sensitive uses. Use to evaluate the need for future land use restrictions.  Screen using a commercial/industrial land use scenario if site is to be used only for these purposes and contamination will not be cleaned up to meet action levels (or acceptable alternatives) for unrestricted land use.  Future land-use restrictions may apply (refer to Chapter 5 of Volume 1).</t>
  </si>
  <si>
    <r>
      <t>1</t>
    </r>
    <r>
      <rPr>
        <b/>
        <sz val="8"/>
        <rFont val="Arial"/>
        <family val="2"/>
      </rPr>
      <t>Residential
 (ug/m3)</t>
    </r>
  </si>
  <si>
    <r>
      <t>Commercial/
Industrial
 (ug/m</t>
    </r>
    <r>
      <rPr>
        <b/>
        <vertAlign val="superscript"/>
        <sz val="8"/>
        <rFont val="Arial"/>
        <family val="2"/>
      </rPr>
      <t>3</t>
    </r>
    <r>
      <rPr>
        <b/>
        <sz val="8"/>
        <rFont val="Arial"/>
        <family val="2"/>
      </rPr>
      <t>)</t>
    </r>
  </si>
  <si>
    <t>1. Category "Residential" considered adequate for other sensitive uses (e.g., day-care centers, hospitals, etc.)</t>
  </si>
  <si>
    <r>
      <t>1</t>
    </r>
    <r>
      <rPr>
        <b/>
        <sz val="8"/>
        <rFont val="Arial"/>
        <family val="2"/>
      </rPr>
      <t>Human Health</t>
    </r>
  </si>
  <si>
    <t>1. Based on unrestricted current or future land use.  Considered adequate for residential housing, schools, medical facilities, day-care centers and other sensitive uses.</t>
  </si>
  <si>
    <r>
      <t>1</t>
    </r>
    <r>
      <rPr>
        <b/>
        <sz val="8"/>
        <rFont val="Arial"/>
        <family val="2"/>
      </rPr>
      <t>Gross
Contamination
(Odors, etc.)</t>
    </r>
  </si>
  <si>
    <r>
      <t>1,3</t>
    </r>
    <r>
      <rPr>
        <b/>
        <sz val="8"/>
        <rFont val="Arial"/>
        <family val="2"/>
      </rPr>
      <t>Unrestricted
Land Use</t>
    </r>
  </si>
  <si>
    <t>Commercial/
Industrial
Land Use Only</t>
  </si>
  <si>
    <r>
      <t>1</t>
    </r>
    <r>
      <rPr>
        <b/>
        <sz val="8"/>
        <rFont val="Arial"/>
        <family val="2"/>
      </rPr>
      <t>Unrestricted
Land Use</t>
    </r>
  </si>
  <si>
    <r>
      <t>2</t>
    </r>
    <r>
      <rPr>
        <b/>
        <sz val="8"/>
        <rFont val="Arial"/>
        <family val="2"/>
      </rPr>
      <t>Unrestricted Land Use</t>
    </r>
  </si>
  <si>
    <t>Commercial/Industrial Land Use Only</t>
  </si>
  <si>
    <t>2. Based on unrestricted current or future land use.  Considered adequate for residential housing, schools, medical facilities, day-care centers and other sensitive uses.</t>
  </si>
  <si>
    <r>
      <t>1</t>
    </r>
    <r>
      <rPr>
        <b/>
        <sz val="8"/>
        <rFont val="Arial"/>
        <family val="2"/>
      </rPr>
      <t>Unrestricted Land Use</t>
    </r>
  </si>
  <si>
    <t>Commercial/Industrial Use Only</t>
  </si>
  <si>
    <r>
      <t>2</t>
    </r>
    <r>
      <rPr>
        <b/>
        <sz val="8"/>
        <rFont val="Arial"/>
        <family val="2"/>
      </rPr>
      <t>Final
Unrestricted Land Use
Action Level</t>
    </r>
  </si>
  <si>
    <t>Final
Industrial/
Commercial Land Use
Action Level</t>
  </si>
  <si>
    <r>
      <t>2</t>
    </r>
    <r>
      <rPr>
        <b/>
        <sz val="8"/>
        <rFont val="Arial"/>
        <family val="2"/>
      </rPr>
      <t>Raw
Unrestricted
Action Level</t>
    </r>
  </si>
  <si>
    <t>#ACENAPHTHENE</t>
  </si>
  <si>
    <t>#ACETONE</t>
  </si>
  <si>
    <t>#ANTHRACENE</t>
  </si>
  <si>
    <t>#BENZENE</t>
  </si>
  <si>
    <t>#DIMETHYLPHENOL, 2,4-</t>
  </si>
  <si>
    <t>#ETHYLBENZENE</t>
  </si>
  <si>
    <t>#FLUORENE</t>
  </si>
  <si>
    <t>#NAPHTHALENE</t>
  </si>
  <si>
    <t>#PYRENE</t>
  </si>
  <si>
    <t>#STYRENE</t>
  </si>
  <si>
    <t>#TOLUENE</t>
  </si>
  <si>
    <t>#XYLENES</t>
  </si>
  <si>
    <t>Chemical considered to be "volatile" if Henry's number (atm m3/mole) &gt;0.00001 and molecular weight &lt;200.</t>
  </si>
  <si>
    <t>Indoor Air</t>
  </si>
  <si>
    <t>1,2,3</t>
  </si>
  <si>
    <t>4,5,7</t>
  </si>
  <si>
    <t>4,5,6</t>
  </si>
  <si>
    <t>#DICHLORODIPHENYLDICHLOROETHANE (DDD)</t>
  </si>
  <si>
    <t>TRINITROBENZENE, 1,3,5-</t>
  </si>
  <si>
    <t>Saturation Limit</t>
  </si>
  <si>
    <t>HDOH
Primary MCL</t>
  </si>
  <si>
    <t>DICHLOROPHENOL, 2,4-</t>
  </si>
  <si>
    <t>DICHLOROPROPANE, 1,2-</t>
  </si>
  <si>
    <t>DIELDRIN</t>
  </si>
  <si>
    <t>DIETHYLPHTHALATE</t>
  </si>
  <si>
    <t>DIMETHYLPHTHALATE</t>
  </si>
  <si>
    <t>DIMETHYLPHENOL, 2,4-</t>
  </si>
  <si>
    <t>Soil data should be reported on dry-weight basis (see Appendix 1, Section 6.2).</t>
  </si>
  <si>
    <t>Physical state of chemical at ambient conditions (V - volatile, NV - nonvolatile, S - solid, L - liquid, G - gas).</t>
  </si>
  <si>
    <t>2. Massachusetts Department of Environmental Protection (MADEP 1994).</t>
  </si>
  <si>
    <t>3. Agency for Toxic Substances and Disease Registry (ATSDR 2001).</t>
  </si>
  <si>
    <t>Final Residential Action Level:</t>
  </si>
  <si>
    <t>Final Commercial/Industrial Action Level:</t>
  </si>
  <si>
    <t/>
  </si>
  <si>
    <t>Source of Soil Action Levels: Refer to Appendix 1, Tables B-1 and B-2.</t>
  </si>
  <si>
    <r>
      <t>Source of Groundwater Action Levels: Appendix 1, Table D-1c (</t>
    </r>
    <r>
      <rPr>
        <u/>
        <sz val="8"/>
        <rFont val="Arial"/>
        <family val="2"/>
      </rPr>
      <t>&lt;</t>
    </r>
    <r>
      <rPr>
        <sz val="8"/>
        <rFont val="Arial"/>
        <family val="2"/>
      </rPr>
      <t>150m to Surface Water Body) and Table D-1d (&gt;150m to Surface Water Body).</t>
    </r>
  </si>
  <si>
    <t>Groundwater ALs &gt;150m to Surface Water Body: Groundwater screened with respect to acute surface water goals (See Table D-1d).</t>
  </si>
  <si>
    <r>
      <t xml:space="preserve">Groundwater ALs </t>
    </r>
    <r>
      <rPr>
        <u/>
        <sz val="8"/>
        <rFont val="Arial"/>
        <family val="2"/>
      </rPr>
      <t>&lt;</t>
    </r>
    <r>
      <rPr>
        <sz val="8"/>
        <rFont val="Arial"/>
        <family val="2"/>
      </rPr>
      <t>150m to Surface Water Body: Groundwater screened with respect to chronic surface water goals (see Table D-1c).</t>
    </r>
  </si>
  <si>
    <t>Check with overseeing agency to ensure that you have the most up-to-date version of the EAL Surfer available and that the screening levels can be applied to your site (see Volume 1, Section 1.5).
Individual Surfer worksheets write-protected (password "EAL").</t>
  </si>
  <si>
    <t>Volatile chemical. Collect soil gas data for site-specific evaluation of vapor intrusion hazards if Tier 1 action levels for this hazard exceeded (see Advanced EHE Options tab of Surfer).</t>
  </si>
  <si>
    <t>Naturally occurring metal.  Action levels for leaching of metals from soil and subsequent contamination of groundwater not developed.  Batch tests and/or groundwater monitoring recommended if soil background exceeded (see Advanced EHE Options tab of Surfer).</t>
  </si>
  <si>
    <t>Soil Environmental Hazards</t>
  </si>
  <si>
    <t>Groundwater Environmental Hazards</t>
  </si>
  <si>
    <r>
      <t>2</t>
    </r>
    <r>
      <rPr>
        <b/>
        <sz val="12"/>
        <rFont val="Times New Roman"/>
        <family val="1"/>
      </rPr>
      <t>Potential Hazard?</t>
    </r>
  </si>
  <si>
    <r>
      <t>(mg/kg-d)</t>
    </r>
    <r>
      <rPr>
        <b/>
        <vertAlign val="superscript"/>
        <sz val="8"/>
        <color theme="1"/>
        <rFont val="Arial"/>
        <family val="2"/>
      </rPr>
      <t>-1</t>
    </r>
  </si>
  <si>
    <r>
      <t>(ug/m</t>
    </r>
    <r>
      <rPr>
        <b/>
        <vertAlign val="superscript"/>
        <sz val="8"/>
        <color theme="1"/>
        <rFont val="Arial"/>
        <family val="2"/>
      </rPr>
      <t>3</t>
    </r>
    <r>
      <rPr>
        <b/>
        <sz val="8"/>
        <color theme="1"/>
        <rFont val="Arial"/>
        <family val="2"/>
      </rPr>
      <t>)</t>
    </r>
    <r>
      <rPr>
        <b/>
        <vertAlign val="superscript"/>
        <sz val="8"/>
        <color theme="1"/>
        <rFont val="Arial"/>
        <family val="2"/>
      </rPr>
      <t>-1</t>
    </r>
  </si>
  <si>
    <t>#DIELDRIN</t>
  </si>
  <si>
    <r>
      <t>(mg/m</t>
    </r>
    <r>
      <rPr>
        <b/>
        <vertAlign val="superscript"/>
        <sz val="8"/>
        <color theme="1"/>
        <rFont val="Arial"/>
        <family val="2"/>
      </rPr>
      <t>3</t>
    </r>
    <r>
      <rPr>
        <b/>
        <sz val="8"/>
        <color theme="1"/>
        <rFont val="Arial"/>
        <family val="2"/>
      </rPr>
      <t>)</t>
    </r>
  </si>
  <si>
    <t>#TRIFLURALIN</t>
  </si>
  <si>
    <t>#TOXAPHENE</t>
  </si>
  <si>
    <t>#PHENANTHRENE</t>
  </si>
  <si>
    <t>#HEPTACHLOR EPOXIDE</t>
  </si>
  <si>
    <t>#HEPTACHLOR</t>
  </si>
  <si>
    <t>#ENDRIN</t>
  </si>
  <si>
    <t>#ENDOSULFAN</t>
  </si>
  <si>
    <t>#DIOXINS (TEQ)</t>
  </si>
  <si>
    <t>#BIPHENYL, 1,1-</t>
  </si>
  <si>
    <t xml:space="preserve">References: </t>
  </si>
  <si>
    <t>site-specific</t>
  </si>
  <si>
    <t>Target Cancer Risk
(Residential)</t>
  </si>
  <si>
    <t>Target Cancer Risk
(C/I)</t>
  </si>
  <si>
    <t>Naturally background in Hawai'i can exceed 1,100 mg/kg (default assumed background).  Natural background may be lower in coastal sedimentary cap rock areas (&lt;100 mg/kg).  Speciate for both Cr III and Cr VI if Cr VI suspected to have been released at site in past (Cr III not toxic).</t>
  </si>
  <si>
    <t>Naturally present at trace levels; primarily formed in anoxic soils and sediments.</t>
  </si>
  <si>
    <t>Potentially significant soil leaching hazard and subsequent contamination of groundwater.  Batch tests recommended if soil leaching action level exceeded (see Advanced EHE Options tab of Surfer).</t>
  </si>
  <si>
    <t>Not anticipated to be significantly mobile in soil or groundwater.  Batch tests recommended if soil leaching action level exceeded (see Advanced EHE Options tab of Surfer). Evaluate potential surface runoff hazards into aquatic habitats.</t>
  </si>
  <si>
    <t>koc&gt;5,000</t>
  </si>
  <si>
    <t>TABLE E. SOIL ACTION LEVELS FOR LEACHING CONCERNS</t>
  </si>
  <si>
    <t>Ethanol Dilution/Attenuation Factor (DAF) modified by a factor of ten to take into account anticipated high biodegradation rate in nature (refer to Chapter 5 of Appendix 1).</t>
  </si>
  <si>
    <t>Table E</t>
  </si>
  <si>
    <t>Soil Action Levels intended to address direct-exposure, vapor intrusion, groundwater protection (leaching) and gross contamination hazards. Soil gas data should be collected for additional evaluation of potential vapor intrusion hazards at sites with significant areas of VOC-impacted soil.  See also Section 4.4 and Table C.  The need for a site-specific, ecological risk assessment should be evaluated if sensitive, terrestrial or aquatic habitats are within or nearby areas of contaminated soil.</t>
  </si>
  <si>
    <t>Groundwater Action Levels intended to address surface water impacts, vapor intrusion and nuisance hazards Use in conjunction with soil gas action levels to evaluate potential impacts to vapor intrusion hazards if groundwater action levels for this concern approached or exceeded (refer to Table C-1a in Appendix 1).  See also Section 4.4 and Table C.</t>
  </si>
  <si>
    <t xml:space="preserve">TPH -Total Petroleum Hydrocarbons: TPH Action Levels must be used in conjunction with Action Levels for related chemicals (e.g., BTEX, PAHs, oxidizers, etc.).  See Section 2.6 in text.  </t>
  </si>
  <si>
    <t xml:space="preserve">    </t>
  </si>
  <si>
    <t>Surface water action levels lowest of drinking water goal (freshwater only), chronic aquatic habitat goal, goal to address bioaccumulation in aquatic organisms and subsequent consumption by humans, and general nuisance goal (odors, etc.).  Refer to Chapter 2 of text and Appendix 1 for details.</t>
  </si>
  <si>
    <t>TPH -Total Petroleum Hydrocarbons.  TPH EALs must be used in conjunction with EALs for related chemicals (e.g., BTEX, PAHs, oxidizers, etc.).  See Section 2.6 and Appendix 1, Chapter 5, and HEER office Technical Guidance Manual.</t>
  </si>
  <si>
    <t>Range
(mg/kg)</t>
  </si>
  <si>
    <t>0.004-2.4</t>
  </si>
  <si>
    <r>
      <t xml:space="preserve">TABLE K. </t>
    </r>
    <r>
      <rPr>
        <b/>
        <vertAlign val="superscript"/>
        <sz val="12"/>
        <rFont val="Arial"/>
        <family val="2"/>
      </rPr>
      <t>1</t>
    </r>
    <r>
      <rPr>
        <b/>
        <sz val="12"/>
        <rFont val="Arial"/>
        <family val="2"/>
      </rPr>
      <t>NATURAL BACKGROUND CONCENTRATIONS OF METALS IN SOIL</t>
    </r>
  </si>
  <si>
    <t>0.3-50</t>
  </si>
  <si>
    <r>
      <rPr>
        <b/>
        <vertAlign val="superscript"/>
        <sz val="8"/>
        <rFont val="Arial"/>
        <family val="2"/>
      </rPr>
      <t>2</t>
    </r>
    <r>
      <rPr>
        <b/>
        <sz val="8"/>
        <rFont val="Arial"/>
        <family val="2"/>
      </rPr>
      <t>Upper Bound
(mg/kg)</t>
    </r>
  </si>
  <si>
    <r>
      <rPr>
        <b/>
        <vertAlign val="superscript"/>
        <sz val="8"/>
        <rFont val="Arial"/>
        <family val="2"/>
      </rPr>
      <t>3</t>
    </r>
    <r>
      <rPr>
        <b/>
        <sz val="8"/>
        <rFont val="Arial"/>
        <family val="2"/>
      </rPr>
      <t>Background Threshold Value
(mg/kg)</t>
    </r>
  </si>
  <si>
    <r>
      <rPr>
        <b/>
        <vertAlign val="superscript"/>
        <sz val="8"/>
        <rFont val="Arial"/>
        <family val="2"/>
      </rPr>
      <t>4</t>
    </r>
    <r>
      <rPr>
        <b/>
        <sz val="8"/>
        <rFont val="Arial"/>
        <family val="2"/>
      </rPr>
      <t>Selected
Action Level
(mg/kg)</t>
    </r>
  </si>
  <si>
    <t>2. Upper Bound concentration selected based on evaluation of univariate sample data plots.</t>
  </si>
  <si>
    <t>3. Background Threshold Value set to maximum-reported concentration, excluding samples with suspected anthropogenic contamination.</t>
  </si>
  <si>
    <t>1. Excludes samples with known or suspected anthropogenic contamination (see primary reference).</t>
  </si>
  <si>
    <t>4. Selected action level based on Upper Bound concentration unless otherwise noted.</t>
  </si>
  <si>
    <t>5. BTV for arsenic based on profession judgment (widespread use as herbicide; clear break from anticipated, natural background not apparent on univariate graphs).</t>
  </si>
  <si>
    <t>6. BTV for lead set equal to selected, Upper Bound concentration (common contamination of soil with leaded paint or auto exhaust from leaded gasoline; clear break from anticipated, natural background not apparent on univariate graphs).</t>
  </si>
  <si>
    <t>4.5-926</t>
  </si>
  <si>
    <t>0.05-3.8</t>
  </si>
  <si>
    <t>0.02-17</t>
  </si>
  <si>
    <t>0.69-113</t>
  </si>
  <si>
    <t>8.52-3,180</t>
  </si>
  <si>
    <t>2.4-450</t>
  </si>
  <si>
    <t>0.76-73</t>
  </si>
  <si>
    <t>0.06-4.0</t>
  </si>
  <si>
    <t>2.1-767</t>
  </si>
  <si>
    <t>0.02-1.5</t>
  </si>
  <si>
    <t>0.24-12</t>
  </si>
  <si>
    <t>&lt;0.25-15</t>
  </si>
  <si>
    <t>&lt;0.017-1.4</t>
  </si>
  <si>
    <t>0.25-1,090</t>
  </si>
  <si>
    <t>3.6-1,200</t>
  </si>
  <si>
    <t>Human Toxicity Factors</t>
  </si>
  <si>
    <t>Total Trihalomethanes</t>
  </si>
  <si>
    <t>HDOH public health goal</t>
  </si>
  <si>
    <t>Terrestrial
Ecotoxicity</t>
  </si>
  <si>
    <t>A2</t>
  </si>
  <si>
    <r>
      <t xml:space="preserve">Leaching: </t>
    </r>
    <r>
      <rPr>
        <sz val="12"/>
        <rFont val="Times New Roman"/>
        <family val="1"/>
      </rPr>
      <t>Address potential leaching of chemicals from soil and subsequent impact on first-encountered groundwater.  Action levels for metals not included (must be evaluated on a site-by-site basis).</t>
    </r>
  </si>
  <si>
    <t>50% Odor
Recognition
Threshold
(Table F-2)</t>
  </si>
  <si>
    <t>CCME 2002</t>
  </si>
  <si>
    <t>Koc used to select leaching model (regular algorithm vs Sat if Koc &gt;5,000)</t>
  </si>
  <si>
    <t>HDOH 2010a</t>
  </si>
  <si>
    <t>3. Arsenic direct exposure soil action levels: refer to Update to Soil Action Levels for Inorganic Arsenic and Recommended Soil Management Practices, HEER office Technical Memorandum, October 2010 (HDOH 2010a).</t>
  </si>
  <si>
    <t>4. Arsenic direct exposure soil action levels: refer to Update to Soil Action Levels for Inorganic Arsenic and Recommended Soil Management Practices, HEER office Technical Memorandum, October 2010 (HDOH 2010a).</t>
  </si>
  <si>
    <t xml:space="preserve">4. TEQ dioxin action levels: Refer to Update to Soil Action Levels for TEQ Dioxins and Recommended Soil Management Practices, HEER office Technical Memorandum, June 2010 (HDOH 2010b). </t>
  </si>
  <si>
    <t>Action levels for volatile chemicals may not fully consider increased vapor emissions during excavation of contaminated soil or work in trenches with poor air flow.  Include actions to minimize worker exposure to VOCs and other contaminants that exceed action levels for commercial/industrial workers in Table I-2 in a worker Health and Safety Plan (e.g., PPE, good hygene, etc.).</t>
  </si>
  <si>
    <t>Young et al</t>
  </si>
  <si>
    <t>Other references (see Appendix 1 text): Ontario Ministry of Energy and Environment (MOEE 1996); Young et al (1996).</t>
  </si>
  <si>
    <t>1,4 DCB</t>
  </si>
  <si>
    <t>Action levels calculated using spreadsheet provided with User's Guide for the USEPA vapor intrusion guidance (USEPA 2004)</t>
  </si>
  <si>
    <t xml:space="preserve">    33% clay).  Used to reflect general field calibration of groundwater data to soil gas data.</t>
  </si>
  <si>
    <t>Target Hazard Quotient = 1.0 for TPH.</t>
  </si>
  <si>
    <t>Gross Contamination: Odor threshold, 1/2 solubility or 50000 ug/L maximum, whichever is lower. Intended to limit nuisances and general resource degradation.</t>
  </si>
  <si>
    <t>Calculated using Tap Water equations in USEPA Regional Screening Levels guidance (USEPA 2011a).</t>
  </si>
  <si>
    <t>Hawai'I Department of Health Primary Maximum Concentration Level. (HDOH 2009).</t>
  </si>
  <si>
    <t>1. Hawai'I Administrative Rules, Title 11, Chapter 54, Section 11-54-04: Basic Water Quality Criteria, August 2009.</t>
  </si>
  <si>
    <t>Physio-chemical constants for chloroethane and chloromethane from ATSDR Toxicological Profiles (ATSDR 2001).</t>
  </si>
  <si>
    <r>
      <t xml:space="preserve">Amoore &amp; Hautala (1983)  and USEPA and California Dept of Health Services drinking water taste and odor threshold ("secondary MCLs") as presented in </t>
    </r>
    <r>
      <rPr>
        <i/>
        <sz val="8"/>
        <rFont val="Arial"/>
        <family val="2"/>
      </rPr>
      <t>A Compilation of Water Quality Goals</t>
    </r>
    <r>
      <rPr>
        <sz val="8"/>
        <rFont val="Arial"/>
        <family val="2"/>
      </rPr>
      <t xml:space="preserve"> (RWQCBCV 2007).</t>
    </r>
  </si>
  <si>
    <t>Ceiling Level: lowest of 1/2 solubility, taste and odor threshold and 50000 ug/L maximum level</t>
  </si>
  <si>
    <t>Unless otherwise noted, criteria for nuisance odor threshold from Ontario MOEE (MOEE 1996) OR data from Amoore and Hautala (1983) as</t>
  </si>
  <si>
    <t>Ceiling Level: lowest of 1/2 solubility, odor/taste threshold and 50000 ug/L maximum level (intended to limit general</t>
  </si>
  <si>
    <r>
      <t xml:space="preserve">Unless otherwise noted, criteria for drinking water taste and odor threshold from summary in </t>
    </r>
    <r>
      <rPr>
        <i/>
        <sz val="8"/>
        <rFont val="Arial"/>
        <family val="2"/>
      </rPr>
      <t>A Compilation of Water Quality Goals</t>
    </r>
  </si>
  <si>
    <t>Unless otherwise noted, criteria for nuisance odor threshold from Ontario MOEE (MOEE 1996, minus groundwater-to-surface water</t>
  </si>
  <si>
    <t>Direct-exposure screening level for lead from USEPA Regional Screening Levels (USEPA 2011).</t>
  </si>
  <si>
    <t>b. Chemicals classified as mutagenic (M) in USEPA Regional Screening Levels guidance (USEPA 2011).</t>
  </si>
  <si>
    <r>
      <t xml:space="preserve">Terrestrial Ecological Impacts: </t>
    </r>
    <r>
      <rPr>
        <sz val="12"/>
        <rFont val="Times New Roman"/>
        <family val="1"/>
      </rPr>
      <t>Address potential toxicity to terrestrial flora and fauna.  Site specific, ecological risk assessment recommended at sites where anthropogenic contamination identified and sensitive, terrestrial ecological habitats could be threatened.</t>
    </r>
  </si>
  <si>
    <r>
      <rPr>
        <b/>
        <sz val="8"/>
        <rFont val="Arial"/>
        <family val="2"/>
      </rPr>
      <t>Discontinued in Fall 2011.</t>
    </r>
    <r>
      <rPr>
        <sz val="8"/>
        <rFont val="Arial"/>
        <family val="2"/>
      </rPr>
      <t xml:space="preserve"> Site specific, ecological risk assessment recommended at sites where anthropogenic contamination identified and sensitive, terrestrial ecological habitats could be threatened.</t>
    </r>
  </si>
  <si>
    <r>
      <t xml:space="preserve">TABLE L. SOIL ECOTOXICITY ACTION LEVELS
</t>
    </r>
    <r>
      <rPr>
        <b/>
        <sz val="10"/>
        <rFont val="Arial"/>
        <family val="2"/>
      </rPr>
      <t>(Discontinued as of Fall 2011 due to low confidence in use of published
action levels in Hawai'i.  See text Section 3.5.)</t>
    </r>
  </si>
  <si>
    <r>
      <rPr>
        <b/>
        <sz val="11"/>
        <rFont val="Times New Roman"/>
        <family val="1"/>
      </rPr>
      <t>Soil Eco-Risk:</t>
    </r>
    <r>
      <rPr>
        <sz val="11"/>
        <rFont val="Times New Roman"/>
        <family val="1"/>
      </rPr>
      <t xml:space="preserve"> Site specific, ecological risk assessment recommended at sites where anthropogenic contamination identified and sensitive, terrestrial ecological habitats could be threatened (see Volume 1 Section 4.2).</t>
    </r>
  </si>
  <si>
    <r>
      <t>Naturally present at trace levels in soil and groundwater.  Action levels reflect target cancer risk of 10</t>
    </r>
    <r>
      <rPr>
        <vertAlign val="superscript"/>
        <sz val="10"/>
        <rFont val="Arial"/>
        <family val="2"/>
      </rPr>
      <t>-4</t>
    </r>
    <r>
      <rPr>
        <sz val="10"/>
        <rFont val="Arial"/>
        <family val="2"/>
      </rPr>
      <t>.</t>
    </r>
  </si>
  <si>
    <t>Request lab to report Technical Chlordane rather than individual chemicals (primarily chlordane isomers, heptachlor and heptachlor epoxide). Evaluate cumulative risk if other contaminants present. Run SPLP batch test if soil leaching action level exceeded.</t>
  </si>
  <si>
    <t>Used as termiticide; dieldrin is a breakdown product.  Soil Direct Exposure action level based on noncancer HQ of 0.5.  Evaluate cumulative risk if contaminants other than dieldrin present. Run SPLP batch test if soil leaching action level exceeded.</t>
  </si>
  <si>
    <t>Breakdown product of aldin, a termiticide.  Soil Direct Exposure action level based on noncancer HQ of 0.5.  Evaluate cumulative risk if contaminants other than dieldrin present. Run SPLP batch test if soil leaching action level exceeded.</t>
  </si>
  <si>
    <t>Data for natural, background levels of thallium in soil lacking but could exceed soil Tier 1 EAL (based on direct exposure action level and target noncancer HQ of 1.0). Naturally occurring thallium expected to be tightly bound to soil and non-toxic.  Direct exposure action levels only applicable to releases of thallium salts with high bioavailability.</t>
  </si>
  <si>
    <t>7. TEQ dioxin background based on HEER office internal review of data across the state (see HDOH 2010 memo).  Could be higher in some areas.</t>
  </si>
  <si>
    <t>Naturally occurring at trace levels (assumed &lt;20 ng/kg but may be higher).  Refer to June 2010 HEER technical memo for additional guidance on dioxin-contaminated soils (HDOH 2010).</t>
  </si>
  <si>
    <r>
      <rPr>
        <b/>
        <sz val="12"/>
        <rFont val="Times New Roman"/>
        <family val="1"/>
      </rPr>
      <t xml:space="preserve">Soil Background: </t>
    </r>
    <r>
      <rPr>
        <sz val="12"/>
        <rFont val="Times New Roman"/>
        <family val="1"/>
      </rPr>
      <t>Upperbound background value noted for metals (HDOH 2011b).  Can be higher in some locations (e.g., Haiku soils on Maui and Kaua'i). See Table K for full range of potential background levels.</t>
    </r>
  </si>
  <si>
    <t>Direct-exposure screening level for lead based on 50% of 2011 USEPA RSL of 400 mg/kg (see text, assumes target blood level of 5 ug/dl).</t>
  </si>
  <si>
    <t>Soil gas action levels for TPHgasolines based on action levels for TPHmiddle distillates due to potential for mixture of fuel types at release sites.</t>
  </si>
  <si>
    <t>Dibromochloromethane, dibromochloropropane and pyrene considered volatile for purposes of modeling (USEPA 2004). (Molecular weight adjusted to 199 in column E (hidden) to permit generation of volatilization factor in soil direct-exposure models.)</t>
  </si>
  <si>
    <t>TPH:Total Petroleum Hydrocarbons.  See Chapter 6 of Appendix 1for discussion of different TPH categories and development of action levels.</t>
  </si>
  <si>
    <t>Final action level is lowest of individual screening levels for carcinogenic effects and noncarcinogenic effects or action level for construction/trench workers if lower (see Table I-3).  Saturation limit used as upper limit for volatile organic compounds that are liquid at ambient conditions (see text).</t>
  </si>
  <si>
    <t>TPHmd saturation level set to 500 mg/kg vs model-derived 150 mg/kg to address low confidence in direct exposure, vapor emission model (see Chapter 6)</t>
  </si>
  <si>
    <t>Final action level is lowest of individual screening levels for carcinogenic effects and noncarcinogenic effects.  Saturation limit used as upper limit for volatile organic compounds that are liquid at ambient conditions (see text).</t>
  </si>
  <si>
    <t>Soil data should be reported on dry-weight basis (see Chapter 7).</t>
  </si>
  <si>
    <t>Target Hazard Quotient = 1.0 for TPH (see Appendix 1 and Appendix 9 Fall 2011 EAL update memo).</t>
  </si>
  <si>
    <t>Dibromochloromethane, dibromochloropropane and pyrene considered volatile for purposes of modeling (USEPA 2004, 2011).</t>
  </si>
  <si>
    <t>permeable, sandy soil or fill material immediately beneath building slab and unrestricted ("residential") land use (refer to Chapter 5).</t>
  </si>
  <si>
    <t>upon discharge to surface water not considered, in order to take into account potential impacts to benthic organisms (see Chapter 5).</t>
  </si>
  <si>
    <t>Saturation limits calculated using equation in USEPA RSL guidance (USEPA 2011) for chemicals that are liquid at ambient temperatures and pressures (refer to Appendix 2).</t>
  </si>
  <si>
    <r>
      <t>TPH VP values from NIOSH (2002); TPHd ORT value from ATSDR (2001a).  TPHg ORT based on threshold of 0.2ppm (AHC 2004; worst-case gasoline with TAME) and assumed MW of 108 (refer to Table H); ORT in ug/m</t>
    </r>
    <r>
      <rPr>
        <vertAlign val="superscript"/>
        <sz val="8"/>
        <rFont val="Arial"/>
        <family val="2"/>
      </rPr>
      <t>3</t>
    </r>
    <r>
      <rPr>
        <sz val="8"/>
        <rFont val="Arial"/>
        <family val="2"/>
      </rPr>
      <t xml:space="preserve"> = 200 ppbv x (104/24)= 900; rounded to 1,000 ug/m</t>
    </r>
    <r>
      <rPr>
        <vertAlign val="superscript"/>
        <sz val="8"/>
        <rFont val="Arial"/>
        <family val="2"/>
      </rPr>
      <t>3</t>
    </r>
    <r>
      <rPr>
        <sz val="8"/>
        <rFont val="Arial"/>
        <family val="2"/>
      </rPr>
      <t>.</t>
    </r>
  </si>
  <si>
    <t>RfC and indoor air action levels for TPHgasolines based on RfC for TPHmiddle distillates due to potential for mixture of fuel types at release sites (see Table H and Appendix 6).  Action levels may exceed ambient, background TPH in indoor and outdoor air from petroleum-based cleaners, auto exhaust, etc.</t>
  </si>
  <si>
    <t>Sum all forms of endosulfan for comparison to action levels.  Not anticipated to be significantly mobile in soil or groundwater.  Batch tests recommended if soil leaching action level exceeded (see Advanced EHE Options tab of Surfer). Evaluate potential surface runoff hazards into aquatic habitats.</t>
  </si>
  <si>
    <t>Primary Reference: Evaluation of Background Metal Concentrations in Soils of the Hawaiian Islands (HDOH 2011a).  Refer to Appendix 1, Section 6.1.</t>
  </si>
  <si>
    <t>Sum all forms of endrin for comparison to action levels.  Not anticipated to be significantly mobile in soil or groundwater.  Batch tests recommended if soil leaching action level exceeded (see Advanced EHE Options tab of Surfer). Evaluate potential surface runoff hazards into aquatic habitats.</t>
  </si>
  <si>
    <t>TPHmd saturation level set to 500 mg/kg vs model-derived 150 mg/kg to address low confidence in direct exposure, vapor emission model (see Chapter 6). Direct-exposure action levels for both TPHg and TPHmd set at 500 mg/kg to consider biodegradation.</t>
  </si>
  <si>
    <t>Groundwater action levels should be compared to dissolved-phase chemical concentrations unless otherwise instructed by HDOH.</t>
  </si>
  <si>
    <t>(Final)</t>
  </si>
  <si>
    <r>
      <t xml:space="preserve">5. TEQ dioxin action levels: Refer to </t>
    </r>
    <r>
      <rPr>
        <i/>
        <sz val="8"/>
        <rFont val="Arial"/>
        <family val="2"/>
      </rPr>
      <t>Update to Soil Action Levels for TEQ Dioxins and Recommended Soil Management Practices</t>
    </r>
    <r>
      <rPr>
        <sz val="8"/>
        <rFont val="Arial"/>
        <family val="2"/>
      </rPr>
      <t xml:space="preserve">, HEER office Technical Memorandum, June 2010 (HDOH 2010b). </t>
    </r>
  </si>
  <si>
    <t>USEPA Reg IV (FW)</t>
  </si>
  <si>
    <t>USEPA Reg IV
Chronic</t>
  </si>
  <si>
    <t>USEPA Reg IV
Acute</t>
  </si>
  <si>
    <t>Reg IV Cr VI</t>
  </si>
  <si>
    <t>USEPA Reg IV (SW chronic)</t>
  </si>
  <si>
    <t>USEPA Off Pesticides</t>
  </si>
  <si>
    <t>USEPA Off Pesticides (FW)</t>
  </si>
  <si>
    <t>USEPA Reg IV (FW chronic)</t>
  </si>
  <si>
    <t>CalEPA FW Chronic</t>
  </si>
  <si>
    <t>CaEPA FW Chronic</t>
  </si>
  <si>
    <t>CalEPA Chronic (SW)</t>
  </si>
  <si>
    <t>CalEPA Chronic (FW)</t>
  </si>
  <si>
    <t>BIS(2-CHLORO-1-METHYLETHYL)ETHER</t>
  </si>
  <si>
    <t>USEPA AQUIRE (5% FW LC50)</t>
  </si>
  <si>
    <t>USEPA AQUIRE (50% FW LC50)</t>
  </si>
  <si>
    <t>USEPA AQUIRE (50% FW EC50)</t>
  </si>
  <si>
    <t>Mohr (5% Acute FW LC 50)</t>
  </si>
  <si>
    <t>Mohr (50% FW LC50)</t>
  </si>
  <si>
    <t>Mohr (5% Acute SW LC 50)</t>
  </si>
  <si>
    <t>Mohr (50% SW LC50)</t>
  </si>
  <si>
    <t>USEPA AQUIRE (50% SW LC50)</t>
  </si>
  <si>
    <t>USEPA AQUIRE (FW LC0)</t>
  </si>
  <si>
    <t>USEPA AQUIRE (10% FW LC0)</t>
  </si>
  <si>
    <t xml:space="preserve"> USEPA AQUIRE (50% FW LC50)</t>
  </si>
  <si>
    <t>\</t>
  </si>
  <si>
    <t xml:space="preserve"> USEPA AQUIRE (5% FW LC50)</t>
  </si>
  <si>
    <t>USEPA AQUIRE (5xFW EC50)</t>
  </si>
  <si>
    <t>USEPA 2002</t>
  </si>
  <si>
    <t>1,4 Dioxane: LC 50 values for presented in "Solvent Stabilizers  White Paper" (Mohr 2001).</t>
  </si>
  <si>
    <t>Perchlorate: Chronic and acute goals from "Perchlorate Environmental Contamination" (USEPA 2002).</t>
  </si>
  <si>
    <t>EC50: 50% Effects Concentration</t>
  </si>
  <si>
    <t>LC0: 0% Lethal Concentration</t>
  </si>
  <si>
    <t>LC50: 50% Lethal Concentration</t>
  </si>
  <si>
    <t>Red: Screening level based on bioaccumulation.</t>
  </si>
  <si>
    <t>USDOE: US Dept of Energy (Oak Ridge National Laboratories)</t>
  </si>
  <si>
    <t>USDOE Chronic</t>
  </si>
  <si>
    <t>USDOE Acute</t>
  </si>
  <si>
    <t>USDOE Chronic (FW)</t>
  </si>
  <si>
    <t>USDOE Acute (FW)</t>
  </si>
  <si>
    <t>Pascoe et al. (chronic FW)</t>
  </si>
  <si>
    <t>2. Estuarine Goal = Lowest of Freshwater vs Saltwater chronic goals.</t>
  </si>
  <si>
    <t>3. Drinking water goal substituted as aquatic habitat goal if latter was not available (see text).</t>
  </si>
  <si>
    <t>1. Refer to Table D-4d and D-4e for summary of aquatic habitat goal sources.  Used for selection of groundwater action levels.</t>
  </si>
  <si>
    <r>
      <t xml:space="preserve">TABLE C-2. </t>
    </r>
    <r>
      <rPr>
        <b/>
        <vertAlign val="superscript"/>
        <sz val="12"/>
        <rFont val="Arial"/>
        <family val="2"/>
      </rPr>
      <t>1</t>
    </r>
    <r>
      <rPr>
        <b/>
        <sz val="12"/>
        <rFont val="Arial"/>
        <family val="2"/>
      </rPr>
      <t>SHALLOW SOIL VAPOR ACTION LEVELS
FOR EVALUATION OF POTENTIAL VAPOR INTRUSION HAZARDS
(volatile chemicals only)</t>
    </r>
  </si>
  <si>
    <t>TABLE C.  ENVIRONMENTAL ACTION LEVELS (EALs)
Indoor Air and Soil Vapor
(Vapor Intrusion Hazards)</t>
  </si>
  <si>
    <r>
      <t>2</t>
    </r>
    <r>
      <rPr>
        <b/>
        <sz val="8"/>
        <rFont val="Arial"/>
        <family val="2"/>
      </rPr>
      <t>SHALLOW SOIL VAPOR
ACTION LEVELS</t>
    </r>
  </si>
  <si>
    <t>2. Soil Vapor:  Screening levels based on soil vapor data collected immediately beneath a building slab or within 1.5 meters (five feet) ground surface in open areas.  Intended for evaluation of potential vapor intrusion hazards.</t>
  </si>
  <si>
    <t>Soil vapor action levels apply to areas that overlie contaminated soil and/or contaminated groundwater.</t>
  </si>
  <si>
    <t>TPH -Total Petroleum Hydrocarbons.  TPH (or equivalent) must be included in analyses for soil vapor collected at petroleum release sites, in addition to individual, targeted VOCs (e.g., BTEX, etc.).  See Volume 1, Section 2.6 and Appendix 1, Chapter 5.</t>
  </si>
  <si>
    <t>Proceed directly to site-specific vapor intrusion evaluation (e.g., collection of soil vapor data an comparison to screening levels).  Input site-specific data into Tier 1 soil vapor intrusion models (not generally recommended).</t>
  </si>
  <si>
    <r>
      <t>Soil Vapor (ug/m</t>
    </r>
    <r>
      <rPr>
        <vertAlign val="superscript"/>
        <sz val="12"/>
        <rFont val="Times New Roman"/>
        <family val="1"/>
      </rPr>
      <t>3</t>
    </r>
    <r>
      <rPr>
        <sz val="12"/>
        <rFont val="Times New Roman"/>
        <family val="1"/>
      </rPr>
      <t>):</t>
    </r>
  </si>
  <si>
    <r>
      <t>Soil Vapor (ug/m</t>
    </r>
    <r>
      <rPr>
        <vertAlign val="superscript"/>
        <sz val="10"/>
        <rFont val="Arial"/>
        <family val="2"/>
      </rPr>
      <t>3</t>
    </r>
    <r>
      <rPr>
        <sz val="10"/>
        <rFont val="Arial"/>
        <family val="2"/>
      </rPr>
      <t>):</t>
    </r>
  </si>
  <si>
    <r>
      <t xml:space="preserve">Soil Vapor </t>
    </r>
    <r>
      <rPr>
        <b/>
        <sz val="11"/>
        <rFont val="Tahoma"/>
        <family val="2"/>
      </rPr>
      <t>(ug/m</t>
    </r>
    <r>
      <rPr>
        <b/>
        <vertAlign val="superscript"/>
        <sz val="11"/>
        <rFont val="Tahoma"/>
        <family val="2"/>
      </rPr>
      <t>3</t>
    </r>
    <r>
      <rPr>
        <b/>
        <sz val="11"/>
        <rFont val="Tahoma"/>
        <family val="2"/>
      </rPr>
      <t>)</t>
    </r>
  </si>
  <si>
    <t>Shallow Soil Vapor:</t>
  </si>
  <si>
    <t>Use Tier 2, Direct Exposure Spreadsheet to calculate more site-specific action levels.  Refer to Tier 2 action levels for arsenic, dioxin and technical chlordane (see Chapter 4 of EHE guidance)</t>
  </si>
  <si>
    <t>Use laboratory batch test to evaluate contaminant mobility and potential groundwater impacts (see Chapter 4 of EHE guidance).</t>
  </si>
  <si>
    <t>No Tier 2 option for adustment of promulgated Maximum Contaminant Levels (MCLs).  Refer to USEPA Tapwater Screening Levels.  Review updated toxicity data used in model to develop risk-based action level for drinking water concerns in cases where a promulgated MCL was not available.</t>
  </si>
  <si>
    <t>3. Referenced tables presented in Appendix 1 of EHE guidance document.</t>
  </si>
  <si>
    <t>noncarcinogenic effects</t>
  </si>
  <si>
    <t>TPH VP values and ORTs from New Jersey Dept of Health (NJDPH 2008, 2010); ORTs for TPHg (0.25ppm) and TPHmd (0.7ppm) adjusted to ug/m3 based assumed MWs noted for TPHg and TPHd in Table H.</t>
  </si>
  <si>
    <t>References for vapor pressure and odor threshold data (in order of use, see USEPA (1992) for additiona ORT values):</t>
  </si>
  <si>
    <t>USEPA MCL</t>
  </si>
  <si>
    <t>Final EALs</t>
  </si>
  <si>
    <r>
      <t xml:space="preserve">2. Assumes potential impacts to drinking water source and discharge of groundwater into a freshwater, marine or estuary surface water system. Compare to </t>
    </r>
    <r>
      <rPr>
        <i/>
        <sz val="8"/>
        <rFont val="Arial"/>
        <family val="2"/>
      </rPr>
      <t>dissolved-phase</t>
    </r>
    <r>
      <rPr>
        <sz val="8"/>
        <rFont val="Arial"/>
        <family val="2"/>
      </rPr>
      <t xml:space="preserve"> concentration.</t>
    </r>
  </si>
  <si>
    <r>
      <t xml:space="preserve">2. Assumes potential discharge of groundwater into a freshwater, marine or estuary surface water system. Compare to </t>
    </r>
    <r>
      <rPr>
        <i/>
        <sz val="8"/>
        <rFont val="Arial"/>
        <family val="2"/>
      </rPr>
      <t>dissolved-phase</t>
    </r>
    <r>
      <rPr>
        <sz val="8"/>
        <rFont val="Arial"/>
        <family val="2"/>
      </rPr>
      <t xml:space="preserve"> concentration.</t>
    </r>
  </si>
  <si>
    <t>BENOMYL</t>
  </si>
  <si>
    <t>USGS 2012</t>
  </si>
  <si>
    <t>5% USGS 2012 acute</t>
  </si>
  <si>
    <t>5% USGS 2012 FW acute</t>
  </si>
  <si>
    <t>USGS Acute (FW)</t>
  </si>
  <si>
    <t>Review of aquatic ecotoxicity data for ethanol underway.  Based on preliminary review of available data, chronic toxicity screening levels likely to be</t>
  </si>
  <si>
    <t>Chemical Name</t>
  </si>
  <si>
    <t>CAS #</t>
  </si>
  <si>
    <t>83-32-9</t>
  </si>
  <si>
    <t>208-96-8</t>
  </si>
  <si>
    <t>67-64-1</t>
  </si>
  <si>
    <t>309-00-2</t>
  </si>
  <si>
    <t>834-12-8</t>
  </si>
  <si>
    <t>35572-78-2</t>
  </si>
  <si>
    <t>19406-51-0</t>
  </si>
  <si>
    <t>120-12-7</t>
  </si>
  <si>
    <t>7440-36-0</t>
  </si>
  <si>
    <t>7440-38-2</t>
  </si>
  <si>
    <t>1912-24-9</t>
  </si>
  <si>
    <t>7440-39-3</t>
  </si>
  <si>
    <t>71-43-2</t>
  </si>
  <si>
    <t>56-55-3</t>
  </si>
  <si>
    <t>50-32-8</t>
  </si>
  <si>
    <t>205-99-2</t>
  </si>
  <si>
    <t>191-24-2</t>
  </si>
  <si>
    <t>207-08-9</t>
  </si>
  <si>
    <t>7440-41-7</t>
  </si>
  <si>
    <t>92-52-4</t>
  </si>
  <si>
    <t>111-44-4</t>
  </si>
  <si>
    <t>117-81-7</t>
  </si>
  <si>
    <t>7440-42-8</t>
  </si>
  <si>
    <t>75-27-4</t>
  </si>
  <si>
    <t>75-25-2</t>
  </si>
  <si>
    <t>74-83-9</t>
  </si>
  <si>
    <t>7440-43-9</t>
  </si>
  <si>
    <t>56-23-5</t>
  </si>
  <si>
    <t>12789-03-6</t>
  </si>
  <si>
    <t>106-47-8</t>
  </si>
  <si>
    <t>108-90-7</t>
  </si>
  <si>
    <t>75-00-3</t>
  </si>
  <si>
    <t>67-66-3</t>
  </si>
  <si>
    <t>74-87-3</t>
  </si>
  <si>
    <t>95-57-8</t>
  </si>
  <si>
    <t>7440-47-3</t>
  </si>
  <si>
    <t>16065-83-1</t>
  </si>
  <si>
    <t>18540-29-9</t>
  </si>
  <si>
    <t>218-01-9</t>
  </si>
  <si>
    <t>7440-48-4</t>
  </si>
  <si>
    <t>7440-50-8</t>
  </si>
  <si>
    <t>121-82-4</t>
  </si>
  <si>
    <t>75-99-0</t>
  </si>
  <si>
    <t>53-70-3</t>
  </si>
  <si>
    <t>96-12-8</t>
  </si>
  <si>
    <t>124-48-1</t>
  </si>
  <si>
    <t>106-93-4</t>
  </si>
  <si>
    <t>95-50-1</t>
  </si>
  <si>
    <t>541-73-1</t>
  </si>
  <si>
    <t>106-46-7</t>
  </si>
  <si>
    <t>91-94-1</t>
  </si>
  <si>
    <t>72-54-8</t>
  </si>
  <si>
    <t>72-55-9</t>
  </si>
  <si>
    <t>50-29-3</t>
  </si>
  <si>
    <t>75-34-3</t>
  </si>
  <si>
    <t>107-06-2</t>
  </si>
  <si>
    <t>75-35-4</t>
  </si>
  <si>
    <t>156-59-2</t>
  </si>
  <si>
    <t>156-60-5</t>
  </si>
  <si>
    <t>120-83-2</t>
  </si>
  <si>
    <t>94-75-7</t>
  </si>
  <si>
    <t>78-87-5</t>
  </si>
  <si>
    <t>542-75-6</t>
  </si>
  <si>
    <t>60-57-1</t>
  </si>
  <si>
    <t>84-66-2</t>
  </si>
  <si>
    <t>105-67-9</t>
  </si>
  <si>
    <t>131-11-3</t>
  </si>
  <si>
    <t>99-65-0</t>
  </si>
  <si>
    <t>51-28-5</t>
  </si>
  <si>
    <t>121-14-2</t>
  </si>
  <si>
    <t>606-20-2</t>
  </si>
  <si>
    <t>123-91-1</t>
  </si>
  <si>
    <t>1746-01-6</t>
  </si>
  <si>
    <t>330-54-1</t>
  </si>
  <si>
    <t>115-29-7</t>
  </si>
  <si>
    <t>72-20-8</t>
  </si>
  <si>
    <t>64-17-5</t>
  </si>
  <si>
    <t>100-41-4</t>
  </si>
  <si>
    <t>206-44-0</t>
  </si>
  <si>
    <t>86-73-7</t>
  </si>
  <si>
    <t>1071-83-6</t>
  </si>
  <si>
    <t>76-44-8</t>
  </si>
  <si>
    <t>1024-57-3</t>
  </si>
  <si>
    <t>118-74-1</t>
  </si>
  <si>
    <t>87-68-3</t>
  </si>
  <si>
    <t>58-89-9</t>
  </si>
  <si>
    <t>67-72-1</t>
  </si>
  <si>
    <t>51235-04-2</t>
  </si>
  <si>
    <t>193-39-5</t>
  </si>
  <si>
    <t>78-59-1</t>
  </si>
  <si>
    <t>7439-92-1</t>
  </si>
  <si>
    <t>72-43-5</t>
  </si>
  <si>
    <t>78-93-3</t>
  </si>
  <si>
    <t>108-10-1</t>
  </si>
  <si>
    <t>22967-92-6</t>
  </si>
  <si>
    <t>1634-04-4</t>
  </si>
  <si>
    <t>75-09-2</t>
  </si>
  <si>
    <t>90-12-0</t>
  </si>
  <si>
    <t>91-57-6</t>
  </si>
  <si>
    <t>7439-98-7</t>
  </si>
  <si>
    <t>91-20-3</t>
  </si>
  <si>
    <t>7440-02-0</t>
  </si>
  <si>
    <t>98-95-3</t>
  </si>
  <si>
    <t>55-63-0</t>
  </si>
  <si>
    <t>88-72-2</t>
  </si>
  <si>
    <t>99-08-1</t>
  </si>
  <si>
    <t>99-99-0</t>
  </si>
  <si>
    <t>87-86-5</t>
  </si>
  <si>
    <t>78-11-5</t>
  </si>
  <si>
    <t>14797-73-0</t>
  </si>
  <si>
    <t>85-01-8</t>
  </si>
  <si>
    <t>108-95-2</t>
  </si>
  <si>
    <t>60207-90-1</t>
  </si>
  <si>
    <t>129-00-0</t>
  </si>
  <si>
    <t>7782-49-2</t>
  </si>
  <si>
    <t>7440-22-4</t>
  </si>
  <si>
    <t>122-34-9</t>
  </si>
  <si>
    <t>100-42-5</t>
  </si>
  <si>
    <t>5902-51-2</t>
  </si>
  <si>
    <t>75-65-0</t>
  </si>
  <si>
    <t>630-20-6</t>
  </si>
  <si>
    <t>79-34-5</t>
  </si>
  <si>
    <t>127-18-4</t>
  </si>
  <si>
    <t>58-90-2</t>
  </si>
  <si>
    <t>2691-41-0</t>
  </si>
  <si>
    <t>7440-28-0</t>
  </si>
  <si>
    <t>108-88-3</t>
  </si>
  <si>
    <t>8001-35-2</t>
  </si>
  <si>
    <t>120-82-1</t>
  </si>
  <si>
    <t>71-55-6</t>
  </si>
  <si>
    <t>79-00-5</t>
  </si>
  <si>
    <t>79-01-6</t>
  </si>
  <si>
    <t>95-95-4</t>
  </si>
  <si>
    <t>88-06-2</t>
  </si>
  <si>
    <t>93-76-5</t>
  </si>
  <si>
    <t>93-72-1</t>
  </si>
  <si>
    <t>96-18-4</t>
  </si>
  <si>
    <t>96-19-5</t>
  </si>
  <si>
    <t>1582-09-8</t>
  </si>
  <si>
    <t>99-35-4</t>
  </si>
  <si>
    <t>479-45-8</t>
  </si>
  <si>
    <t>118-96-7</t>
  </si>
  <si>
    <t>7440-62-2</t>
  </si>
  <si>
    <t>75-01-4</t>
  </si>
  <si>
    <t>1330-20-7</t>
  </si>
  <si>
    <t>7440-66-6</t>
  </si>
  <si>
    <t>Chemical Name or CAS #?</t>
  </si>
  <si>
    <t>Chemical Name
or CAS #?</t>
  </si>
  <si>
    <t>17804-35-2</t>
  </si>
  <si>
    <t>11097-69-1</t>
  </si>
  <si>
    <t>57-12-5</t>
  </si>
  <si>
    <t>Cell highlighted YELLOW if chemical-specific (vs generic) notes in Column Y.</t>
  </si>
  <si>
    <t>Selected Lookup Parameter</t>
  </si>
  <si>
    <t>6. Refer to Volume 1, Section 2.11 for guidance on chemicals not listed in Tier 1 EALs or EAL Surfer.</t>
  </si>
  <si>
    <t>5. Cyanide EALs based on CN- (57-12-5); mercury EALs based on mercuric salts (7487-94-7), PCB EALs based on Arochlor 1254 (11097-69-1).</t>
  </si>
  <si>
    <t>Gasoline (TPHg)</t>
  </si>
  <si>
    <t>Diesel (TPHmd)</t>
  </si>
  <si>
    <t>Oil (TPHrf)</t>
  </si>
  <si>
    <t>Hide Columns M through Y in the Public EAL Surfer</t>
  </si>
  <si>
    <t>Vapor</t>
  </si>
  <si>
    <t>Pressure</t>
  </si>
  <si>
    <t>(mm Hg)</t>
  </si>
  <si>
    <t>Primary sources USEPA Region IV (2015) and USEPA Office of Pesticides Aquatic Life Benchmarks database (USEPA 2016b; accessed July 2016). See also USDOE (1997), MOEE (1996), USEPA (2002), USEPA Reg 5 (2003), Pascoe et al. (2010). USEPA AQUIRE ecotox database refered to for pesticides that lacked published, aquatic toxicity screening levels (USEPA 2008b).</t>
  </si>
  <si>
    <t>tert Buytl Alcohol (TBA): Chronic aquatic goal based on in-house review of USEPA ECOTOX database for TBA (USEPA 2008b).  Ten percent of LC0 concentration for Lepomis macrochirus (Bluegill) selected as most conservative goal of data presented.</t>
  </si>
  <si>
    <t>Tetrachloroethylene - Cancer-based toxicity factors from CalEPA 2016; noncancer toxicity factors from USEPA 2016.</t>
  </si>
  <si>
    <t>Physio-Chemical constants for chemicals from USEPA RSLs guidance (USEPA 2016) or Ontario MOEE (MOEE 1996) when not available unless otherwise noted (see also Table H).</t>
  </si>
  <si>
    <t>1. Hawai'I Administrative Rules, Title 11, Chapter 54, Section 11-54-04: Basic Water Quality Criteria, October 2012.</t>
  </si>
  <si>
    <t>HDOH 2010</t>
  </si>
  <si>
    <t>(see footnotes)</t>
  </si>
  <si>
    <t>TPH Taste and Odor Thresholds based on review of published literature (refer to Section 6.6 in Appendix 1).</t>
  </si>
  <si>
    <r>
      <t xml:space="preserve">STEP 6: </t>
    </r>
    <r>
      <rPr>
        <sz val="12"/>
        <rFont val="Times New Roman"/>
        <family val="1"/>
      </rPr>
      <t xml:space="preserve">Prepare </t>
    </r>
    <r>
      <rPr>
        <i/>
        <sz val="12"/>
        <rFont val="Times New Roman"/>
        <family val="1"/>
      </rPr>
      <t>Environmental Hazard Evaluation</t>
    </r>
    <r>
      <rPr>
        <sz val="12"/>
        <rFont val="Times New Roman"/>
        <family val="1"/>
      </rPr>
      <t xml:space="preserve"> (EHE) with recommendations for additional actions (see Chapter 3).  Identify potential environmental hazards.  Evaluate need for corrective actions (e.g., cleanup to Tier 1 EALs, advanced evaluation of tentatively identified hazards, development of alternative cleanup levels, long-term management of contamination, need for land use restrictions and other institutional and engineering controls, closure with no further action, etc.). Refer to Chapters 4 and 5 in Volume 1of EHE guidance document and teh HEER office Technical Guidance Manual (HDOH 2016).</t>
    </r>
  </si>
  <si>
    <r>
      <t>2. Carcinogens: Default target excess cancer risk = 10</t>
    </r>
    <r>
      <rPr>
        <vertAlign val="superscript"/>
        <sz val="8"/>
        <rFont val="Arial"/>
        <family val="2"/>
      </rPr>
      <t>-6</t>
    </r>
    <r>
      <rPr>
        <sz val="8"/>
        <rFont val="Arial"/>
        <family val="2"/>
      </rPr>
      <t xml:space="preserve"> unless otherwise noted (see Sections 1.4 and 4.2.2).  Target ECR of 10</t>
    </r>
    <r>
      <rPr>
        <vertAlign val="superscript"/>
        <sz val="8"/>
        <rFont val="Arial"/>
        <family val="2"/>
      </rPr>
      <t>-5</t>
    </r>
    <r>
      <rPr>
        <sz val="8"/>
        <rFont val="Arial"/>
        <family val="2"/>
      </rPr>
      <t xml:space="preserve"> used for Technical Chlordane and PCBs,ethylbenzene and cacinogenic PAHs with the exception of Benzo(a)pyrene.  Target risk of 5x10</t>
    </r>
    <r>
      <rPr>
        <vertAlign val="superscript"/>
        <sz val="8"/>
        <rFont val="Arial"/>
        <family val="2"/>
      </rPr>
      <t>-5</t>
    </r>
    <r>
      <rPr>
        <sz val="8"/>
        <rFont val="Arial"/>
        <family val="2"/>
      </rPr>
      <t xml:space="preserve"> used for benzo(a)pyrene to allow focus on noncancer action levels. Target risk of  10</t>
    </r>
    <r>
      <rPr>
        <vertAlign val="superscript"/>
        <sz val="8"/>
        <rFont val="Arial"/>
        <family val="2"/>
      </rPr>
      <t>-4</t>
    </r>
    <r>
      <rPr>
        <sz val="8"/>
        <rFont val="Arial"/>
        <family val="2"/>
      </rPr>
      <t xml:space="preserve"> applied to aldrin, arsenic, dieldrin, TEQ dioxins and hexavalent chromium to reflect higher confidence in noncancer toxicity factors and/or background and other factors. Arsenic and TEQ dioxin action levels published separately (see Volume 1, Section 4.3.1.2).</t>
    </r>
  </si>
  <si>
    <t>3. Noncarcinogens: Final action level based on default target hazard quotient = 0.2 unless otherwise noted (see Sections 1.4 and 4.2.2).  TPH action levels based on HQ of 1.0 (see below footnote and Sections 3.2 and 6.0 in text).  Action levels for thallium and Technical Chlordane based on HQ of 1.0.  Action levels for aldrin and dieldrin (breakdown product of aldrin) based on HQ of 0.5. All chemicals - Action levels based on hazard quotient of 1.0 provided for reference.</t>
  </si>
  <si>
    <r>
      <t>1. Carcinogens: Default target excess cancer risk = 10</t>
    </r>
    <r>
      <rPr>
        <vertAlign val="superscript"/>
        <sz val="8"/>
        <rFont val="Arial"/>
        <family val="2"/>
      </rPr>
      <t>-6</t>
    </r>
    <r>
      <rPr>
        <sz val="8"/>
        <rFont val="Arial"/>
        <family val="2"/>
      </rPr>
      <t xml:space="preserve"> unless otherwise noted (see Sections 1.4 and 4.2.2).  Target ECR of 10</t>
    </r>
    <r>
      <rPr>
        <vertAlign val="superscript"/>
        <sz val="8"/>
        <rFont val="Arial"/>
        <family val="2"/>
      </rPr>
      <t>-5</t>
    </r>
    <r>
      <rPr>
        <sz val="8"/>
        <rFont val="Arial"/>
        <family val="2"/>
      </rPr>
      <t xml:space="preserve"> used for Technical Chlordane and PCBs,ethylbenzene and cacinogenic PAHs with the exception of Benzo(a)pyrene.  Target risk of 5x10</t>
    </r>
    <r>
      <rPr>
        <vertAlign val="superscript"/>
        <sz val="8"/>
        <rFont val="Arial"/>
        <family val="2"/>
      </rPr>
      <t>-5</t>
    </r>
    <r>
      <rPr>
        <sz val="8"/>
        <rFont val="Arial"/>
        <family val="2"/>
      </rPr>
      <t xml:space="preserve"> used for benzo(a)pyrene to allow focus on noncancer action levels. Target risk of  10</t>
    </r>
    <r>
      <rPr>
        <vertAlign val="superscript"/>
        <sz val="8"/>
        <rFont val="Arial"/>
        <family val="2"/>
      </rPr>
      <t>-4</t>
    </r>
    <r>
      <rPr>
        <sz val="8"/>
        <rFont val="Arial"/>
        <family val="2"/>
      </rPr>
      <t xml:space="preserve"> applied to aldrin, arsenic, dieldrin, TEQ dioxins and hexavalent chromium to reflect higher confidence in noncancer toxicity factors and/or background and other factors. Arsenic and TEQ dioxin action levels published separately (see Volume 1, Section 4.3.1.2).</t>
    </r>
  </si>
  <si>
    <t>2. Noncarcinogens: Final action level based on default target hazard quotient = 0.2 unless otherwise noted (see Sections 1.4 and 4.2.2).  TPH action levels based on HQ of 1.0 (see below footnote and Sections 3.2 and 6.0 in text).  Action levels for thallium and Technical Chlordane based on HQ of 1.0.  Action levels for aldrin and dieldrin (breakdown product of aldrin) based on HQ of 0.5. All chemicals - Action levels based on hazard quotient of 1.0 provided for reference.</t>
  </si>
  <si>
    <r>
      <t>1. Carcinogens: Default target excess cancer risk = 10</t>
    </r>
    <r>
      <rPr>
        <vertAlign val="superscript"/>
        <sz val="8"/>
        <rFont val="Arial"/>
        <family val="2"/>
      </rPr>
      <t>-5</t>
    </r>
    <r>
      <rPr>
        <sz val="8"/>
        <rFont val="Arial"/>
        <family val="2"/>
      </rPr>
      <t xml:space="preserve"> (see Sections 1.4 and 4.2.2).  Target excess cancer risk of 10</t>
    </r>
    <r>
      <rPr>
        <vertAlign val="superscript"/>
        <sz val="8"/>
        <rFont val="Arial"/>
        <family val="2"/>
      </rPr>
      <t>-6</t>
    </r>
    <r>
      <rPr>
        <sz val="8"/>
        <rFont val="Arial"/>
        <family val="2"/>
      </rPr>
      <t xml:space="preserve"> used for volatile contaminants that are carcinogens.  Target risk of 5x10-5 used for benzo(a)pyrene. Target risk of  10</t>
    </r>
    <r>
      <rPr>
        <vertAlign val="superscript"/>
        <sz val="8"/>
        <rFont val="Arial"/>
        <family val="2"/>
      </rPr>
      <t>-4</t>
    </r>
    <r>
      <rPr>
        <sz val="8"/>
        <rFont val="Arial"/>
        <family val="2"/>
      </rPr>
      <t xml:space="preserve"> applied to aldrin, dieldrin, TEQ dioxins and hexavalent chromium action levels to reflect on higher confidence in noncancer toxicity factors and/or background and other factors.</t>
    </r>
  </si>
  <si>
    <t>2. Noncarcinogens: Final action level based on default target hazard quotient = 0.2 unless noted (see Sections 1.4 and 4.2.2).  TPH action levels based on HQ of 1.0 (see Section 3.2 in text).  Action levels for Technical Chlordane and thallium based on HQ of 1.0.  Action levels for aldrin and dieldrin (breakdown product of aldrin) based on HQ of 0.5.  Screening levels based on hazard quotient of 1.0 provided for reference.</t>
  </si>
  <si>
    <r>
      <t xml:space="preserve">Primary source: </t>
    </r>
    <r>
      <rPr>
        <sz val="8"/>
        <rFont val="Arial"/>
        <family val="2"/>
      </rPr>
      <t>USEPA Regional Screening Levels (USEPA 2017), modified as noted below and described in Appendix 1, Sections 1.4 and  4.2.2.</t>
    </r>
  </si>
  <si>
    <r>
      <t>Target cancer risk = 10</t>
    </r>
    <r>
      <rPr>
        <vertAlign val="superscript"/>
        <sz val="8"/>
        <rFont val="Arial"/>
        <family val="2"/>
      </rPr>
      <t>-6</t>
    </r>
    <r>
      <rPr>
        <sz val="8"/>
        <rFont val="Arial"/>
        <family val="2"/>
      </rPr>
      <t>, Target Hazard Quotient = 0.2 for all chemicals except as noted. Target 10</t>
    </r>
    <r>
      <rPr>
        <vertAlign val="superscript"/>
        <sz val="8"/>
        <rFont val="Arial"/>
        <family val="2"/>
      </rPr>
      <t>-5</t>
    </r>
    <r>
      <rPr>
        <sz val="8"/>
        <rFont val="Arial"/>
        <family val="2"/>
      </rPr>
      <t xml:space="preserve"> risk applied to ethylbenzene, 1-methylnaphthalene and naphthalene. Target HQ of 1.0 applied to TPHg and TPHmd.</t>
    </r>
  </si>
  <si>
    <t>Worksheet is write protected. Disable protection using “Unprotect” under "Review" if you have trouble
selecting options (password = EAL).</t>
  </si>
  <si>
    <r>
      <t xml:space="preserve">Physical state of chemical at ambient conditions </t>
    </r>
    <r>
      <rPr>
        <sz val="8"/>
        <rFont val="Arial"/>
        <family val="2"/>
      </rPr>
      <t>(V - volatile, NV - nonvolatile, SV-semivolatile, S - solid, L - liquid, G - gas).</t>
    </r>
  </si>
  <si>
    <t>Chemical considered to be "volatile" if Henry's number (atm m3/mole) &gt;0.00001 or VP &gt;1 mm Hg and molecular weight &lt;200, and "semi-volatile" if molecular weight &gt;200.</t>
  </si>
  <si>
    <r>
      <t xml:space="preserve">Reference Concentration (RfC) </t>
    </r>
    <r>
      <rPr>
        <sz val="8"/>
        <rFont val="Arial"/>
        <family val="2"/>
      </rPr>
      <t>for volatile noncarcinogens calculated based on oral reference dose if not available in USEPA RSL guidance (see Section 1.3; RfC = RfD x 80kg x (1/20m3-d). Resulting action levels may differ from those presented in the USEPA RSL guidance. Includes: acenaphthalene, acenaphthylene, anthracene, 2-chlorophenol, bromodichloromethane, dibromochloromethane, dibromomethane, 1,3 dichlorobenzene, 1,1 dichloroethane, cis 1,2-dichloroethylene, trans 1,2-dichloroethylene, 2,4-dimethylphenol, fluorene, 1 &amp; 2-methylnaphthalene, 2-nitrotoluene, 3-nitrotoluene, phenanthrene, pyrene, 1,1,1,2-tetrachloroethane, 2,4,5-trichlorophenol.</t>
    </r>
  </si>
  <si>
    <t>Antimony toxicty factors based on metallic forms.</t>
  </si>
  <si>
    <t>Total Chromium action levels based assumed background (refer to Section 2.8 in Volume 1).</t>
  </si>
  <si>
    <t>Cyanide action levels based on CN-</t>
  </si>
  <si>
    <t>Dioxins TEQ cancer slope factors based on  2,3,7,8-TCDD; see HDOH 2010 for background of noncancer toxicity factors.</t>
  </si>
  <si>
    <t>Ethanol toxicity factors not available (refer to Section 5.3.3 in Appendix 1.</t>
  </si>
  <si>
    <t>Mercury toxicity factors based on mercuric salts.</t>
  </si>
  <si>
    <t>PCB constants and toxicity factors based on Arochlor 1254.</t>
  </si>
  <si>
    <r>
      <t xml:space="preserve">TBA vapor pressure from </t>
    </r>
    <r>
      <rPr>
        <i/>
        <sz val="8"/>
        <rFont val="Arial"/>
        <family val="2"/>
      </rPr>
      <t>Management of MtBE Impacted Sites</t>
    </r>
    <r>
      <rPr>
        <sz val="8"/>
        <rFont val="Arial"/>
        <family val="2"/>
      </rPr>
      <t xml:space="preserve"> (RWQCB 2001).</t>
    </r>
  </si>
  <si>
    <t>TPHg and TPHmd solubilities from USACE 1998. TPH as gasolines and middle distillates diffusivity constants based on xylenes.  Required for direct exposure models - Does not significantly affect action levels.  See Chapter 5 of Appendix 1.</t>
  </si>
  <si>
    <t>Direct-exposure screening level for lead based on USEPA Regional Screening Levels for commercial/industrial exposure scenarios (USEPA 2017).</t>
  </si>
  <si>
    <r>
      <t xml:space="preserve">Primary source: </t>
    </r>
    <r>
      <rPr>
        <sz val="8"/>
        <rFont val="Arial"/>
        <family val="2"/>
      </rPr>
      <t>USEPA Regional Screening Levels (USEPA 2017), modified as noted below and described in Appendix 1, Section 3.2.</t>
    </r>
  </si>
  <si>
    <t>4. Maximum dioxin screening level set equal to commercial/industrial screening level to address dietary contribution (see text).</t>
  </si>
  <si>
    <r>
      <t>2</t>
    </r>
    <r>
      <rPr>
        <b/>
        <sz val="8"/>
        <rFont val="Arial"/>
        <family val="2"/>
      </rPr>
      <t>Potential
Vapor-Phase
COPC?</t>
    </r>
  </si>
  <si>
    <r>
      <t>3</t>
    </r>
    <r>
      <rPr>
        <sz val="8"/>
        <rFont val="Arial"/>
        <family val="2"/>
      </rPr>
      <t>Henry's Law
Constant
(H')</t>
    </r>
  </si>
  <si>
    <t>(ug/m3)</t>
  </si>
  <si>
    <t>No</t>
  </si>
  <si>
    <t>Yes</t>
  </si>
  <si>
    <t>AMINO,2- DINITROTOLUENE,3,6-</t>
  </si>
  <si>
    <t>DIOXIN (TEQ)</t>
  </si>
  <si>
    <t>3. Physio-Chemical constants for chemicals from USEPA Region IX (USEPA 2012) or Ontario MOEE (MOEE 1996) when not available (see Table J).</t>
  </si>
  <si>
    <t>TPH -Total Petroleum Hydrocarbons.  See Appendix 1, Section 6 for discussion of different TPH categories.</t>
  </si>
  <si>
    <t>4. Lowest of drinking water goals based on toxicity and taste and odors (see Table D-1a).</t>
  </si>
  <si>
    <t>1. Equivalent concentration of VOC in vadose-zone, soil gas when concentration in pore water/leachate is equal to drinking water screening level times a default dilution-attenuation factor of twenty; see Section 3.5 in Appendix 1 text and Section 4.3.4 in Volume 1). Downward attenuation during migration through the vadose zone (e.g., via volatilization)not considered; most applicable to vapors from leachate in close proximity to the water table.</t>
  </si>
  <si>
    <t>2. Common petroleum, chlorinated solvent or agricultural fumigant volatile chemicals of potential concern or related breakdown products (refer also to Section 9 of the Hawai'i DOH Technical Guidance Manual (HDOH 2016).  Petroleum VOCs focus on TPHg, TPHmd, BTEX, MTBE and naphthalene.</t>
  </si>
  <si>
    <r>
      <rPr>
        <vertAlign val="superscript"/>
        <sz val="8"/>
        <rFont val="Arial"/>
        <family val="2"/>
      </rPr>
      <t>4</t>
    </r>
    <r>
      <rPr>
        <sz val="8"/>
        <rFont val="Arial"/>
        <family val="2"/>
      </rPr>
      <t>Target Groundwater Screening Level
(</t>
    </r>
    <r>
      <rPr>
        <sz val="8"/>
        <rFont val="Calibri"/>
        <family val="2"/>
      </rPr>
      <t>µ</t>
    </r>
    <r>
      <rPr>
        <sz val="8"/>
        <rFont val="Arial"/>
        <family val="2"/>
      </rPr>
      <t>g/L)</t>
    </r>
  </si>
  <si>
    <r>
      <t xml:space="preserve">TABLE E-2. </t>
    </r>
    <r>
      <rPr>
        <b/>
        <vertAlign val="superscript"/>
        <sz val="12"/>
        <rFont val="Arial"/>
        <family val="2"/>
      </rPr>
      <t>1</t>
    </r>
    <r>
      <rPr>
        <b/>
        <sz val="12"/>
        <rFont val="Arial"/>
        <family val="2"/>
      </rPr>
      <t>SOIL VApOR ACTION LEVELS FOR EVALUATION OF VADOSE-ZONE LEACHATE AND PROTECTION OF DRINKING WATER AQUIFERS
(</t>
    </r>
    <r>
      <rPr>
        <b/>
        <vertAlign val="superscript"/>
        <sz val="12"/>
        <rFont val="Arial"/>
        <family val="2"/>
      </rPr>
      <t>2</t>
    </r>
    <r>
      <rPr>
        <b/>
        <sz val="12"/>
        <rFont val="Arial"/>
        <family val="2"/>
      </rPr>
      <t>volatile hydrocarbons, solvents, explosives and fumigants)</t>
    </r>
  </si>
  <si>
    <r>
      <rPr>
        <vertAlign val="superscript"/>
        <sz val="8"/>
        <rFont val="Arial"/>
        <family val="2"/>
      </rPr>
      <t>1</t>
    </r>
    <r>
      <rPr>
        <sz val="8"/>
        <rFont val="Arial"/>
        <family val="2"/>
      </rPr>
      <t>Soil Vapor
Action Level</t>
    </r>
  </si>
  <si>
    <r>
      <rPr>
        <b/>
        <vertAlign val="superscript"/>
        <sz val="8"/>
        <rFont val="Arial"/>
        <family val="2"/>
      </rPr>
      <t>2</t>
    </r>
    <r>
      <rPr>
        <b/>
        <sz val="8"/>
        <rFont val="Arial"/>
        <family val="2"/>
      </rPr>
      <t>Soil Vapor
Screening Level
(µg/m</t>
    </r>
    <r>
      <rPr>
        <b/>
        <vertAlign val="superscript"/>
        <sz val="8"/>
        <rFont val="Arial"/>
        <family val="2"/>
      </rPr>
      <t>3</t>
    </r>
    <r>
      <rPr>
        <b/>
        <sz val="8"/>
        <rFont val="Arial"/>
        <family val="2"/>
      </rPr>
      <t>)</t>
    </r>
  </si>
  <si>
    <r>
      <t xml:space="preserve">TABLE E. </t>
    </r>
    <r>
      <rPr>
        <b/>
        <sz val="11.5"/>
        <rFont val="Arial"/>
        <family val="2"/>
      </rPr>
      <t>SOIL VAPOR SCREENING LEVELS
FOR EVALUATION OF VADOSE-ZONE LEACHATE
(Potential impacts to highly vulnerable drinking water aquifers)</t>
    </r>
  </si>
  <si>
    <r>
      <rPr>
        <b/>
        <vertAlign val="superscript"/>
        <sz val="8"/>
        <rFont val="Arial"/>
        <family val="2"/>
      </rPr>
      <t>1</t>
    </r>
    <r>
      <rPr>
        <b/>
        <sz val="8"/>
        <rFont val="Arial"/>
        <family val="2"/>
      </rPr>
      <t>Target Groundwater Screening Level
(</t>
    </r>
    <r>
      <rPr>
        <b/>
        <sz val="8"/>
        <rFont val="Calibri"/>
        <family val="2"/>
      </rPr>
      <t>µ</t>
    </r>
    <r>
      <rPr>
        <b/>
        <sz val="8"/>
        <rFont val="Arial"/>
        <family val="2"/>
      </rPr>
      <t>g/L)</t>
    </r>
  </si>
  <si>
    <t>2. Theoretical, equilibrium concentration of VOC in soil gas when concentration of VOC in soil moisture/leachate is equal to twenty times the target drinking water screening level (default atenuation/dilution factor; see Section 4.3.4).</t>
  </si>
  <si>
    <t>1 Lowest of drinking water goals based on toxicity and taste and odors. Focus on volatile petroleum hydrocarbons, chlorinated solvents, explosives or agricultural fumigants of potential concern or related breakdown products (refer also to Section 9 of the Hawai'i DOH Technical Guidance Manual (HDOH 2009).  Petroleum fuels focus on BTEX, MTCE, naphthalene, TPHg and TPHmd.</t>
  </si>
  <si>
    <t>Naturally occurring metal.  Test for bioaccessible arsenic  in &lt;250µm if total arsenic in &lt;2mm soil fraction exceeds 24 mg/kg. Residential action level = 23 mg/kg; C/I action level 95 mg/kg (see Vol. 1, Chpt 4 of the EHE document).</t>
  </si>
  <si>
    <t>Refer to Volume 1, Appendix 9 for detailed list of updates.</t>
  </si>
  <si>
    <t>TPH toxicity factors discussed in Appendix 1, Chapter 6.</t>
  </si>
  <si>
    <t>RfDd</t>
  </si>
  <si>
    <t>τevent</t>
  </si>
  <si>
    <t>t*</t>
  </si>
  <si>
    <t>KP</t>
  </si>
  <si>
    <t>(hr/event)</t>
  </si>
  <si>
    <t>(hr)</t>
  </si>
  <si>
    <t>(cm/hr)</t>
  </si>
  <si>
    <t>Acenaphthylene dermal absorption factors based on factors for acenaphthene (not available, similar structure).</t>
  </si>
  <si>
    <t>Benzo(g,h,i)perylene dermal absorption factors based on factors for benzo(b)fluoranthene (not available, most conservative of benzo-PAHs)</t>
  </si>
  <si>
    <t>Phenanthrene dermal absorption factors based on fluorene (not available, similar structure).</t>
  </si>
  <si>
    <t>(no toxicity)</t>
  </si>
  <si>
    <t>CSFo/d</t>
  </si>
  <si>
    <t>(Use soil gas)</t>
  </si>
  <si>
    <t>USEPA, 2023, Regional Screening Levels: U.S. Environmental Protection Agency, November 2023, prepared by Oak Ridge National Laboratories, https://www.epa.gov/risk/regional-screening-levels-rsls-generic-tables</t>
  </si>
  <si>
    <t>HDOH, 2023, Technical Guidance Manual (2023 and updates): Hawai‘i Department of Health, Office of Hazard Evaluation and Emergency Response, https://health.hawaii.gov/heer/tgm/</t>
  </si>
  <si>
    <t>HDOH, 2024, Evaluation of Environmental Hazards at Sites with Contaminated Soil and Groundwater (Spring 2024): Hawai'i Department of Health, Hazard Evaluation and Emergency Response, https://health.hawaii.gov/heer/guidance/ehe-and-eals/</t>
  </si>
  <si>
    <r>
      <t xml:space="preserve">Reference: </t>
    </r>
    <r>
      <rPr>
        <sz val="11"/>
        <rFont val="Times New Roman"/>
        <family val="1"/>
      </rPr>
      <t>HDOH, 2024, Evaluation of Environmental Hazards at Sites with Contaminated Soil and Groundwater (Spring 2024): Hawai'i Department of Health, Hazard Evaluation and Emergency Response, https://health.hawaii.gov/heer/guidance/ehe-and-eals/</t>
    </r>
  </si>
  <si>
    <t>Physio-Chemical constants for TPH (gasolines and middle distillates) based on constants developed for C11 to C22 aromatic carbon range fraction by Massachusetts DEP and used to develop action levels for leaching of TPH in general from soil (MADEP 1997, refer to Table H). Soil leaching level rounded to nearest hundred.</t>
  </si>
  <si>
    <t>#: Leaching model used considered to be excessively conservative for highly sorptive chemicals. For chemicals with koc values greater than 5,000 cm3/g, theoretical soil saturation level ("sat") used in place of leaching model action level if higher (see text).  Soil saturation levels calculated using equation presented in USEPA Regional Screening Levels guidance (USEPA 2023, see Appendix 2).</t>
  </si>
  <si>
    <t>5. BTV for cadmium based on profession judgment (natural background data based on 2011 study very limited; subsequent soil data reported by consultants indicates common occurrence of natural background between Upper Bound and BTV concentration).</t>
  </si>
  <si>
    <r>
      <t xml:space="preserve">Physio-chemical constants and toxicity factors </t>
    </r>
    <r>
      <rPr>
        <sz val="8"/>
        <rFont val="Arial"/>
        <family val="2"/>
      </rPr>
      <t>primarily from USEPA RSL guidance (USEPA 2023). Other references include: National Library of Medicine Toxnet database (NLM 2008a), NLM ChemID Plus (NLM 2008b), ATSDR Toxprofiles (ATSDR 2006) and USDOE RAIS database (USDOE 2006), in that order or preference, unless otherwise noted.</t>
    </r>
  </si>
  <si>
    <t>TPH -Total Petroleum Hydrocarbons.  See Section 6 of text for discussion of different TPH categories.  TPH physiochemical constants based on C0-C10 aromatic compounds  published in MADEP 2002 with noted exceptions (primarily affects soil leaching models).  Molecular Weights: Gasolines (ATSDR 1995), Middle Distillates = Diesel (NRC 1996), Residual Fuels = Bunker F/Fuel Oil No. 6 (IARC 1989, CountryMark 2012). Gasoline solubility after USACE 1998. Gasoline and Middle Distillate vapor pressures from NJDEP 2008 and 2010, respectively.</t>
  </si>
  <si>
    <t>Refer to Appendix 1, Section 6 for TPH Dermal Absorption Factors and Toxicity Factros applied to neat-, vapor- and dissolved-phase fuels.</t>
  </si>
  <si>
    <t>SV</t>
  </si>
  <si>
    <t>Reidual fuels assumed to be semi-volatile do the potential presence of &gt;C8 aromatics and &gt;C8-C18 aliphatics.</t>
  </si>
  <si>
    <t>Groundwater Protection</t>
  </si>
  <si>
    <t>(Use batch test)</t>
  </si>
  <si>
    <t>Ceiling Value</t>
  </si>
  <si>
    <t>Aquatic Habitat Goal</t>
  </si>
  <si>
    <t>Aquatic Habitat Chronic Toxicity</t>
  </si>
  <si>
    <t>Bioaccumulation/Human Consumption</t>
  </si>
  <si>
    <t>carcinogenic effects</t>
  </si>
  <si>
    <t>HDOH Primary MCL</t>
  </si>
  <si>
    <t>mutagenic effects</t>
  </si>
  <si>
    <t>USEPA Chronic FW</t>
  </si>
  <si>
    <t>USEPA Chronic SW</t>
  </si>
  <si>
    <t>Hawaii Chronic SW WQS</t>
  </si>
  <si>
    <t>Hawaii Chronic FW WQS</t>
  </si>
  <si>
    <t>=Drinking Water Toxicity</t>
  </si>
  <si>
    <t>=Drinking Water Toxicity)</t>
  </si>
  <si>
    <t>Hawaii Acute SW WQS</t>
  </si>
  <si>
    <t>Hawaii Acute FW WQS</t>
  </si>
  <si>
    <t>USEPA Acute FW</t>
  </si>
  <si>
    <t>USEPA Acute SW</t>
  </si>
  <si>
    <t>USEPA Aquatic Organism Consumption</t>
  </si>
  <si>
    <t>HI DOH Fish Consumption</t>
  </si>
  <si>
    <t>#</t>
  </si>
  <si>
    <t>Taste &amp; Odors</t>
  </si>
  <si>
    <t>Solubility</t>
  </si>
  <si>
    <t>Nuisance Odors</t>
  </si>
  <si>
    <t>trench/construction worker</t>
  </si>
  <si>
    <t>saturation limit</t>
  </si>
  <si>
    <t>maximum</t>
  </si>
  <si>
    <t xml:space="preserve">2. TPH action levels primarily affected due to reduction in USEPA toxicity factors for C5-C8 aliphatic compounds and &gt;C8 aromatic compounds. Refer to Appendix 1, Section 6 for details. </t>
  </si>
  <si>
    <t xml:space="preserve">1. Physiochemical parameter values and toxicity factors updated to reflect values used in November 2023 USEPA Regional Screening Levels guidance. Adjustments to EALs for common contaminants were in general minimal with the exception of action levels for TPH. </t>
  </si>
  <si>
    <t>1. Site scenario options based on scenarios used to develop EAL lookup tables (refer to Volume 1 of main document). "Tier 1" EALs presented in summary lookup tables based on unrestricted land use scenario within 150m of a surface water body and over groundwater that is a use of drinking water.</t>
  </si>
  <si>
    <t>Table F. CHEMICAL CHEMICAL ABSTRACT SERVICE
(CAS) NUMBERS.</t>
  </si>
  <si>
    <r>
      <rPr>
        <b/>
        <sz val="8"/>
        <rFont val="Arial"/>
        <family val="2"/>
      </rPr>
      <t>CAS Number</t>
    </r>
  </si>
  <si>
    <r>
      <rPr>
        <b/>
        <sz val="8"/>
        <rFont val="Arial"/>
        <family val="2"/>
      </rPr>
      <t>CHEMICAL PARAMETER</t>
    </r>
  </si>
  <si>
    <r>
      <rPr>
        <sz val="8"/>
        <rFont val="Arial"/>
        <family val="2"/>
      </rPr>
      <t>83-32-9</t>
    </r>
  </si>
  <si>
    <r>
      <rPr>
        <sz val="8"/>
        <rFont val="Arial"/>
        <family val="2"/>
      </rPr>
      <t>ACENAPHTHENE</t>
    </r>
  </si>
  <si>
    <r>
      <rPr>
        <sz val="8"/>
        <rFont val="Arial"/>
        <family val="2"/>
      </rPr>
      <t>208-96-8</t>
    </r>
  </si>
  <si>
    <r>
      <rPr>
        <sz val="8"/>
        <rFont val="Arial"/>
        <family val="2"/>
      </rPr>
      <t>ACENAPHTHYLENE</t>
    </r>
  </si>
  <si>
    <r>
      <rPr>
        <sz val="8"/>
        <rFont val="Arial"/>
        <family val="2"/>
      </rPr>
      <t>67-64-1</t>
    </r>
  </si>
  <si>
    <r>
      <rPr>
        <sz val="8"/>
        <rFont val="Arial"/>
        <family val="2"/>
      </rPr>
      <t>ACETONE</t>
    </r>
  </si>
  <si>
    <r>
      <rPr>
        <sz val="8"/>
        <rFont val="Arial"/>
        <family val="2"/>
      </rPr>
      <t>309-00-2</t>
    </r>
  </si>
  <si>
    <r>
      <rPr>
        <sz val="8"/>
        <rFont val="Arial"/>
        <family val="2"/>
      </rPr>
      <t>ALDRIN</t>
    </r>
  </si>
  <si>
    <r>
      <rPr>
        <sz val="8"/>
        <rFont val="Arial"/>
        <family val="2"/>
      </rPr>
      <t>834-12-8</t>
    </r>
  </si>
  <si>
    <r>
      <rPr>
        <sz val="8"/>
        <rFont val="Arial"/>
        <family val="2"/>
      </rPr>
      <t>AMETRYN</t>
    </r>
  </si>
  <si>
    <r>
      <rPr>
        <sz val="8"/>
        <rFont val="Arial"/>
        <family val="2"/>
      </rPr>
      <t>35572-78-2</t>
    </r>
  </si>
  <si>
    <r>
      <rPr>
        <sz val="8"/>
        <rFont val="Arial"/>
        <family val="2"/>
      </rPr>
      <t>AMINO,2- DINITROTOLUENE,4,6-</t>
    </r>
  </si>
  <si>
    <r>
      <rPr>
        <sz val="8"/>
        <rFont val="Arial"/>
        <family val="2"/>
      </rPr>
      <t>19406-51-0</t>
    </r>
  </si>
  <si>
    <r>
      <rPr>
        <sz val="8"/>
        <rFont val="Arial"/>
        <family val="2"/>
      </rPr>
      <t>AMINO,4- DINITROTOLUENE,2,6-</t>
    </r>
  </si>
  <si>
    <r>
      <rPr>
        <sz val="8"/>
        <rFont val="Arial"/>
        <family val="2"/>
      </rPr>
      <t>120-12-7</t>
    </r>
  </si>
  <si>
    <r>
      <rPr>
        <sz val="8"/>
        <rFont val="Arial"/>
        <family val="2"/>
      </rPr>
      <t>ANTHRACENE</t>
    </r>
  </si>
  <si>
    <r>
      <rPr>
        <sz val="8"/>
        <rFont val="Arial"/>
        <family val="2"/>
      </rPr>
      <t>7440-36-0</t>
    </r>
  </si>
  <si>
    <r>
      <rPr>
        <sz val="8"/>
        <rFont val="Arial"/>
        <family val="2"/>
      </rPr>
      <t>ANTIMONY</t>
    </r>
  </si>
  <si>
    <r>
      <rPr>
        <sz val="8"/>
        <rFont val="Arial"/>
        <family val="2"/>
      </rPr>
      <t>7440-38-2</t>
    </r>
  </si>
  <si>
    <r>
      <rPr>
        <sz val="8"/>
        <rFont val="Arial"/>
        <family val="2"/>
      </rPr>
      <t>ARSENIC</t>
    </r>
  </si>
  <si>
    <r>
      <rPr>
        <sz val="8"/>
        <rFont val="Arial"/>
        <family val="2"/>
      </rPr>
      <t>1912-24-9</t>
    </r>
  </si>
  <si>
    <r>
      <rPr>
        <sz val="8"/>
        <rFont val="Arial"/>
        <family val="2"/>
      </rPr>
      <t>ATRAZINE</t>
    </r>
  </si>
  <si>
    <r>
      <rPr>
        <sz val="8"/>
        <rFont val="Arial"/>
        <family val="2"/>
      </rPr>
      <t>7440-39-3</t>
    </r>
  </si>
  <si>
    <r>
      <rPr>
        <sz val="8"/>
        <rFont val="Arial"/>
        <family val="2"/>
      </rPr>
      <t>BARIUM</t>
    </r>
  </si>
  <si>
    <r>
      <rPr>
        <sz val="8"/>
        <rFont val="Arial"/>
        <family val="2"/>
      </rPr>
      <t>17804-35-2</t>
    </r>
  </si>
  <si>
    <r>
      <rPr>
        <sz val="8"/>
        <rFont val="Arial"/>
        <family val="2"/>
      </rPr>
      <t>BENOMYL</t>
    </r>
  </si>
  <si>
    <r>
      <rPr>
        <sz val="8"/>
        <rFont val="Arial"/>
        <family val="2"/>
      </rPr>
      <t>71-43-2</t>
    </r>
  </si>
  <si>
    <r>
      <rPr>
        <sz val="8"/>
        <rFont val="Arial"/>
        <family val="2"/>
      </rPr>
      <t>BENZENE</t>
    </r>
  </si>
  <si>
    <r>
      <rPr>
        <sz val="8"/>
        <rFont val="Arial"/>
        <family val="2"/>
      </rPr>
      <t>56-55-3</t>
    </r>
  </si>
  <si>
    <r>
      <rPr>
        <sz val="8"/>
        <rFont val="Arial"/>
        <family val="2"/>
      </rPr>
      <t>BENZO(a)ANTHRACENE</t>
    </r>
  </si>
  <si>
    <r>
      <rPr>
        <sz val="8"/>
        <rFont val="Arial"/>
        <family val="2"/>
      </rPr>
      <t>50-32-8</t>
    </r>
  </si>
  <si>
    <r>
      <rPr>
        <sz val="8"/>
        <rFont val="Arial"/>
        <family val="2"/>
      </rPr>
      <t>BENZO(a)PYRENE</t>
    </r>
  </si>
  <si>
    <r>
      <rPr>
        <sz val="8"/>
        <rFont val="Arial"/>
        <family val="2"/>
      </rPr>
      <t>205-99-2</t>
    </r>
  </si>
  <si>
    <r>
      <rPr>
        <sz val="8"/>
        <rFont val="Arial"/>
        <family val="2"/>
      </rPr>
      <t>BENZO(b)FLUORANTHENE</t>
    </r>
  </si>
  <si>
    <r>
      <rPr>
        <sz val="8"/>
        <rFont val="Arial"/>
        <family val="2"/>
      </rPr>
      <t>191-24-2</t>
    </r>
  </si>
  <si>
    <r>
      <rPr>
        <sz val="8"/>
        <rFont val="Arial"/>
        <family val="2"/>
      </rPr>
      <t>BENZO(g,h,i)PERYLENE</t>
    </r>
  </si>
  <si>
    <r>
      <rPr>
        <sz val="8"/>
        <rFont val="Arial"/>
        <family val="2"/>
      </rPr>
      <t>207-08-9</t>
    </r>
  </si>
  <si>
    <r>
      <rPr>
        <sz val="8"/>
        <rFont val="Arial"/>
        <family val="2"/>
      </rPr>
      <t>BENZO(k)FLUORANTHENE</t>
    </r>
  </si>
  <si>
    <r>
      <rPr>
        <sz val="8"/>
        <rFont val="Arial"/>
        <family val="2"/>
      </rPr>
      <t>7440-41-7</t>
    </r>
  </si>
  <si>
    <r>
      <rPr>
        <sz val="8"/>
        <rFont val="Arial"/>
        <family val="2"/>
      </rPr>
      <t>BERYLLIUM</t>
    </r>
  </si>
  <si>
    <r>
      <rPr>
        <sz val="8"/>
        <rFont val="Arial"/>
        <family val="2"/>
      </rPr>
      <t>92-52-4</t>
    </r>
  </si>
  <si>
    <r>
      <rPr>
        <sz val="8"/>
        <rFont val="Arial"/>
        <family val="2"/>
      </rPr>
      <t>BIPHENYL, 1,1-</t>
    </r>
  </si>
  <si>
    <r>
      <rPr>
        <sz val="8"/>
        <rFont val="Arial"/>
        <family val="2"/>
      </rPr>
      <t>111-44-4</t>
    </r>
  </si>
  <si>
    <r>
      <rPr>
        <sz val="8"/>
        <rFont val="Arial"/>
        <family val="2"/>
      </rPr>
      <t>BIS(2-CHLOROETHYL)ETHER</t>
    </r>
  </si>
  <si>
    <r>
      <rPr>
        <sz val="8"/>
        <rFont val="Arial"/>
        <family val="2"/>
      </rPr>
      <t>39638-32-9</t>
    </r>
  </si>
  <si>
    <r>
      <rPr>
        <sz val="8"/>
        <rFont val="Arial"/>
        <family val="2"/>
      </rPr>
      <t>BIS(2-CHLORO-1-METHYLETHYL)ETHER</t>
    </r>
  </si>
  <si>
    <r>
      <rPr>
        <sz val="8"/>
        <rFont val="Arial"/>
        <family val="2"/>
      </rPr>
      <t>117-81-7</t>
    </r>
  </si>
  <si>
    <r>
      <rPr>
        <sz val="8"/>
        <rFont val="Arial"/>
        <family val="2"/>
      </rPr>
      <t>BIS(2-ETHYLHEXYL)PHTHALATE</t>
    </r>
  </si>
  <si>
    <r>
      <rPr>
        <sz val="8"/>
        <rFont val="Arial"/>
        <family val="2"/>
      </rPr>
      <t>7440-42-8</t>
    </r>
  </si>
  <si>
    <r>
      <rPr>
        <sz val="8"/>
        <rFont val="Arial"/>
        <family val="2"/>
      </rPr>
      <t>BORON</t>
    </r>
  </si>
  <si>
    <r>
      <rPr>
        <sz val="8"/>
        <rFont val="Arial"/>
        <family val="2"/>
      </rPr>
      <t>75-27-4</t>
    </r>
  </si>
  <si>
    <r>
      <rPr>
        <sz val="8"/>
        <rFont val="Arial"/>
        <family val="2"/>
      </rPr>
      <t>BROMODICHLOROMETHANE</t>
    </r>
  </si>
  <si>
    <r>
      <rPr>
        <sz val="8"/>
        <rFont val="Arial"/>
        <family val="2"/>
      </rPr>
      <t>75-25-2</t>
    </r>
  </si>
  <si>
    <r>
      <rPr>
        <sz val="8"/>
        <rFont val="Arial"/>
        <family val="2"/>
      </rPr>
      <t>BROMOFORM</t>
    </r>
  </si>
  <si>
    <r>
      <rPr>
        <sz val="8"/>
        <rFont val="Arial"/>
        <family val="2"/>
      </rPr>
      <t>74-83-9</t>
    </r>
  </si>
  <si>
    <r>
      <rPr>
        <sz val="8"/>
        <rFont val="Arial"/>
        <family val="2"/>
      </rPr>
      <t>BROMOMETHANE</t>
    </r>
  </si>
  <si>
    <r>
      <rPr>
        <sz val="8"/>
        <rFont val="Arial"/>
        <family val="2"/>
      </rPr>
      <t>7440-43-9</t>
    </r>
  </si>
  <si>
    <r>
      <rPr>
        <sz val="8"/>
        <rFont val="Arial"/>
        <family val="2"/>
      </rPr>
      <t>CADMIUM</t>
    </r>
  </si>
  <si>
    <r>
      <rPr>
        <sz val="8"/>
        <rFont val="Arial"/>
        <family val="2"/>
      </rPr>
      <t>56-23-5</t>
    </r>
  </si>
  <si>
    <r>
      <rPr>
        <sz val="8"/>
        <rFont val="Arial"/>
        <family val="2"/>
      </rPr>
      <t>CARBON TETRACHLORIDE</t>
    </r>
  </si>
  <si>
    <r>
      <rPr>
        <sz val="8"/>
        <rFont val="Arial"/>
        <family val="2"/>
      </rPr>
      <t>12789-03-6</t>
    </r>
  </si>
  <si>
    <r>
      <rPr>
        <sz val="8"/>
        <rFont val="Arial"/>
        <family val="2"/>
      </rPr>
      <t>CHLORDANE (TECHNICAL)</t>
    </r>
  </si>
  <si>
    <r>
      <rPr>
        <sz val="8"/>
        <rFont val="Arial"/>
        <family val="2"/>
      </rPr>
      <t>106-47-8</t>
    </r>
  </si>
  <si>
    <r>
      <rPr>
        <sz val="8"/>
        <rFont val="Arial"/>
        <family val="2"/>
      </rPr>
      <t>CHLOROANILINE, p-</t>
    </r>
  </si>
  <si>
    <r>
      <rPr>
        <sz val="8"/>
        <rFont val="Arial"/>
        <family val="2"/>
      </rPr>
      <t>108-90-7</t>
    </r>
  </si>
  <si>
    <r>
      <rPr>
        <sz val="8"/>
        <rFont val="Arial"/>
        <family val="2"/>
      </rPr>
      <t>CHLOROBENZENE</t>
    </r>
  </si>
  <si>
    <r>
      <rPr>
        <sz val="8"/>
        <rFont val="Arial"/>
        <family val="2"/>
      </rPr>
      <t>75-00-3</t>
    </r>
  </si>
  <si>
    <r>
      <rPr>
        <sz val="8"/>
        <rFont val="Arial"/>
        <family val="2"/>
      </rPr>
      <t>CHLOROETHANE</t>
    </r>
  </si>
  <si>
    <r>
      <rPr>
        <sz val="8"/>
        <rFont val="Arial"/>
        <family val="2"/>
      </rPr>
      <t>67-66-3</t>
    </r>
  </si>
  <si>
    <r>
      <rPr>
        <sz val="8"/>
        <rFont val="Arial"/>
        <family val="2"/>
      </rPr>
      <t>CHLOROFORM</t>
    </r>
  </si>
  <si>
    <r>
      <rPr>
        <sz val="8"/>
        <rFont val="Arial"/>
        <family val="2"/>
      </rPr>
      <t>74-87-3</t>
    </r>
  </si>
  <si>
    <r>
      <rPr>
        <sz val="8"/>
        <rFont val="Arial"/>
        <family val="2"/>
      </rPr>
      <t>CHLOROMETHANE</t>
    </r>
  </si>
  <si>
    <r>
      <rPr>
        <sz val="8"/>
        <rFont val="Arial"/>
        <family val="2"/>
      </rPr>
      <t>95-57-8</t>
    </r>
  </si>
  <si>
    <r>
      <rPr>
        <sz val="8"/>
        <rFont val="Arial"/>
        <family val="2"/>
      </rPr>
      <t>CHLOROPHENOL, 2-</t>
    </r>
  </si>
  <si>
    <r>
      <rPr>
        <sz val="8"/>
        <rFont val="Arial"/>
        <family val="2"/>
      </rPr>
      <t>7440-47-3</t>
    </r>
  </si>
  <si>
    <r>
      <rPr>
        <sz val="8"/>
        <rFont val="Arial"/>
        <family val="2"/>
      </rPr>
      <t>CHROMIUM (Total)</t>
    </r>
  </si>
  <si>
    <r>
      <rPr>
        <sz val="8"/>
        <rFont val="Arial"/>
        <family val="2"/>
      </rPr>
      <t>16065-83-1</t>
    </r>
  </si>
  <si>
    <r>
      <rPr>
        <sz val="8"/>
        <rFont val="Arial"/>
        <family val="2"/>
      </rPr>
      <t>CHROMIUM III</t>
    </r>
  </si>
  <si>
    <r>
      <rPr>
        <sz val="8"/>
        <rFont val="Arial"/>
        <family val="2"/>
      </rPr>
      <t>18540-29-9</t>
    </r>
  </si>
  <si>
    <r>
      <rPr>
        <sz val="8"/>
        <rFont val="Arial"/>
        <family val="2"/>
      </rPr>
      <t>CHROMIUM VI</t>
    </r>
  </si>
  <si>
    <r>
      <rPr>
        <sz val="8"/>
        <rFont val="Arial"/>
        <family val="2"/>
      </rPr>
      <t>218-01-9</t>
    </r>
  </si>
  <si>
    <r>
      <rPr>
        <sz val="8"/>
        <rFont val="Arial"/>
        <family val="2"/>
      </rPr>
      <t>CHRYSENE</t>
    </r>
  </si>
  <si>
    <r>
      <rPr>
        <sz val="8"/>
        <rFont val="Arial"/>
        <family val="2"/>
      </rPr>
      <t>7440-48-4</t>
    </r>
  </si>
  <si>
    <r>
      <rPr>
        <sz val="8"/>
        <rFont val="Arial"/>
        <family val="2"/>
      </rPr>
      <t>COBALT</t>
    </r>
  </si>
  <si>
    <r>
      <rPr>
        <sz val="8"/>
        <rFont val="Arial"/>
        <family val="2"/>
      </rPr>
      <t>7440-50-8</t>
    </r>
  </si>
  <si>
    <r>
      <rPr>
        <sz val="8"/>
        <rFont val="Arial"/>
        <family val="2"/>
      </rPr>
      <t>COPPER</t>
    </r>
  </si>
  <si>
    <r>
      <rPr>
        <sz val="8"/>
        <rFont val="Arial"/>
        <family val="2"/>
      </rPr>
      <t>CYANIDE (Free)</t>
    </r>
  </si>
  <si>
    <r>
      <rPr>
        <sz val="8"/>
        <rFont val="Arial"/>
        <family val="2"/>
      </rPr>
      <t>121-82-4</t>
    </r>
  </si>
  <si>
    <r>
      <rPr>
        <sz val="8"/>
        <rFont val="Arial"/>
        <family val="2"/>
      </rPr>
      <t>CYCLO-1,3,5-TRIMETHYLENE-2,4,6-TRINITRAMINE (RDX</t>
    </r>
  </si>
  <si>
    <r>
      <rPr>
        <sz val="8"/>
        <rFont val="Arial"/>
        <family val="2"/>
      </rPr>
      <t>75-99-0</t>
    </r>
  </si>
  <si>
    <r>
      <rPr>
        <sz val="8"/>
        <rFont val="Arial"/>
        <family val="2"/>
      </rPr>
      <t>DALAPON</t>
    </r>
  </si>
  <si>
    <r>
      <rPr>
        <sz val="8"/>
        <rFont val="Arial"/>
        <family val="2"/>
      </rPr>
      <t>53-70-3</t>
    </r>
  </si>
  <si>
    <r>
      <rPr>
        <sz val="8"/>
        <rFont val="Arial"/>
        <family val="2"/>
      </rPr>
      <t>DIBENZO(a,h)ANTHTRACENE</t>
    </r>
  </si>
  <si>
    <r>
      <rPr>
        <sz val="8"/>
        <rFont val="Arial"/>
        <family val="2"/>
      </rPr>
      <t>DIBROMO,1,2- CHLOROPROPANE,3-</t>
    </r>
  </si>
  <si>
    <r>
      <rPr>
        <sz val="8"/>
        <rFont val="Arial"/>
        <family val="2"/>
      </rPr>
      <t>124-48-1</t>
    </r>
  </si>
  <si>
    <r>
      <rPr>
        <sz val="8"/>
        <rFont val="Arial"/>
        <family val="2"/>
      </rPr>
      <t>DIBROMOCHLOROMETHANE</t>
    </r>
  </si>
  <si>
    <r>
      <rPr>
        <sz val="8"/>
        <rFont val="Arial"/>
        <family val="2"/>
      </rPr>
      <t>106-93-4</t>
    </r>
  </si>
  <si>
    <r>
      <rPr>
        <sz val="8"/>
        <rFont val="Arial"/>
        <family val="2"/>
      </rPr>
      <t>DIBROMOETHANE, 1,2-</t>
    </r>
  </si>
  <si>
    <r>
      <rPr>
        <sz val="8"/>
        <rFont val="Arial"/>
        <family val="2"/>
      </rPr>
      <t>95-50-1</t>
    </r>
  </si>
  <si>
    <r>
      <rPr>
        <sz val="8"/>
        <rFont val="Arial"/>
        <family val="2"/>
      </rPr>
      <t>DICHLOROBENZENE, 1,2-</t>
    </r>
  </si>
  <si>
    <r>
      <rPr>
        <sz val="8"/>
        <rFont val="Arial"/>
        <family val="2"/>
      </rPr>
      <t>541-73-1</t>
    </r>
  </si>
  <si>
    <r>
      <rPr>
        <sz val="8"/>
        <rFont val="Arial"/>
        <family val="2"/>
      </rPr>
      <t>DICHLOROBENZENE, 1,3-</t>
    </r>
  </si>
  <si>
    <r>
      <rPr>
        <sz val="8"/>
        <rFont val="Arial"/>
        <family val="2"/>
      </rPr>
      <t>106-46-7</t>
    </r>
  </si>
  <si>
    <r>
      <rPr>
        <sz val="8"/>
        <rFont val="Arial"/>
        <family val="2"/>
      </rPr>
      <t>DICHLOROBENZENE, 1,4-</t>
    </r>
  </si>
  <si>
    <r>
      <rPr>
        <sz val="8"/>
        <rFont val="Arial"/>
        <family val="2"/>
      </rPr>
      <t>91-94-1</t>
    </r>
  </si>
  <si>
    <r>
      <rPr>
        <sz val="8"/>
        <rFont val="Arial"/>
        <family val="2"/>
      </rPr>
      <t>DICHLOROBENZIDINE, 3,3-</t>
    </r>
  </si>
  <si>
    <r>
      <rPr>
        <sz val="8"/>
        <rFont val="Arial"/>
        <family val="2"/>
      </rPr>
      <t>72-54-8</t>
    </r>
  </si>
  <si>
    <r>
      <rPr>
        <sz val="8"/>
        <rFont val="Arial"/>
        <family val="2"/>
      </rPr>
      <t>DICHLORODIPHENYLDICHLOROETHANE (DDD)</t>
    </r>
  </si>
  <si>
    <r>
      <rPr>
        <sz val="8"/>
        <rFont val="Arial"/>
        <family val="2"/>
      </rPr>
      <t>72-55-9</t>
    </r>
  </si>
  <si>
    <r>
      <rPr>
        <sz val="8"/>
        <rFont val="Arial"/>
        <family val="2"/>
      </rPr>
      <t>DICHLORODIPHENYLDICHLOROETHYLENE (DDE)</t>
    </r>
  </si>
  <si>
    <r>
      <rPr>
        <sz val="8"/>
        <rFont val="Arial"/>
        <family val="2"/>
      </rPr>
      <t>50-29-3</t>
    </r>
  </si>
  <si>
    <r>
      <rPr>
        <sz val="8"/>
        <rFont val="Arial"/>
        <family val="2"/>
      </rPr>
      <t>DICHLORODIPHENYLTRICHLOROETHANE (DDT)</t>
    </r>
  </si>
  <si>
    <r>
      <rPr>
        <sz val="8"/>
        <rFont val="Arial"/>
        <family val="2"/>
      </rPr>
      <t>75-34-3</t>
    </r>
  </si>
  <si>
    <r>
      <rPr>
        <sz val="8"/>
        <rFont val="Arial"/>
        <family val="2"/>
      </rPr>
      <t>DICHLOROETHANE, 1,1-</t>
    </r>
  </si>
  <si>
    <r>
      <rPr>
        <sz val="8"/>
        <rFont val="Arial"/>
        <family val="2"/>
      </rPr>
      <t>107-06-2</t>
    </r>
  </si>
  <si>
    <r>
      <rPr>
        <sz val="8"/>
        <rFont val="Arial"/>
        <family val="2"/>
      </rPr>
      <t>DICHLOROETHANE, 1,2-</t>
    </r>
  </si>
  <si>
    <r>
      <rPr>
        <sz val="8"/>
        <rFont val="Arial"/>
        <family val="2"/>
      </rPr>
      <t>75-35-4</t>
    </r>
  </si>
  <si>
    <r>
      <rPr>
        <sz val="8"/>
        <rFont val="Arial"/>
        <family val="2"/>
      </rPr>
      <t>DICHLOROETHYLENE, 1,1-</t>
    </r>
  </si>
  <si>
    <r>
      <rPr>
        <sz val="8"/>
        <rFont val="Arial"/>
        <family val="2"/>
      </rPr>
      <t>156-59-2</t>
    </r>
  </si>
  <si>
    <r>
      <rPr>
        <sz val="8"/>
        <rFont val="Arial"/>
        <family val="2"/>
      </rPr>
      <t>DICHLOROETHYLENE, Cis 1,2-</t>
    </r>
  </si>
  <si>
    <r>
      <rPr>
        <sz val="8"/>
        <rFont val="Arial"/>
        <family val="2"/>
      </rPr>
      <t>156-60-5</t>
    </r>
  </si>
  <si>
    <r>
      <rPr>
        <sz val="8"/>
        <rFont val="Arial"/>
        <family val="2"/>
      </rPr>
      <t>DICHLOROETHYLENE, Trans 1,2-</t>
    </r>
  </si>
  <si>
    <r>
      <rPr>
        <sz val="8"/>
        <rFont val="Arial"/>
        <family val="2"/>
      </rPr>
      <t>120-83-2</t>
    </r>
  </si>
  <si>
    <r>
      <rPr>
        <sz val="8"/>
        <rFont val="Arial"/>
        <family val="2"/>
      </rPr>
      <t>DICHLOROPHENOL, 2,4-</t>
    </r>
  </si>
  <si>
    <r>
      <rPr>
        <sz val="8"/>
        <rFont val="Arial"/>
        <family val="2"/>
      </rPr>
      <t>94-75-7</t>
    </r>
  </si>
  <si>
    <r>
      <rPr>
        <sz val="8"/>
        <rFont val="Arial"/>
        <family val="2"/>
      </rPr>
      <t>DICHLOROPHENOXYACETIC ACID (2,4-D)</t>
    </r>
  </si>
  <si>
    <r>
      <rPr>
        <sz val="8"/>
        <rFont val="Arial"/>
        <family val="2"/>
      </rPr>
      <t>78-87-5</t>
    </r>
  </si>
  <si>
    <r>
      <rPr>
        <sz val="8"/>
        <rFont val="Arial"/>
        <family val="2"/>
      </rPr>
      <t>DICHLOROPROPANE, 1,2-</t>
    </r>
  </si>
  <si>
    <r>
      <rPr>
        <sz val="8"/>
        <rFont val="Arial"/>
        <family val="2"/>
      </rPr>
      <t>542-75-6</t>
    </r>
  </si>
  <si>
    <r>
      <rPr>
        <sz val="8"/>
        <rFont val="Arial"/>
        <family val="2"/>
      </rPr>
      <t>DICHLOROPROPENE, 1,3-</t>
    </r>
  </si>
  <si>
    <r>
      <rPr>
        <sz val="8"/>
        <rFont val="Arial"/>
        <family val="2"/>
      </rPr>
      <t>60-57-1</t>
    </r>
  </si>
  <si>
    <r>
      <rPr>
        <sz val="8"/>
        <rFont val="Arial"/>
        <family val="2"/>
      </rPr>
      <t>DIELDRIN</t>
    </r>
  </si>
  <si>
    <r>
      <rPr>
        <sz val="8"/>
        <rFont val="Arial"/>
        <family val="2"/>
      </rPr>
      <t>84-66-2</t>
    </r>
  </si>
  <si>
    <r>
      <rPr>
        <sz val="8"/>
        <rFont val="Arial"/>
        <family val="2"/>
      </rPr>
      <t>DIETHYLPHTHALATE</t>
    </r>
  </si>
  <si>
    <r>
      <rPr>
        <sz val="8"/>
        <rFont val="Arial"/>
        <family val="2"/>
      </rPr>
      <t>105-67-9</t>
    </r>
  </si>
  <si>
    <r>
      <rPr>
        <sz val="8"/>
        <rFont val="Arial"/>
        <family val="2"/>
      </rPr>
      <t>DIMETHYLPHENOL, 2,4-</t>
    </r>
  </si>
  <si>
    <r>
      <rPr>
        <sz val="8"/>
        <rFont val="Arial"/>
        <family val="2"/>
      </rPr>
      <t>131-11-3</t>
    </r>
  </si>
  <si>
    <r>
      <rPr>
        <sz val="8"/>
        <rFont val="Arial"/>
        <family val="2"/>
      </rPr>
      <t>DIMETHYLPHTHALATE</t>
    </r>
  </si>
  <si>
    <r>
      <rPr>
        <sz val="8"/>
        <rFont val="Arial"/>
        <family val="2"/>
      </rPr>
      <t>99-65-0</t>
    </r>
  </si>
  <si>
    <r>
      <rPr>
        <sz val="8"/>
        <rFont val="Arial"/>
        <family val="2"/>
      </rPr>
      <t>DINITROBENZENE, 1,3-</t>
    </r>
  </si>
  <si>
    <r>
      <rPr>
        <sz val="8"/>
        <rFont val="Arial"/>
        <family val="2"/>
      </rPr>
      <t>51-28-5</t>
    </r>
  </si>
  <si>
    <r>
      <rPr>
        <sz val="8"/>
        <rFont val="Arial"/>
        <family val="2"/>
      </rPr>
      <t>DINITROPHENOL, 2,4-</t>
    </r>
  </si>
  <si>
    <r>
      <rPr>
        <sz val="8"/>
        <rFont val="Arial"/>
        <family val="2"/>
      </rPr>
      <t>121-14-2</t>
    </r>
  </si>
  <si>
    <r>
      <rPr>
        <sz val="8"/>
        <rFont val="Arial"/>
        <family val="2"/>
      </rPr>
      <t>DINITROTOLUENE, 2,4- (2,4-DNT)</t>
    </r>
  </si>
  <si>
    <r>
      <rPr>
        <sz val="8"/>
        <rFont val="Arial"/>
        <family val="2"/>
      </rPr>
      <t>606-20-2</t>
    </r>
  </si>
  <si>
    <r>
      <rPr>
        <sz val="8"/>
        <rFont val="Arial"/>
        <family val="2"/>
      </rPr>
      <t>DINITROTOLUENE, 2,6- (2,6-DNT)</t>
    </r>
  </si>
  <si>
    <r>
      <rPr>
        <sz val="8"/>
        <rFont val="Arial"/>
        <family val="2"/>
      </rPr>
      <t>123-91-1</t>
    </r>
  </si>
  <si>
    <r>
      <rPr>
        <sz val="8"/>
        <rFont val="Arial"/>
        <family val="2"/>
      </rPr>
      <t>DIOXANE, 1,4-</t>
    </r>
  </si>
  <si>
    <r>
      <rPr>
        <sz val="8"/>
        <rFont val="Arial"/>
        <family val="2"/>
      </rPr>
      <t>1746-01-6</t>
    </r>
  </si>
  <si>
    <r>
      <rPr>
        <sz val="8"/>
        <rFont val="Arial"/>
        <family val="2"/>
      </rPr>
      <t>DIOXINS (TEQ)</t>
    </r>
  </si>
  <si>
    <r>
      <rPr>
        <sz val="8"/>
        <rFont val="Arial"/>
        <family val="2"/>
      </rPr>
      <t>330-54-1</t>
    </r>
  </si>
  <si>
    <r>
      <rPr>
        <sz val="8"/>
        <rFont val="Arial"/>
        <family val="2"/>
      </rPr>
      <t>DIURON</t>
    </r>
  </si>
  <si>
    <r>
      <rPr>
        <sz val="8"/>
        <rFont val="Arial"/>
        <family val="2"/>
      </rPr>
      <t>115-29-7</t>
    </r>
  </si>
  <si>
    <r>
      <rPr>
        <sz val="8"/>
        <rFont val="Arial"/>
        <family val="2"/>
      </rPr>
      <t>ENDOSULFAN</t>
    </r>
  </si>
  <si>
    <r>
      <rPr>
        <sz val="8"/>
        <rFont val="Arial"/>
        <family val="2"/>
      </rPr>
      <t>72-20-8</t>
    </r>
  </si>
  <si>
    <r>
      <rPr>
        <sz val="8"/>
        <rFont val="Arial"/>
        <family val="2"/>
      </rPr>
      <t>ENDRIN</t>
    </r>
  </si>
  <si>
    <r>
      <rPr>
        <sz val="8"/>
        <rFont val="Arial"/>
        <family val="2"/>
      </rPr>
      <t>64-17-5</t>
    </r>
  </si>
  <si>
    <r>
      <rPr>
        <sz val="8"/>
        <rFont val="Arial"/>
        <family val="2"/>
      </rPr>
      <t>ETHANOL</t>
    </r>
  </si>
  <si>
    <r>
      <rPr>
        <sz val="8"/>
        <rFont val="Arial"/>
        <family val="2"/>
      </rPr>
      <t>100-41-4</t>
    </r>
  </si>
  <si>
    <r>
      <rPr>
        <sz val="8"/>
        <rFont val="Arial"/>
        <family val="2"/>
      </rPr>
      <t>ETHYLBENZENE</t>
    </r>
  </si>
  <si>
    <r>
      <rPr>
        <sz val="8"/>
        <rFont val="Arial"/>
        <family val="2"/>
      </rPr>
      <t>206-44-0</t>
    </r>
  </si>
  <si>
    <r>
      <rPr>
        <sz val="8"/>
        <rFont val="Arial"/>
        <family val="2"/>
      </rPr>
      <t>FLUORANTHENE</t>
    </r>
  </si>
  <si>
    <r>
      <rPr>
        <sz val="8"/>
        <rFont val="Arial"/>
        <family val="2"/>
      </rPr>
      <t>86-73-7</t>
    </r>
  </si>
  <si>
    <r>
      <rPr>
        <sz val="8"/>
        <rFont val="Arial"/>
        <family val="2"/>
      </rPr>
      <t>FLUORENE</t>
    </r>
  </si>
  <si>
    <r>
      <rPr>
        <sz val="8"/>
        <rFont val="Arial"/>
        <family val="2"/>
      </rPr>
      <t>1071-83-6</t>
    </r>
  </si>
  <si>
    <r>
      <rPr>
        <sz val="8"/>
        <rFont val="Arial"/>
        <family val="2"/>
      </rPr>
      <t>GLYPHOSATE</t>
    </r>
  </si>
  <si>
    <r>
      <rPr>
        <sz val="8"/>
        <rFont val="Arial"/>
        <family val="2"/>
      </rPr>
      <t>76-44-8</t>
    </r>
  </si>
  <si>
    <r>
      <rPr>
        <sz val="8"/>
        <rFont val="Arial"/>
        <family val="2"/>
      </rPr>
      <t>HEPTACHLOR</t>
    </r>
  </si>
  <si>
    <r>
      <rPr>
        <sz val="8"/>
        <rFont val="Arial"/>
        <family val="2"/>
      </rPr>
      <t>1024-57-3</t>
    </r>
  </si>
  <si>
    <r>
      <rPr>
        <sz val="8"/>
        <rFont val="Arial"/>
        <family val="2"/>
      </rPr>
      <t>HEPTACHLOR EPOXIDE</t>
    </r>
  </si>
  <si>
    <r>
      <rPr>
        <sz val="8"/>
        <rFont val="Arial"/>
        <family val="2"/>
      </rPr>
      <t>118-74-1</t>
    </r>
  </si>
  <si>
    <r>
      <rPr>
        <sz val="8"/>
        <rFont val="Arial"/>
        <family val="2"/>
      </rPr>
      <t>HEXACHLOROBENZENE</t>
    </r>
  </si>
  <si>
    <r>
      <rPr>
        <sz val="8"/>
        <rFont val="Arial"/>
        <family val="2"/>
      </rPr>
      <t>87-68-3</t>
    </r>
  </si>
  <si>
    <r>
      <rPr>
        <sz val="8"/>
        <rFont val="Arial"/>
        <family val="2"/>
      </rPr>
      <t>HEXACHLOROBUTADIENE</t>
    </r>
  </si>
  <si>
    <r>
      <rPr>
        <sz val="8"/>
        <rFont val="Arial"/>
        <family val="2"/>
      </rPr>
      <t>58-89-9</t>
    </r>
  </si>
  <si>
    <r>
      <rPr>
        <sz val="8"/>
        <rFont val="Arial"/>
        <family val="2"/>
      </rPr>
      <t>HEXACHLOROCYCLOHEXANE (gamma) LINDANE</t>
    </r>
  </si>
  <si>
    <r>
      <rPr>
        <sz val="8"/>
        <rFont val="Arial"/>
        <family val="2"/>
      </rPr>
      <t>67-72-1</t>
    </r>
  </si>
  <si>
    <r>
      <rPr>
        <sz val="8"/>
        <rFont val="Arial"/>
        <family val="2"/>
      </rPr>
      <t>HEXACHLOROETHANE</t>
    </r>
  </si>
  <si>
    <r>
      <rPr>
        <sz val="8"/>
        <rFont val="Arial"/>
        <family val="2"/>
      </rPr>
      <t>51235-04-2</t>
    </r>
  </si>
  <si>
    <r>
      <rPr>
        <sz val="8"/>
        <rFont val="Arial"/>
        <family val="2"/>
      </rPr>
      <t>HEXAZINONE</t>
    </r>
  </si>
  <si>
    <r>
      <rPr>
        <sz val="8"/>
        <rFont val="Arial"/>
        <family val="2"/>
      </rPr>
      <t>193-39-5</t>
    </r>
  </si>
  <si>
    <r>
      <rPr>
        <sz val="8"/>
        <rFont val="Arial"/>
        <family val="2"/>
      </rPr>
      <t>INDENO(1,2,3-cd)PYRENE</t>
    </r>
  </si>
  <si>
    <r>
      <rPr>
        <sz val="8"/>
        <rFont val="Arial"/>
        <family val="2"/>
      </rPr>
      <t>78-59-1</t>
    </r>
  </si>
  <si>
    <r>
      <rPr>
        <sz val="8"/>
        <rFont val="Arial"/>
        <family val="2"/>
      </rPr>
      <t>ISOPHORONE</t>
    </r>
  </si>
  <si>
    <r>
      <rPr>
        <sz val="8"/>
        <rFont val="Arial"/>
        <family val="2"/>
      </rPr>
      <t>7439-92-1</t>
    </r>
  </si>
  <si>
    <r>
      <rPr>
        <sz val="8"/>
        <rFont val="Arial"/>
        <family val="2"/>
      </rPr>
      <t>LEAD</t>
    </r>
  </si>
  <si>
    <r>
      <rPr>
        <sz val="8"/>
        <rFont val="Arial"/>
        <family val="2"/>
      </rPr>
      <t>7487-94-7</t>
    </r>
  </si>
  <si>
    <r>
      <rPr>
        <sz val="8"/>
        <rFont val="Arial"/>
        <family val="2"/>
      </rPr>
      <t>MERCURY</t>
    </r>
  </si>
  <si>
    <r>
      <rPr>
        <sz val="8"/>
        <rFont val="Arial"/>
        <family val="2"/>
      </rPr>
      <t>72-43-5</t>
    </r>
  </si>
  <si>
    <r>
      <rPr>
        <sz val="8"/>
        <rFont val="Arial"/>
        <family val="2"/>
      </rPr>
      <t>METHOXYCHLOR</t>
    </r>
  </si>
  <si>
    <r>
      <rPr>
        <sz val="8"/>
        <rFont val="Arial"/>
        <family val="2"/>
      </rPr>
      <t>78-93-3</t>
    </r>
  </si>
  <si>
    <r>
      <rPr>
        <sz val="8"/>
        <rFont val="Arial"/>
        <family val="2"/>
      </rPr>
      <t>METHYL ETHYL KETONE</t>
    </r>
  </si>
  <si>
    <r>
      <rPr>
        <sz val="8"/>
        <rFont val="Arial"/>
        <family val="2"/>
      </rPr>
      <t>108-10-1</t>
    </r>
  </si>
  <si>
    <r>
      <rPr>
        <sz val="8"/>
        <rFont val="Arial"/>
        <family val="2"/>
      </rPr>
      <t>METHYL ISOBUTYL KETONE</t>
    </r>
  </si>
  <si>
    <r>
      <rPr>
        <sz val="8"/>
        <rFont val="Arial"/>
        <family val="2"/>
      </rPr>
      <t>22967-92-6</t>
    </r>
  </si>
  <si>
    <r>
      <rPr>
        <sz val="8"/>
        <rFont val="Arial"/>
        <family val="2"/>
      </rPr>
      <t>METHYL MERCURY</t>
    </r>
  </si>
  <si>
    <r>
      <rPr>
        <sz val="8"/>
        <rFont val="Arial"/>
        <family val="2"/>
      </rPr>
      <t>1634-04-4</t>
    </r>
  </si>
  <si>
    <r>
      <rPr>
        <sz val="8"/>
        <rFont val="Arial"/>
        <family val="2"/>
      </rPr>
      <t>METHYL TERT BUTYL ETHER</t>
    </r>
  </si>
  <si>
    <r>
      <rPr>
        <sz val="8"/>
        <rFont val="Arial"/>
        <family val="2"/>
      </rPr>
      <t>METHYLENE CHLORIDE</t>
    </r>
  </si>
  <si>
    <r>
      <rPr>
        <sz val="8"/>
        <rFont val="Arial"/>
        <family val="2"/>
      </rPr>
      <t>90-12-0</t>
    </r>
  </si>
  <si>
    <r>
      <rPr>
        <sz val="8"/>
        <rFont val="Arial"/>
        <family val="2"/>
      </rPr>
      <t>METHYLNAPHTHALENE, 1-</t>
    </r>
  </si>
  <si>
    <r>
      <rPr>
        <sz val="8"/>
        <rFont val="Arial"/>
        <family val="2"/>
      </rPr>
      <t>91-57-6</t>
    </r>
  </si>
  <si>
    <r>
      <rPr>
        <sz val="8"/>
        <rFont val="Arial"/>
        <family val="2"/>
      </rPr>
      <t>METHYLNAPHTHALENE, 2-</t>
    </r>
  </si>
  <si>
    <r>
      <rPr>
        <sz val="8"/>
        <rFont val="Arial"/>
        <family val="2"/>
      </rPr>
      <t>7439-98-7</t>
    </r>
  </si>
  <si>
    <r>
      <rPr>
        <sz val="8"/>
        <rFont val="Arial"/>
        <family val="2"/>
      </rPr>
      <t>MOLYBDENUM</t>
    </r>
  </si>
  <si>
    <r>
      <rPr>
        <sz val="8"/>
        <rFont val="Arial"/>
        <family val="2"/>
      </rPr>
      <t>91-20-3</t>
    </r>
  </si>
  <si>
    <r>
      <rPr>
        <sz val="8"/>
        <rFont val="Arial"/>
        <family val="2"/>
      </rPr>
      <t>NAPHTHALENE</t>
    </r>
  </si>
  <si>
    <r>
      <rPr>
        <sz val="8"/>
        <rFont val="Arial"/>
        <family val="2"/>
      </rPr>
      <t>7440-02-0</t>
    </r>
  </si>
  <si>
    <r>
      <rPr>
        <sz val="8"/>
        <rFont val="Arial"/>
        <family val="2"/>
      </rPr>
      <t>NICKEL</t>
    </r>
  </si>
  <si>
    <r>
      <rPr>
        <sz val="8"/>
        <rFont val="Arial"/>
        <family val="2"/>
      </rPr>
      <t>98-95-3</t>
    </r>
  </si>
  <si>
    <r>
      <rPr>
        <sz val="8"/>
        <rFont val="Arial"/>
        <family val="2"/>
      </rPr>
      <t>NITROBENZENE</t>
    </r>
  </si>
  <si>
    <r>
      <rPr>
        <sz val="8"/>
        <rFont val="Arial"/>
        <family val="2"/>
      </rPr>
      <t>55-63-0</t>
    </r>
  </si>
  <si>
    <r>
      <rPr>
        <sz val="8"/>
        <rFont val="Arial"/>
        <family val="2"/>
      </rPr>
      <t>NITROGLYCERIN</t>
    </r>
  </si>
  <si>
    <r>
      <rPr>
        <sz val="8"/>
        <rFont val="Arial"/>
        <family val="2"/>
      </rPr>
      <t>88-72-2</t>
    </r>
  </si>
  <si>
    <r>
      <rPr>
        <sz val="8"/>
        <rFont val="Arial"/>
        <family val="2"/>
      </rPr>
      <t>NITROTOLUENE, 2-</t>
    </r>
  </si>
  <si>
    <r>
      <rPr>
        <sz val="8"/>
        <rFont val="Arial"/>
        <family val="2"/>
      </rPr>
      <t>NITROTOLUENE, 3-</t>
    </r>
  </si>
  <si>
    <r>
      <rPr>
        <sz val="8"/>
        <rFont val="Arial"/>
        <family val="2"/>
      </rPr>
      <t>99-99-0</t>
    </r>
  </si>
  <si>
    <r>
      <rPr>
        <sz val="8"/>
        <rFont val="Arial"/>
        <family val="2"/>
      </rPr>
      <t>NITROTOLUENE, 4-</t>
    </r>
  </si>
  <si>
    <r>
      <rPr>
        <sz val="8"/>
        <rFont val="Arial"/>
        <family val="2"/>
      </rPr>
      <t>87-86-5</t>
    </r>
  </si>
  <si>
    <r>
      <rPr>
        <sz val="8"/>
        <rFont val="Arial"/>
        <family val="2"/>
      </rPr>
      <t>PENTACHLOROPHENOL</t>
    </r>
  </si>
  <si>
    <r>
      <rPr>
        <sz val="8"/>
        <rFont val="Arial"/>
        <family val="2"/>
      </rPr>
      <t>PENTAERYTHRITOLTETRANITRATE (PETN)</t>
    </r>
  </si>
  <si>
    <r>
      <rPr>
        <sz val="8"/>
        <rFont val="Arial"/>
        <family val="2"/>
      </rPr>
      <t>14797-73-0</t>
    </r>
  </si>
  <si>
    <r>
      <rPr>
        <sz val="8"/>
        <rFont val="Arial"/>
        <family val="2"/>
      </rPr>
      <t>PERCHLORATE</t>
    </r>
  </si>
  <si>
    <r>
      <rPr>
        <sz val="8"/>
        <rFont val="Arial"/>
        <family val="2"/>
      </rPr>
      <t>PHENANTHRENE</t>
    </r>
  </si>
  <si>
    <r>
      <rPr>
        <sz val="8"/>
        <rFont val="Arial"/>
        <family val="2"/>
      </rPr>
      <t>108-95-2</t>
    </r>
  </si>
  <si>
    <r>
      <rPr>
        <sz val="8"/>
        <rFont val="Arial"/>
        <family val="2"/>
      </rPr>
      <t>PHENOL</t>
    </r>
  </si>
  <si>
    <r>
      <rPr>
        <sz val="8"/>
        <rFont val="Arial"/>
        <family val="2"/>
      </rPr>
      <t>11097-69-1</t>
    </r>
  </si>
  <si>
    <r>
      <rPr>
        <sz val="8"/>
        <rFont val="Arial"/>
        <family val="2"/>
      </rPr>
      <t>POLYCHLORINATED BIPHENYLS (PCBs)</t>
    </r>
  </si>
  <si>
    <r>
      <rPr>
        <sz val="8"/>
        <rFont val="Arial"/>
        <family val="2"/>
      </rPr>
      <t>60207-90-1</t>
    </r>
  </si>
  <si>
    <r>
      <rPr>
        <sz val="8"/>
        <rFont val="Arial"/>
        <family val="2"/>
      </rPr>
      <t>PROPICONAZOLE</t>
    </r>
  </si>
  <si>
    <r>
      <rPr>
        <sz val="8"/>
        <rFont val="Arial"/>
        <family val="2"/>
      </rPr>
      <t>129-00-0</t>
    </r>
  </si>
  <si>
    <r>
      <rPr>
        <sz val="8"/>
        <rFont val="Arial"/>
        <family val="2"/>
      </rPr>
      <t>PYRENE</t>
    </r>
  </si>
  <si>
    <r>
      <rPr>
        <sz val="8"/>
        <rFont val="Arial"/>
        <family val="2"/>
      </rPr>
      <t>7782-49-2</t>
    </r>
  </si>
  <si>
    <r>
      <rPr>
        <sz val="8"/>
        <rFont val="Arial"/>
        <family val="2"/>
      </rPr>
      <t>SELENIUM</t>
    </r>
  </si>
  <si>
    <r>
      <rPr>
        <sz val="8"/>
        <rFont val="Arial"/>
        <family val="2"/>
      </rPr>
      <t>7440-22-4</t>
    </r>
  </si>
  <si>
    <r>
      <rPr>
        <sz val="8"/>
        <rFont val="Arial"/>
        <family val="2"/>
      </rPr>
      <t>SILVER</t>
    </r>
  </si>
  <si>
    <r>
      <rPr>
        <sz val="8"/>
        <rFont val="Arial"/>
        <family val="2"/>
      </rPr>
      <t>122-34-9</t>
    </r>
  </si>
  <si>
    <r>
      <rPr>
        <sz val="8"/>
        <rFont val="Arial"/>
        <family val="2"/>
      </rPr>
      <t>SIMAZINE</t>
    </r>
  </si>
  <si>
    <r>
      <rPr>
        <sz val="8"/>
        <rFont val="Arial"/>
        <family val="2"/>
      </rPr>
      <t>100-42-5</t>
    </r>
  </si>
  <si>
    <r>
      <rPr>
        <sz val="8"/>
        <rFont val="Arial"/>
        <family val="2"/>
      </rPr>
      <t>STYRENE</t>
    </r>
  </si>
  <si>
    <r>
      <rPr>
        <sz val="8"/>
        <rFont val="Arial"/>
        <family val="2"/>
      </rPr>
      <t>5902-51-2</t>
    </r>
  </si>
  <si>
    <r>
      <rPr>
        <sz val="8"/>
        <rFont val="Arial"/>
        <family val="2"/>
      </rPr>
      <t>TERBACIL</t>
    </r>
  </si>
  <si>
    <r>
      <rPr>
        <sz val="8"/>
        <rFont val="Arial"/>
        <family val="2"/>
      </rPr>
      <t>75-65-0</t>
    </r>
  </si>
  <si>
    <r>
      <rPr>
        <sz val="8"/>
        <rFont val="Arial"/>
        <family val="2"/>
      </rPr>
      <t>tert-BUTYL ALCOHOL</t>
    </r>
  </si>
  <si>
    <r>
      <rPr>
        <sz val="8"/>
        <rFont val="Arial"/>
        <family val="2"/>
      </rPr>
      <t>630-20-6</t>
    </r>
  </si>
  <si>
    <r>
      <rPr>
        <sz val="8"/>
        <rFont val="Arial"/>
        <family val="2"/>
      </rPr>
      <t>TETRACHLOROETHANE, 1,1,1,2-</t>
    </r>
  </si>
  <si>
    <r>
      <rPr>
        <sz val="8"/>
        <rFont val="Arial"/>
        <family val="2"/>
      </rPr>
      <t>79-34-5</t>
    </r>
  </si>
  <si>
    <r>
      <rPr>
        <sz val="8"/>
        <rFont val="Arial"/>
        <family val="2"/>
      </rPr>
      <t>TETRACHLOROETHANE, 1,1,2,2-</t>
    </r>
  </si>
  <si>
    <r>
      <rPr>
        <sz val="8"/>
        <rFont val="Arial"/>
        <family val="2"/>
      </rPr>
      <t>127-18-4</t>
    </r>
  </si>
  <si>
    <r>
      <rPr>
        <sz val="8"/>
        <rFont val="Arial"/>
        <family val="2"/>
      </rPr>
      <t>TETRACHLOROETHYLENE</t>
    </r>
  </si>
  <si>
    <r>
      <rPr>
        <sz val="8"/>
        <rFont val="Arial"/>
        <family val="2"/>
      </rPr>
      <t>58-90-2</t>
    </r>
  </si>
  <si>
    <r>
      <rPr>
        <sz val="8"/>
        <rFont val="Arial"/>
        <family val="2"/>
      </rPr>
      <t>TETRACHLOROPHENOL, 2,3,4,6-</t>
    </r>
  </si>
  <si>
    <r>
      <rPr>
        <sz val="8"/>
        <rFont val="Arial"/>
        <family val="2"/>
      </rPr>
      <t>2691-41-0</t>
    </r>
  </si>
  <si>
    <r>
      <rPr>
        <sz val="8"/>
        <rFont val="Arial"/>
        <family val="2"/>
      </rPr>
      <t>TETRANITRO-1,3,5,7-TETRAAZOCYCLOOCTANE (HMX</t>
    </r>
  </si>
  <si>
    <r>
      <rPr>
        <sz val="8"/>
        <rFont val="Arial"/>
        <family val="2"/>
      </rPr>
      <t>7440-28-0</t>
    </r>
  </si>
  <si>
    <r>
      <rPr>
        <sz val="8"/>
        <rFont val="Arial"/>
        <family val="2"/>
      </rPr>
      <t>THALLIUM</t>
    </r>
  </si>
  <si>
    <r>
      <rPr>
        <sz val="8"/>
        <rFont val="Arial"/>
        <family val="2"/>
      </rPr>
      <t>108-88-3</t>
    </r>
  </si>
  <si>
    <r>
      <rPr>
        <sz val="8"/>
        <rFont val="Arial"/>
        <family val="2"/>
      </rPr>
      <t>TOLUENE</t>
    </r>
  </si>
  <si>
    <r>
      <rPr>
        <sz val="8"/>
        <rFont val="Arial"/>
        <family val="2"/>
      </rPr>
      <t>8001-35-2</t>
    </r>
  </si>
  <si>
    <r>
      <rPr>
        <sz val="8"/>
        <rFont val="Arial"/>
        <family val="2"/>
      </rPr>
      <t>TOXAPHENE</t>
    </r>
  </si>
  <si>
    <r>
      <rPr>
        <sz val="8"/>
        <rFont val="Arial"/>
        <family val="2"/>
      </rPr>
      <t>Gas</t>
    </r>
  </si>
  <si>
    <r>
      <rPr>
        <sz val="8"/>
        <rFont val="Arial"/>
        <family val="2"/>
      </rPr>
      <t>TPH (gasolines)</t>
    </r>
  </si>
  <si>
    <r>
      <rPr>
        <sz val="8"/>
        <rFont val="Arial"/>
        <family val="2"/>
      </rPr>
      <t>Diesel</t>
    </r>
  </si>
  <si>
    <r>
      <rPr>
        <sz val="8"/>
        <rFont val="Arial"/>
        <family val="2"/>
      </rPr>
      <t>TPH (middle distillates)</t>
    </r>
  </si>
  <si>
    <r>
      <rPr>
        <sz val="8"/>
        <rFont val="Arial"/>
        <family val="2"/>
      </rPr>
      <t>Oil</t>
    </r>
  </si>
  <si>
    <r>
      <rPr>
        <sz val="8"/>
        <rFont val="Arial"/>
        <family val="2"/>
      </rPr>
      <t>TPH (residual fuels)</t>
    </r>
  </si>
  <si>
    <r>
      <rPr>
        <sz val="8"/>
        <rFont val="Arial"/>
        <family val="2"/>
      </rPr>
      <t>120-82-1</t>
    </r>
  </si>
  <si>
    <r>
      <rPr>
        <sz val="8"/>
        <rFont val="Arial"/>
        <family val="2"/>
      </rPr>
      <t>TRICHLOROBENZENE, 1,2,4-</t>
    </r>
  </si>
  <si>
    <r>
      <rPr>
        <sz val="8"/>
        <rFont val="Arial"/>
        <family val="2"/>
      </rPr>
      <t>71-55-6</t>
    </r>
  </si>
  <si>
    <r>
      <rPr>
        <sz val="8"/>
        <rFont val="Arial"/>
        <family val="2"/>
      </rPr>
      <t>TRICHLOROETHANE, 1,1,1-</t>
    </r>
  </si>
  <si>
    <r>
      <rPr>
        <sz val="8"/>
        <rFont val="Arial"/>
        <family val="2"/>
      </rPr>
      <t>79-00-5</t>
    </r>
  </si>
  <si>
    <r>
      <rPr>
        <sz val="8"/>
        <rFont val="Arial"/>
        <family val="2"/>
      </rPr>
      <t>TRICHLOROETHANE, 1,1,2-</t>
    </r>
  </si>
  <si>
    <r>
      <rPr>
        <sz val="8"/>
        <rFont val="Arial"/>
        <family val="2"/>
      </rPr>
      <t>TRICHLOROETHYLENE</t>
    </r>
  </si>
  <si>
    <r>
      <rPr>
        <sz val="8"/>
        <rFont val="Arial"/>
        <family val="2"/>
      </rPr>
      <t>95-95-4</t>
    </r>
  </si>
  <si>
    <r>
      <rPr>
        <sz val="8"/>
        <rFont val="Arial"/>
        <family val="2"/>
      </rPr>
      <t>TRICHLOROPHENOL, 2,4,5-</t>
    </r>
  </si>
  <si>
    <r>
      <rPr>
        <sz val="8"/>
        <rFont val="Arial"/>
        <family val="2"/>
      </rPr>
      <t>TRICHLOROPHENOL, 2,4,6-</t>
    </r>
  </si>
  <si>
    <r>
      <rPr>
        <sz val="8"/>
        <rFont val="Arial"/>
        <family val="2"/>
      </rPr>
      <t>93-76-5</t>
    </r>
  </si>
  <si>
    <r>
      <rPr>
        <sz val="8"/>
        <rFont val="Arial"/>
        <family val="2"/>
      </rPr>
      <t>TRICHLOROPHENOXYACETIC ACID, 2,4,5- (2,4,5-T)</t>
    </r>
  </si>
  <si>
    <r>
      <rPr>
        <sz val="8"/>
        <rFont val="Arial"/>
        <family val="2"/>
      </rPr>
      <t>93-72-1</t>
    </r>
  </si>
  <si>
    <r>
      <rPr>
        <sz val="8"/>
        <rFont val="Arial"/>
        <family val="2"/>
      </rPr>
      <t>TRICHLOROPHENOXYPROPIONIC ACID, 2,4,5- (2,4,5-TP)</t>
    </r>
  </si>
  <si>
    <r>
      <rPr>
        <sz val="8"/>
        <rFont val="Arial"/>
        <family val="2"/>
      </rPr>
      <t>96-18-4</t>
    </r>
  </si>
  <si>
    <r>
      <rPr>
        <sz val="8"/>
        <rFont val="Arial"/>
        <family val="2"/>
      </rPr>
      <t>TRICHLOROPROPANE, 1,2,3-</t>
    </r>
  </si>
  <si>
    <r>
      <rPr>
        <sz val="8"/>
        <rFont val="Arial"/>
        <family val="2"/>
      </rPr>
      <t>96-19-5</t>
    </r>
  </si>
  <si>
    <r>
      <rPr>
        <sz val="8"/>
        <rFont val="Arial"/>
        <family val="2"/>
      </rPr>
      <t>TRICHLOROPROPENE, 1,2,3-</t>
    </r>
  </si>
  <si>
    <r>
      <rPr>
        <sz val="8"/>
        <rFont val="Arial"/>
        <family val="2"/>
      </rPr>
      <t>1582-09-8</t>
    </r>
  </si>
  <si>
    <r>
      <rPr>
        <sz val="8"/>
        <rFont val="Arial"/>
        <family val="2"/>
      </rPr>
      <t>TRIFLURALIN</t>
    </r>
  </si>
  <si>
    <r>
      <rPr>
        <sz val="8"/>
        <rFont val="Arial"/>
        <family val="2"/>
      </rPr>
      <t>99-35-4</t>
    </r>
  </si>
  <si>
    <r>
      <rPr>
        <sz val="8"/>
        <rFont val="Arial"/>
        <family val="2"/>
      </rPr>
      <t>TRINITROBENZENE, 1,3,5-</t>
    </r>
  </si>
  <si>
    <r>
      <rPr>
        <sz val="8"/>
        <rFont val="Arial"/>
        <family val="2"/>
      </rPr>
      <t>479-45-8</t>
    </r>
  </si>
  <si>
    <r>
      <rPr>
        <sz val="8"/>
        <rFont val="Arial"/>
        <family val="2"/>
      </rPr>
      <t>TRINITROPHENYLMETHYLNITRAMINE, 2,4,6- (TETRYL)</t>
    </r>
  </si>
  <si>
    <r>
      <rPr>
        <sz val="8"/>
        <rFont val="Arial"/>
        <family val="2"/>
      </rPr>
      <t>118-96-7</t>
    </r>
  </si>
  <si>
    <r>
      <rPr>
        <sz val="8"/>
        <rFont val="Arial"/>
        <family val="2"/>
      </rPr>
      <t>TRINITROTOLUENE, 2,4,6- (TNT)</t>
    </r>
  </si>
  <si>
    <r>
      <rPr>
        <sz val="8"/>
        <rFont val="Arial"/>
        <family val="2"/>
      </rPr>
      <t>7440-62-2</t>
    </r>
  </si>
  <si>
    <r>
      <rPr>
        <sz val="8"/>
        <rFont val="Arial"/>
        <family val="2"/>
      </rPr>
      <t>VANADIUM</t>
    </r>
  </si>
  <si>
    <r>
      <rPr>
        <sz val="8"/>
        <rFont val="Arial"/>
        <family val="2"/>
      </rPr>
      <t>VINYL CHLORIDE</t>
    </r>
  </si>
  <si>
    <r>
      <rPr>
        <sz val="8"/>
        <rFont val="Arial"/>
        <family val="2"/>
      </rPr>
      <t>1330-20-7</t>
    </r>
  </si>
  <si>
    <r>
      <rPr>
        <sz val="8"/>
        <rFont val="Arial"/>
        <family val="2"/>
      </rPr>
      <t>XYLENES</t>
    </r>
  </si>
  <si>
    <r>
      <rPr>
        <sz val="8"/>
        <rFont val="Arial"/>
        <family val="2"/>
      </rPr>
      <t>7440-66-6</t>
    </r>
  </si>
  <si>
    <r>
      <rPr>
        <sz val="8"/>
        <rFont val="Arial"/>
        <family val="2"/>
      </rPr>
      <t>ZINC</t>
    </r>
  </si>
  <si>
    <t>Refer to Vol 1 (Sect 2.6) of EHE guidance for discussion of TPH and target indicator compounds. Include testing for PCBs, PAHs, metals, chlorinated solvents, etc., at waste oil releases. Alternative drinking water action levels for 50% oxidation (106 µg/L) and 100% (107 µg/L) oxidation of plume can be considered on a case-by-case basis with supporting silica gel cleanup data (refer to Vol 2, Section 6.7.2).</t>
  </si>
  <si>
    <t>Refer to Vol 1 (Sect 2.6) of EHE guidance for discussion of TPH and target indicator compounds. Analyze soil gas for TPH (or equivalent) for site-specific evaluation of vapor intrusion hazards.  Alternative drinking water action levels for 50% oxidation (127 µg/L) and 100% (193 µg/L) oxidation of plume can be considered on a case-by-case basis with supporting silica gel cleanup data (refer to Vol 2, Section 6.7.2).</t>
  </si>
  <si>
    <r>
      <t xml:space="preserve">Refer to Vol 1 (Sect 2.6) of EHE guidance for discussion of TPH and target indicator compounds. Analyze soil gas for TPH (or equivalent) for site-specific evaluation of vapor intrusion hazards. Alternative drinking water action levels for 50% oxidation (108 </t>
    </r>
    <r>
      <rPr>
        <sz val="10"/>
        <rFont val="Calibri"/>
        <family val="2"/>
      </rPr>
      <t>µ</t>
    </r>
    <r>
      <rPr>
        <sz val="10"/>
        <rFont val="Arial"/>
        <family val="2"/>
      </rPr>
      <t>g/L) and 100% (148 µg/L) oxidation of plume can be considered on a case-by-case basis with supporting silica gel cleanup data (refer to Vol 2, Section 6.7.2).</t>
    </r>
  </si>
  <si>
    <r>
      <t xml:space="preserve">October 2024: </t>
    </r>
    <r>
      <rPr>
        <sz val="10"/>
        <rFont val="Times New Roman"/>
        <family val="1"/>
      </rPr>
      <t>CAS # Revisions: Bis (2-chloro-1-methylethyl)ether (corrected), Mercury (revised to elemental mercury) and PCBs (revised to total PCBs).</t>
    </r>
  </si>
  <si>
    <t>108-60-1</t>
  </si>
  <si>
    <t>7439-97-6</t>
  </si>
  <si>
    <r>
      <t xml:space="preserve">March 2026: </t>
    </r>
    <r>
      <rPr>
        <sz val="10"/>
        <rFont val="Times New Roman"/>
        <family val="1"/>
      </rPr>
      <t>Equations in EAL Surfer Chemical Summary worksheet and EAL Compiler worksheet (hidden) updated to reflect update to Excel VLOOKUP function. The Excel update causes the October 2024 version of the Surfer to incorrectly report action levels and physiochemical constants for the selected contaminant. The exact date of the Excel update to the VLOOKUP function is unknown. The October 2024 version of the EAL Surfer should be replaced with the March 2026 version. Recheck EALs reported using the October 2024 version of the Surfer if used after that date. Action levels in the detailed lookup tables were not affected.</t>
    </r>
  </si>
  <si>
    <t>Environmental Action Levels Surfer
Hawai'i DOH (May 2026)</t>
  </si>
  <si>
    <r>
      <t xml:space="preserve">May 2026: </t>
    </r>
    <r>
      <rPr>
        <sz val="10"/>
        <rFont val="Times New Roman"/>
        <family val="1"/>
      </rPr>
      <t>Name for DIBROMO,1,2- CHLOROPROPANE,3- in Tables D-4a, F-2 and F-3 to allow EAL Surfer to function properly. EALs not affected</t>
    </r>
  </si>
  <si>
    <t>Hawai'i  Department of Health
(May 2026)</t>
  </si>
  <si>
    <t>Hawai'i DOH (May 2026)</t>
  </si>
  <si>
    <t>Tier 1 Environmental Action Levels Surfer
Hawai'i DOH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</si>
</sst>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E+00"/>
    <numFmt numFmtId="166" formatCode="0.E+00"/>
    <numFmt numFmtId="167" formatCode="yy\-mm\-d;@"/>
  </numFmts>
  <fonts count="94">
    <font>
      <sz val="10"/>
      <name val="Arial"/>
    </font>
    <font>
      <sz val="11"/>
      <color theme="1"/>
      <name val="Calibri"/>
      <family val="2"/>
      <scheme val="minor"/>
    </font>
    <font>
      <sz val="10"/>
      <name val="Arial"/>
      <family val="2"/>
    </font>
    <font>
      <sz val="8"/>
      <name val="Arial"/>
      <family val="2"/>
    </font>
    <font>
      <b/>
      <sz val="8"/>
      <name val="Arial"/>
      <family val="2"/>
    </font>
    <font>
      <b/>
      <sz val="12"/>
      <name val="Arial"/>
      <family val="2"/>
    </font>
    <font>
      <b/>
      <sz val="11"/>
      <name val="Arial"/>
      <family val="2"/>
    </font>
    <font>
      <sz val="10"/>
      <name val="Arial"/>
      <family val="2"/>
    </font>
    <font>
      <b/>
      <vertAlign val="superscript"/>
      <sz val="8"/>
      <name val="Arial"/>
      <family val="2"/>
    </font>
    <font>
      <i/>
      <sz val="8"/>
      <name val="Arial"/>
      <family val="2"/>
    </font>
    <font>
      <vertAlign val="superscript"/>
      <sz val="8"/>
      <name val="Arial"/>
      <family val="2"/>
    </font>
    <font>
      <b/>
      <vertAlign val="subscript"/>
      <sz val="8"/>
      <name val="Arial"/>
      <family val="2"/>
    </font>
    <font>
      <b/>
      <sz val="8"/>
      <color indexed="10"/>
      <name val="Arial"/>
      <family val="2"/>
    </font>
    <font>
      <b/>
      <vertAlign val="superscript"/>
      <sz val="12"/>
      <name val="Arial"/>
      <family val="2"/>
    </font>
    <font>
      <b/>
      <sz val="10"/>
      <name val="Arial"/>
      <family val="2"/>
    </font>
    <font>
      <u/>
      <sz val="10"/>
      <name val="Arial"/>
      <family val="2"/>
    </font>
    <font>
      <b/>
      <sz val="11.5"/>
      <name val="Arial"/>
      <family val="2"/>
    </font>
    <font>
      <b/>
      <sz val="12"/>
      <name val="Arial"/>
      <family val="2"/>
    </font>
    <font>
      <sz val="8"/>
      <name val="Arial"/>
      <family val="2"/>
    </font>
    <font>
      <sz val="12"/>
      <name val="Times New Roman"/>
      <family val="1"/>
    </font>
    <font>
      <b/>
      <sz val="18"/>
      <name val="Times New Roman"/>
      <family val="1"/>
    </font>
    <font>
      <b/>
      <sz val="12"/>
      <name val="Times New Roman"/>
      <family val="1"/>
    </font>
    <font>
      <b/>
      <sz val="10"/>
      <name val="Times New Roman"/>
      <family val="1"/>
    </font>
    <font>
      <b/>
      <sz val="14"/>
      <name val="Times New Roman"/>
      <family val="1"/>
    </font>
    <font>
      <b/>
      <sz val="16"/>
      <name val="Times New Roman"/>
      <family val="1"/>
    </font>
    <font>
      <sz val="12"/>
      <name val="Arial"/>
      <family val="2"/>
    </font>
    <font>
      <sz val="11"/>
      <name val="Times New Roman"/>
      <family val="1"/>
    </font>
    <font>
      <b/>
      <sz val="9"/>
      <color indexed="10"/>
      <name val="Times New Roman"/>
      <family val="1"/>
    </font>
    <font>
      <sz val="10"/>
      <name val="Times New Roman"/>
      <family val="1"/>
    </font>
    <font>
      <b/>
      <sz val="10"/>
      <name val="Arial"/>
      <family val="2"/>
    </font>
    <font>
      <sz val="9"/>
      <name val="Arial"/>
      <family val="2"/>
    </font>
    <font>
      <b/>
      <sz val="11.5"/>
      <color indexed="10"/>
      <name val="Tahoma"/>
      <family val="2"/>
    </font>
    <font>
      <sz val="11.5"/>
      <name val="Arial"/>
      <family val="2"/>
    </font>
    <font>
      <b/>
      <sz val="11"/>
      <name val="Times New Roman"/>
      <family val="1"/>
    </font>
    <font>
      <b/>
      <sz val="14"/>
      <color indexed="10"/>
      <name val="Tahoma"/>
      <family val="2"/>
    </font>
    <font>
      <b/>
      <sz val="13"/>
      <name val="Tahoma"/>
      <family val="2"/>
    </font>
    <font>
      <sz val="11"/>
      <name val="Arial"/>
      <family val="2"/>
    </font>
    <font>
      <sz val="13"/>
      <name val="Tahoma"/>
      <family val="2"/>
    </font>
    <font>
      <b/>
      <sz val="14"/>
      <color indexed="10"/>
      <name val="Times New Roman"/>
      <family val="1"/>
    </font>
    <font>
      <i/>
      <sz val="12"/>
      <name val="Times New Roman"/>
      <family val="1"/>
    </font>
    <font>
      <b/>
      <u/>
      <sz val="12"/>
      <name val="Times New Roman"/>
      <family val="1"/>
    </font>
    <font>
      <vertAlign val="superscript"/>
      <sz val="10"/>
      <name val="Arial"/>
      <family val="2"/>
    </font>
    <font>
      <sz val="14"/>
      <name val="Times New Roman"/>
      <family val="1"/>
    </font>
    <font>
      <b/>
      <u/>
      <sz val="11"/>
      <name val="Times New Roman"/>
      <family val="1"/>
    </font>
    <font>
      <u/>
      <sz val="11"/>
      <name val="Times New Roman"/>
      <family val="1"/>
    </font>
    <font>
      <vertAlign val="superscript"/>
      <sz val="11"/>
      <name val="Times New Roman"/>
      <family val="1"/>
    </font>
    <font>
      <u/>
      <sz val="10"/>
      <name val="Arial"/>
      <family val="2"/>
    </font>
    <font>
      <b/>
      <sz val="10"/>
      <color indexed="10"/>
      <name val="Arial"/>
      <family val="2"/>
    </font>
    <font>
      <sz val="10"/>
      <color indexed="10"/>
      <name val="Arial"/>
      <family val="2"/>
    </font>
    <font>
      <sz val="10"/>
      <name val="Arial"/>
      <family val="2"/>
    </font>
    <font>
      <b/>
      <vertAlign val="superscript"/>
      <sz val="10"/>
      <name val="Arial"/>
      <family val="2"/>
    </font>
    <font>
      <b/>
      <sz val="11"/>
      <name val="Tahoma"/>
      <family val="2"/>
    </font>
    <font>
      <b/>
      <vertAlign val="superscript"/>
      <sz val="11"/>
      <name val="Tahoma"/>
      <family val="2"/>
    </font>
    <font>
      <b/>
      <sz val="10"/>
      <color indexed="10"/>
      <name val="Times New Roman"/>
      <family val="1"/>
    </font>
    <font>
      <b/>
      <u/>
      <sz val="10"/>
      <name val="Arial"/>
      <family val="2"/>
    </font>
    <font>
      <b/>
      <u/>
      <sz val="10"/>
      <name val="Arial"/>
      <family val="2"/>
    </font>
    <font>
      <b/>
      <sz val="12"/>
      <color indexed="10"/>
      <name val="Arial"/>
      <family val="2"/>
    </font>
    <font>
      <sz val="8"/>
      <color indexed="10"/>
      <name val="Arial"/>
      <family val="2"/>
    </font>
    <font>
      <b/>
      <sz val="14"/>
      <color indexed="10"/>
      <name val="Arial"/>
      <family val="2"/>
    </font>
    <font>
      <b/>
      <sz val="14"/>
      <name val="Arial"/>
      <family val="2"/>
    </font>
    <font>
      <sz val="14"/>
      <name val="Arial"/>
      <family val="2"/>
    </font>
    <font>
      <b/>
      <vertAlign val="superscript"/>
      <sz val="12"/>
      <name val="Times New Roman"/>
      <family val="1"/>
    </font>
    <font>
      <vertAlign val="superscript"/>
      <sz val="12"/>
      <name val="Times New Roman"/>
      <family val="1"/>
    </font>
    <font>
      <b/>
      <sz val="14"/>
      <name val="Arial"/>
      <family val="2"/>
    </font>
    <font>
      <b/>
      <u/>
      <sz val="8"/>
      <name val="Arial"/>
      <family val="2"/>
    </font>
    <font>
      <u/>
      <sz val="8"/>
      <name val="Arial"/>
      <family val="2"/>
    </font>
    <font>
      <vertAlign val="superscript"/>
      <sz val="8"/>
      <color indexed="10"/>
      <name val="Arial"/>
      <family val="2"/>
    </font>
    <font>
      <sz val="14"/>
      <name val="Arial"/>
      <family val="2"/>
    </font>
    <font>
      <u/>
      <sz val="12"/>
      <name val="Times New Roman"/>
      <family val="1"/>
    </font>
    <font>
      <b/>
      <sz val="12"/>
      <color indexed="9"/>
      <name val="Times New Roman"/>
      <family val="1"/>
    </font>
    <font>
      <sz val="8"/>
      <name val="Times New Roman"/>
      <family val="1"/>
    </font>
    <font>
      <b/>
      <sz val="10.5"/>
      <color indexed="10"/>
      <name val="Times New Roman"/>
      <family val="1"/>
    </font>
    <font>
      <b/>
      <vertAlign val="superscript"/>
      <sz val="16"/>
      <name val="Times New Roman"/>
      <family val="1"/>
    </font>
    <font>
      <i/>
      <sz val="11"/>
      <name val="Times New Roman"/>
      <family val="1"/>
    </font>
    <font>
      <b/>
      <sz val="12"/>
      <color indexed="10"/>
      <name val="Times New Roman"/>
      <family val="1"/>
    </font>
    <font>
      <sz val="8"/>
      <color rgb="FFFF0000"/>
      <name val="Arial"/>
      <family val="2"/>
    </font>
    <font>
      <b/>
      <sz val="8"/>
      <color theme="1"/>
      <name val="Arial"/>
      <family val="2"/>
    </font>
    <font>
      <sz val="8"/>
      <color theme="1"/>
      <name val="Arial"/>
      <family val="2"/>
    </font>
    <font>
      <b/>
      <vertAlign val="superscript"/>
      <sz val="8"/>
      <color theme="1"/>
      <name val="Arial"/>
      <family val="2"/>
    </font>
    <font>
      <sz val="10"/>
      <color theme="1"/>
      <name val="Arial"/>
      <family val="2"/>
    </font>
    <font>
      <b/>
      <sz val="8"/>
      <color rgb="FFFF0000"/>
      <name val="Arial"/>
      <family val="2"/>
    </font>
    <font>
      <b/>
      <sz val="10"/>
      <color rgb="FFFF0000"/>
      <name val="Arial"/>
      <family val="2"/>
    </font>
    <font>
      <sz val="10"/>
      <color rgb="FFFF0000"/>
      <name val="Arial"/>
      <family val="2"/>
    </font>
    <font>
      <b/>
      <sz val="16"/>
      <color rgb="FFFF0000"/>
      <name val="Arial"/>
      <family val="2"/>
    </font>
    <font>
      <sz val="10"/>
      <color rgb="FF000000"/>
      <name val="Arial"/>
      <family val="2"/>
    </font>
    <font>
      <sz val="12"/>
      <color rgb="FFFF0000"/>
      <name val="Times New Roman"/>
      <family val="1"/>
    </font>
    <font>
      <b/>
      <sz val="12"/>
      <color rgb="FFFF0000"/>
      <name val="Arial"/>
      <family val="2"/>
    </font>
    <font>
      <sz val="12"/>
      <color rgb="FFFF0000"/>
      <name val="Arial"/>
      <family val="2"/>
    </font>
    <font>
      <b/>
      <sz val="8"/>
      <name val="Calibri"/>
      <family val="2"/>
    </font>
    <font>
      <sz val="8"/>
      <name val="Calibri"/>
      <family val="2"/>
    </font>
    <font>
      <sz val="8"/>
      <color rgb="FF000000"/>
      <name val="Arial"/>
      <family val="2"/>
    </font>
    <font>
      <b/>
      <sz val="8"/>
      <name val="Arial"/>
      <family val="2"/>
    </font>
    <font>
      <sz val="8"/>
      <name val="Arial"/>
      <family val="2"/>
    </font>
    <font>
      <sz val="10"/>
      <name val="Calibri"/>
      <family val="2"/>
    </font>
  </fonts>
  <fills count="13">
    <fill>
      <patternFill patternType="none"/>
    </fill>
    <fill>
      <patternFill patternType="gray125"/>
    </fill>
    <fill>
      <patternFill patternType="solid">
        <fgColor indexed="43"/>
        <bgColor indexed="64"/>
      </patternFill>
    </fill>
    <fill>
      <patternFill patternType="solid">
        <fgColor indexed="34"/>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1"/>
        <bgColor indexed="64"/>
      </patternFill>
    </fill>
    <fill>
      <patternFill patternType="solid">
        <fgColor indexed="42"/>
        <bgColor indexed="64"/>
      </patternFill>
    </fill>
    <fill>
      <patternFill patternType="solid">
        <fgColor indexed="31"/>
        <bgColor indexed="64"/>
      </patternFill>
    </fill>
    <fill>
      <patternFill patternType="solid">
        <fgColor rgb="FFFFFF00"/>
        <bgColor indexed="64"/>
      </patternFill>
    </fill>
    <fill>
      <patternFill patternType="solid">
        <fgColor rgb="FF00FF00"/>
        <bgColor indexed="64"/>
      </patternFill>
    </fill>
    <fill>
      <patternFill patternType="solid">
        <fgColor rgb="FF00FFFF"/>
        <bgColor indexed="64"/>
      </patternFill>
    </fill>
  </fills>
  <borders count="211">
    <border>
      <left/>
      <right/>
      <top/>
      <bottom/>
      <diagonal/>
    </border>
    <border>
      <left style="double">
        <color indexed="64"/>
      </left>
      <right/>
      <top style="thin">
        <color indexed="64"/>
      </top>
      <bottom style="thin">
        <color indexed="64"/>
      </bottom>
      <diagonal/>
    </border>
    <border>
      <left style="double">
        <color indexed="64"/>
      </left>
      <right/>
      <top style="double">
        <color indexed="64"/>
      </top>
      <bottom/>
      <diagonal/>
    </border>
    <border>
      <left style="medium">
        <color indexed="64"/>
      </left>
      <right style="double">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double">
        <color indexed="64"/>
      </right>
      <top/>
      <bottom style="medium">
        <color indexed="64"/>
      </bottom>
      <diagonal/>
    </border>
    <border>
      <left style="double">
        <color indexed="64"/>
      </left>
      <right style="medium">
        <color indexed="64"/>
      </right>
      <top style="thin">
        <color indexed="64"/>
      </top>
      <bottom style="double">
        <color indexed="64"/>
      </bottom>
      <diagonal/>
    </border>
    <border>
      <left style="double">
        <color indexed="64"/>
      </left>
      <right/>
      <top style="thin">
        <color indexed="64"/>
      </top>
      <bottom style="medium">
        <color indexed="64"/>
      </bottom>
      <diagonal/>
    </border>
    <border>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diagonal/>
    </border>
    <border>
      <left/>
      <right style="double">
        <color indexed="64"/>
      </right>
      <top/>
      <bottom style="double">
        <color indexed="64"/>
      </bottom>
      <diagonal/>
    </border>
    <border>
      <left style="double">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double">
        <color indexed="64"/>
      </left>
      <right/>
      <top style="medium">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medium">
        <color indexed="64"/>
      </bottom>
      <diagonal/>
    </border>
    <border>
      <left/>
      <right style="double">
        <color indexed="64"/>
      </right>
      <top style="double">
        <color indexed="64"/>
      </top>
      <bottom/>
      <diagonal/>
    </border>
    <border>
      <left style="medium">
        <color indexed="64"/>
      </left>
      <right style="thin">
        <color indexed="64"/>
      </right>
      <top style="double">
        <color indexed="64"/>
      </top>
      <bottom/>
      <diagonal/>
    </border>
    <border>
      <left style="medium">
        <color indexed="64"/>
      </left>
      <right/>
      <top style="double">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double">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double">
        <color indexed="64"/>
      </top>
      <bottom/>
      <diagonal/>
    </border>
    <border>
      <left style="thin">
        <color indexed="64"/>
      </left>
      <right/>
      <top/>
      <bottom/>
      <diagonal/>
    </border>
    <border>
      <left style="double">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diagonal/>
    </border>
    <border>
      <left style="medium">
        <color indexed="64"/>
      </left>
      <right style="double">
        <color indexed="64"/>
      </right>
      <top style="thin">
        <color indexed="64"/>
      </top>
      <bottom style="thin">
        <color indexed="64"/>
      </bottom>
      <diagonal/>
    </border>
    <border>
      <left style="double">
        <color indexed="64"/>
      </left>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double">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right style="medium">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double">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double">
        <color indexed="64"/>
      </top>
      <bottom/>
      <diagonal/>
    </border>
    <border>
      <left style="medium">
        <color indexed="64"/>
      </left>
      <right style="double">
        <color indexed="64"/>
      </right>
      <top style="thin">
        <color indexed="64"/>
      </top>
      <bottom style="double">
        <color indexed="64"/>
      </bottom>
      <diagonal/>
    </border>
    <border>
      <left style="double">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style="double">
        <color indexed="64"/>
      </right>
      <top/>
      <bottom/>
      <diagonal/>
    </border>
    <border>
      <left/>
      <right style="thick">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thick">
        <color indexed="64"/>
      </right>
      <top/>
      <bottom style="thick">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double">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double">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bottom style="medium">
        <color indexed="64"/>
      </bottom>
      <diagonal/>
    </border>
    <border>
      <left style="double">
        <color indexed="64"/>
      </left>
      <right style="thin">
        <color indexed="64"/>
      </right>
      <top/>
      <bottom style="thin">
        <color indexed="64"/>
      </bottom>
      <diagonal/>
    </border>
    <border>
      <left style="double">
        <color indexed="64"/>
      </left>
      <right style="medium">
        <color indexed="64"/>
      </right>
      <top/>
      <bottom style="thin">
        <color indexed="64"/>
      </bottom>
      <diagonal/>
    </border>
    <border>
      <left style="double">
        <color indexed="64"/>
      </left>
      <right/>
      <top style="thin">
        <color indexed="64"/>
      </top>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double">
        <color indexed="64"/>
      </left>
      <right style="thin">
        <color indexed="64"/>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double">
        <color indexed="64"/>
      </left>
      <right style="thin">
        <color indexed="64"/>
      </right>
      <top/>
      <bottom/>
      <diagonal/>
    </border>
    <border>
      <left style="thin">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double">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double">
        <color indexed="64"/>
      </bottom>
      <diagonal/>
    </border>
    <border>
      <left/>
      <right style="double">
        <color indexed="64"/>
      </right>
      <top style="thin">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medium">
        <color indexed="64"/>
      </left>
      <right style="double">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diagonal/>
    </border>
    <border>
      <left style="medium">
        <color indexed="64"/>
      </left>
      <right/>
      <top style="medium">
        <color indexed="64"/>
      </top>
      <bottom/>
      <diagonal/>
    </border>
    <border>
      <left style="double">
        <color indexed="64"/>
      </left>
      <right style="thin">
        <color indexed="64"/>
      </right>
      <top style="thin">
        <color indexed="64"/>
      </top>
      <bottom/>
      <diagonal/>
    </border>
    <border>
      <left style="medium">
        <color indexed="64"/>
      </left>
      <right style="double">
        <color indexed="64"/>
      </right>
      <top style="thin">
        <color indexed="64"/>
      </top>
      <bottom/>
      <diagonal/>
    </border>
    <border>
      <left/>
      <right/>
      <top style="medium">
        <color indexed="64"/>
      </top>
      <bottom style="medium">
        <color indexed="64"/>
      </bottom>
      <diagonal/>
    </border>
    <border>
      <left style="double">
        <color indexed="64"/>
      </left>
      <right style="double">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right style="medium">
        <color rgb="FF000000"/>
      </right>
      <top/>
      <bottom/>
      <diagonal/>
    </border>
    <border>
      <left style="thin">
        <color rgb="FFD0D7E5"/>
      </left>
      <right/>
      <top style="thin">
        <color rgb="FFD0D7E5"/>
      </top>
      <bottom style="thin">
        <color rgb="FFD0D7E5"/>
      </bottom>
      <diagonal/>
    </border>
    <border>
      <left style="medium">
        <color indexed="64"/>
      </left>
      <right style="double">
        <color indexed="64"/>
      </right>
      <top style="double">
        <color indexed="64"/>
      </top>
      <bottom style="thin">
        <color indexed="64"/>
      </bottom>
      <diagonal/>
    </border>
    <border>
      <left/>
      <right style="medium">
        <color indexed="64"/>
      </right>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rgb="FFD0D7E5"/>
      </bottom>
      <diagonal/>
    </border>
    <border>
      <left style="thin">
        <color rgb="FFD0D7E5"/>
      </left>
      <right/>
      <top/>
      <bottom/>
      <diagonal/>
    </border>
    <border>
      <left/>
      <right/>
      <top style="thin">
        <color rgb="FFD0D7E5"/>
      </top>
      <bottom/>
      <diagonal/>
    </border>
  </borders>
  <cellStyleXfs count="2">
    <xf numFmtId="0" fontId="0" fillId="0" borderId="0"/>
    <xf numFmtId="0" fontId="1" fillId="0" borderId="0"/>
  </cellStyleXfs>
  <cellXfs count="1493">
    <xf numFmtId="0" fontId="0" fillId="0" borderId="0" xfId="0"/>
    <xf numFmtId="49" fontId="3" fillId="0" borderId="0" xfId="0" applyNumberFormat="1" applyFont="1"/>
    <xf numFmtId="0" fontId="7" fillId="0" borderId="0" xfId="0" applyFont="1"/>
    <xf numFmtId="0" fontId="3" fillId="0" borderId="0" xfId="0" applyFont="1"/>
    <xf numFmtId="0" fontId="3" fillId="0" borderId="9" xfId="0" applyFont="1" applyBorder="1"/>
    <xf numFmtId="0" fontId="3" fillId="0" borderId="10" xfId="0" applyFont="1" applyBorder="1"/>
    <xf numFmtId="0" fontId="5" fillId="0" borderId="0" xfId="0" applyFont="1" applyAlignment="1">
      <alignment horizontal="centerContinuous" wrapText="1"/>
    </xf>
    <xf numFmtId="0" fontId="14" fillId="0" borderId="0" xfId="0" applyFont="1" applyAlignment="1">
      <alignment horizontal="centerContinuous"/>
    </xf>
    <xf numFmtId="0" fontId="14" fillId="0" borderId="57" xfId="0" applyFont="1" applyBorder="1" applyAlignment="1">
      <alignment horizontal="center"/>
    </xf>
    <xf numFmtId="0" fontId="14" fillId="0" borderId="20" xfId="0" applyFont="1" applyBorder="1" applyAlignment="1">
      <alignment horizontal="center"/>
    </xf>
    <xf numFmtId="0" fontId="14" fillId="0" borderId="58" xfId="0" applyFont="1" applyBorder="1" applyAlignment="1">
      <alignment horizontal="center" wrapText="1"/>
    </xf>
    <xf numFmtId="0" fontId="0" fillId="0" borderId="59" xfId="0" applyBorder="1" applyAlignment="1">
      <alignment horizontal="center" wrapText="1"/>
    </xf>
    <xf numFmtId="0" fontId="0" fillId="0" borderId="60" xfId="0" applyBorder="1" applyAlignment="1">
      <alignment horizontal="center" vertical="center"/>
    </xf>
    <xf numFmtId="0" fontId="0" fillId="0" borderId="61" xfId="0" applyBorder="1" applyAlignment="1">
      <alignment horizontal="center" wrapText="1"/>
    </xf>
    <xf numFmtId="0" fontId="0" fillId="0" borderId="62" xfId="0" applyBorder="1" applyAlignment="1">
      <alignment horizontal="center" vertical="center"/>
    </xf>
    <xf numFmtId="0" fontId="0" fillId="0" borderId="2" xfId="0" applyBorder="1"/>
    <xf numFmtId="0" fontId="0" fillId="0" borderId="8" xfId="0" applyBorder="1" applyAlignment="1">
      <alignment horizontal="center"/>
    </xf>
    <xf numFmtId="0" fontId="0" fillId="0" borderId="29"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7" fillId="0" borderId="0" xfId="0" applyFont="1" applyAlignment="1">
      <alignment horizontal="center"/>
    </xf>
    <xf numFmtId="0" fontId="7" fillId="0" borderId="0" xfId="0" applyFont="1" applyAlignment="1">
      <alignment horizontal="left"/>
    </xf>
    <xf numFmtId="0" fontId="19" fillId="0" borderId="0" xfId="0" applyFont="1" applyProtection="1">
      <protection hidden="1"/>
    </xf>
    <xf numFmtId="0" fontId="20" fillId="0" borderId="0" xfId="0" applyFont="1" applyAlignment="1" applyProtection="1">
      <alignment horizontal="centerContinuous" vertical="center" wrapText="1"/>
      <protection hidden="1"/>
    </xf>
    <xf numFmtId="0" fontId="21" fillId="0" borderId="0" xfId="0" applyFont="1" applyAlignment="1" applyProtection="1">
      <alignment horizontal="centerContinuous" vertical="center"/>
      <protection hidden="1"/>
    </xf>
    <xf numFmtId="0" fontId="3" fillId="0" borderId="0" xfId="0" applyFont="1" applyAlignment="1" applyProtection="1">
      <alignment horizontal="center"/>
      <protection hidden="1"/>
    </xf>
    <xf numFmtId="0" fontId="7" fillId="0" borderId="0" xfId="0" applyFont="1" applyAlignment="1" applyProtection="1">
      <alignment horizontal="left"/>
      <protection hidden="1"/>
    </xf>
    <xf numFmtId="0" fontId="7" fillId="0" borderId="0" xfId="0" applyFont="1" applyProtection="1">
      <protection hidden="1"/>
    </xf>
    <xf numFmtId="0" fontId="24" fillId="0" borderId="0" xfId="0" applyFont="1" applyAlignment="1" applyProtection="1">
      <alignment horizontal="center"/>
      <protection hidden="1"/>
    </xf>
    <xf numFmtId="0" fontId="19" fillId="3" borderId="2" xfId="0" applyFont="1" applyFill="1" applyBorder="1" applyProtection="1">
      <protection hidden="1"/>
    </xf>
    <xf numFmtId="0" fontId="0" fillId="0" borderId="0" xfId="0" applyAlignment="1" applyProtection="1">
      <alignment wrapText="1"/>
      <protection hidden="1"/>
    </xf>
    <xf numFmtId="0" fontId="17" fillId="0" borderId="0" xfId="0" applyFont="1" applyAlignment="1" applyProtection="1">
      <alignment horizontal="center" wrapText="1"/>
      <protection hidden="1"/>
    </xf>
    <xf numFmtId="0" fontId="26" fillId="3" borderId="9" xfId="0" applyFont="1" applyFill="1" applyBorder="1" applyAlignment="1" applyProtection="1">
      <alignment horizontal="left" vertical="center"/>
      <protection hidden="1"/>
    </xf>
    <xf numFmtId="0" fontId="19" fillId="3" borderId="116" xfId="0" applyFont="1" applyFill="1" applyBorder="1" applyProtection="1">
      <protection hidden="1"/>
    </xf>
    <xf numFmtId="0" fontId="2" fillId="3" borderId="116" xfId="0" applyFont="1" applyFill="1" applyBorder="1" applyAlignment="1" applyProtection="1">
      <alignment wrapText="1"/>
      <protection hidden="1"/>
    </xf>
    <xf numFmtId="49" fontId="7" fillId="0" borderId="0" xfId="0" applyNumberFormat="1" applyFont="1" applyAlignment="1" applyProtection="1">
      <alignment horizontal="left"/>
      <protection hidden="1"/>
    </xf>
    <xf numFmtId="0" fontId="19" fillId="3" borderId="9" xfId="0" applyFont="1" applyFill="1" applyBorder="1" applyProtection="1">
      <protection hidden="1"/>
    </xf>
    <xf numFmtId="0" fontId="26" fillId="4" borderId="0" xfId="0" applyFont="1" applyFill="1" applyAlignment="1" applyProtection="1">
      <alignment horizontal="right" vertical="center"/>
      <protection hidden="1"/>
    </xf>
    <xf numFmtId="0" fontId="26" fillId="4" borderId="8" xfId="0" applyFont="1" applyFill="1" applyBorder="1" applyAlignment="1" applyProtection="1">
      <alignment horizontal="center" wrapText="1"/>
      <protection hidden="1"/>
    </xf>
    <xf numFmtId="0" fontId="19" fillId="4" borderId="10" xfId="0" applyFont="1" applyFill="1" applyBorder="1" applyProtection="1">
      <protection hidden="1"/>
    </xf>
    <xf numFmtId="2" fontId="22" fillId="4" borderId="11" xfId="0" applyNumberFormat="1" applyFont="1" applyFill="1" applyBorder="1" applyAlignment="1" applyProtection="1">
      <alignment horizontal="center" vertical="center" wrapText="1"/>
      <protection hidden="1"/>
    </xf>
    <xf numFmtId="0" fontId="2" fillId="4" borderId="11" xfId="0" applyFont="1" applyFill="1" applyBorder="1" applyAlignment="1" applyProtection="1">
      <alignment wrapText="1"/>
      <protection hidden="1"/>
    </xf>
    <xf numFmtId="0" fontId="2" fillId="4" borderId="13" xfId="0" applyFont="1" applyFill="1" applyBorder="1" applyAlignment="1" applyProtection="1">
      <alignment wrapText="1"/>
      <protection hidden="1"/>
    </xf>
    <xf numFmtId="0" fontId="19" fillId="0" borderId="9" xfId="0" applyFont="1" applyBorder="1" applyProtection="1">
      <protection hidden="1"/>
    </xf>
    <xf numFmtId="0" fontId="25" fillId="0" borderId="0" xfId="0" applyFont="1" applyAlignment="1" applyProtection="1">
      <alignment wrapText="1"/>
      <protection hidden="1"/>
    </xf>
    <xf numFmtId="0" fontId="19" fillId="3" borderId="10" xfId="0" applyFont="1" applyFill="1" applyBorder="1" applyProtection="1">
      <protection hidden="1"/>
    </xf>
    <xf numFmtId="0" fontId="26" fillId="3" borderId="11" xfId="0" applyFont="1" applyFill="1" applyBorder="1" applyAlignment="1" applyProtection="1">
      <alignment horizontal="right" vertical="center" wrapText="1"/>
      <protection hidden="1"/>
    </xf>
    <xf numFmtId="0" fontId="27" fillId="4" borderId="0" xfId="0" applyFont="1" applyFill="1" applyAlignment="1" applyProtection="1">
      <alignment horizontal="center" vertical="top" wrapText="1"/>
      <protection hidden="1"/>
    </xf>
    <xf numFmtId="0" fontId="19" fillId="4" borderId="0" xfId="0" applyFont="1" applyFill="1" applyProtection="1">
      <protection hidden="1"/>
    </xf>
    <xf numFmtId="0" fontId="0" fillId="4" borderId="0" xfId="0" applyFill="1" applyAlignment="1" applyProtection="1">
      <alignment vertical="top" wrapText="1"/>
      <protection hidden="1"/>
    </xf>
    <xf numFmtId="0" fontId="28" fillId="4" borderId="0" xfId="0" applyFont="1" applyFill="1" applyAlignment="1" applyProtection="1">
      <alignment horizontal="right" vertical="top" wrapText="1"/>
      <protection hidden="1"/>
    </xf>
    <xf numFmtId="0" fontId="7" fillId="3" borderId="11" xfId="0" applyFont="1" applyFill="1" applyBorder="1" applyAlignment="1" applyProtection="1">
      <alignment horizontal="right" vertical="top" wrapText="1"/>
      <protection hidden="1"/>
    </xf>
    <xf numFmtId="0" fontId="7" fillId="3" borderId="11" xfId="0" applyFont="1" applyFill="1" applyBorder="1" applyAlignment="1" applyProtection="1">
      <alignment vertical="top" wrapText="1"/>
      <protection hidden="1"/>
    </xf>
    <xf numFmtId="0" fontId="0" fillId="3" borderId="11" xfId="0" applyFill="1" applyBorder="1" applyAlignment="1" applyProtection="1">
      <alignment vertical="top" wrapText="1"/>
      <protection hidden="1"/>
    </xf>
    <xf numFmtId="165" fontId="33" fillId="2" borderId="117" xfId="0" applyNumberFormat="1" applyFont="1" applyFill="1" applyBorder="1" applyAlignment="1" applyProtection="1">
      <alignment horizontal="left" wrapText="1"/>
      <protection hidden="1"/>
    </xf>
    <xf numFmtId="0" fontId="14" fillId="0" borderId="0" xfId="0" applyFont="1" applyProtection="1">
      <protection hidden="1"/>
    </xf>
    <xf numFmtId="0" fontId="14" fillId="0" borderId="0" xfId="0" applyFont="1" applyAlignment="1" applyProtection="1">
      <alignment horizontal="left"/>
      <protection hidden="1"/>
    </xf>
    <xf numFmtId="0" fontId="14" fillId="0" borderId="0" xfId="0" applyFont="1" applyAlignment="1" applyProtection="1">
      <alignment horizontal="left" wrapText="1"/>
      <protection hidden="1"/>
    </xf>
    <xf numFmtId="0" fontId="15" fillId="0" borderId="0" xfId="0" applyFont="1" applyAlignment="1" applyProtection="1">
      <alignment horizontal="left"/>
      <protection hidden="1"/>
    </xf>
    <xf numFmtId="49" fontId="7" fillId="0" borderId="0" xfId="0" applyNumberFormat="1" applyFont="1" applyProtection="1">
      <protection hidden="1"/>
    </xf>
    <xf numFmtId="0" fontId="19" fillId="5" borderId="9" xfId="0" applyFont="1" applyFill="1" applyBorder="1" applyProtection="1">
      <protection hidden="1"/>
    </xf>
    <xf numFmtId="0" fontId="19" fillId="5" borderId="0" xfId="0" applyFont="1" applyFill="1" applyProtection="1">
      <protection hidden="1"/>
    </xf>
    <xf numFmtId="0" fontId="26" fillId="5" borderId="0" xfId="0" applyFont="1" applyFill="1" applyProtection="1">
      <protection hidden="1"/>
    </xf>
    <xf numFmtId="0" fontId="26" fillId="5" borderId="0" xfId="0" applyFont="1" applyFill="1" applyAlignment="1" applyProtection="1">
      <alignment horizontal="center"/>
      <protection hidden="1"/>
    </xf>
    <xf numFmtId="0" fontId="19" fillId="5" borderId="12" xfId="0" applyFont="1" applyFill="1" applyBorder="1" applyProtection="1">
      <protection hidden="1"/>
    </xf>
    <xf numFmtId="0" fontId="33" fillId="5" borderId="118" xfId="0" applyFont="1" applyFill="1" applyBorder="1" applyAlignment="1" applyProtection="1">
      <alignment horizontal="center" vertical="center" wrapText="1"/>
      <protection hidden="1"/>
    </xf>
    <xf numFmtId="0" fontId="34" fillId="5" borderId="0" xfId="0" applyFont="1" applyFill="1" applyAlignment="1" applyProtection="1">
      <alignment horizontal="right" vertical="top"/>
      <protection hidden="1"/>
    </xf>
    <xf numFmtId="165" fontId="33" fillId="5" borderId="119" xfId="0" applyNumberFormat="1" applyFont="1" applyFill="1" applyBorder="1" applyAlignment="1" applyProtection="1">
      <alignment horizontal="center"/>
      <protection hidden="1"/>
    </xf>
    <xf numFmtId="0" fontId="33" fillId="5" borderId="0" xfId="0" applyFont="1" applyFill="1" applyAlignment="1" applyProtection="1">
      <alignment horizontal="center" wrapText="1"/>
      <protection hidden="1"/>
    </xf>
    <xf numFmtId="0" fontId="26" fillId="5" borderId="0" xfId="0" applyFont="1" applyFill="1" applyAlignment="1" applyProtection="1">
      <alignment horizontal="center" vertical="center"/>
      <protection hidden="1"/>
    </xf>
    <xf numFmtId="0" fontId="33" fillId="5" borderId="0" xfId="0" applyFont="1" applyFill="1" applyAlignment="1" applyProtection="1">
      <alignment horizontal="center" vertical="center" wrapText="1"/>
      <protection hidden="1"/>
    </xf>
    <xf numFmtId="0" fontId="19" fillId="5" borderId="10" xfId="0" applyFont="1" applyFill="1" applyBorder="1" applyProtection="1">
      <protection hidden="1"/>
    </xf>
    <xf numFmtId="0" fontId="19" fillId="5" borderId="11" xfId="0" applyFont="1" applyFill="1" applyBorder="1" applyProtection="1">
      <protection hidden="1"/>
    </xf>
    <xf numFmtId="0" fontId="19" fillId="5" borderId="11" xfId="0" applyFont="1" applyFill="1" applyBorder="1" applyAlignment="1" applyProtection="1">
      <alignment horizontal="center"/>
      <protection hidden="1"/>
    </xf>
    <xf numFmtId="0" fontId="19" fillId="5" borderId="13" xfId="0" applyFont="1" applyFill="1" applyBorder="1" applyProtection="1">
      <protection hidden="1"/>
    </xf>
    <xf numFmtId="0" fontId="19" fillId="0" borderId="0" xfId="0" applyFont="1" applyAlignment="1" applyProtection="1">
      <alignment horizontal="center"/>
      <protection hidden="1"/>
    </xf>
    <xf numFmtId="0" fontId="21" fillId="0" borderId="0" xfId="0" applyFont="1" applyProtection="1">
      <protection hidden="1"/>
    </xf>
    <xf numFmtId="0" fontId="21" fillId="0" borderId="0" xfId="0" applyFont="1" applyAlignment="1" applyProtection="1">
      <alignment wrapText="1"/>
      <protection hidden="1"/>
    </xf>
    <xf numFmtId="0" fontId="4" fillId="0" borderId="0" xfId="0" applyFont="1" applyAlignment="1" applyProtection="1">
      <alignment horizontal="left"/>
      <protection hidden="1"/>
    </xf>
    <xf numFmtId="49" fontId="3" fillId="0" borderId="0" xfId="0" applyNumberFormat="1" applyFont="1" applyProtection="1">
      <protection hidden="1"/>
    </xf>
    <xf numFmtId="0" fontId="19" fillId="0" borderId="0" xfId="0" applyFont="1" applyAlignment="1" applyProtection="1">
      <alignment horizontal="centerContinuous"/>
      <protection hidden="1"/>
    </xf>
    <xf numFmtId="0" fontId="0" fillId="0" borderId="0" xfId="0" applyProtection="1">
      <protection hidden="1"/>
    </xf>
    <xf numFmtId="49" fontId="4" fillId="0" borderId="0" xfId="0" applyNumberFormat="1" applyFont="1" applyProtection="1">
      <protection hidden="1"/>
    </xf>
    <xf numFmtId="0" fontId="3" fillId="0" borderId="0" xfId="0" applyFont="1" applyAlignment="1" applyProtection="1">
      <alignment horizontal="left"/>
      <protection hidden="1"/>
    </xf>
    <xf numFmtId="49" fontId="3" fillId="0" borderId="0" xfId="0" applyNumberFormat="1" applyFont="1" applyAlignment="1" applyProtection="1">
      <alignment horizontal="left"/>
      <protection hidden="1"/>
    </xf>
    <xf numFmtId="49" fontId="4" fillId="0" borderId="0" xfId="0" applyNumberFormat="1" applyFont="1" applyAlignment="1" applyProtection="1">
      <alignment horizontal="left"/>
      <protection hidden="1"/>
    </xf>
    <xf numFmtId="0" fontId="3" fillId="0" borderId="0" xfId="0" applyFont="1" applyProtection="1">
      <protection hidden="1"/>
    </xf>
    <xf numFmtId="0" fontId="0" fillId="0" borderId="73" xfId="0" applyBorder="1" applyAlignment="1" applyProtection="1">
      <alignment horizontal="center"/>
      <protection hidden="1"/>
    </xf>
    <xf numFmtId="0" fontId="0" fillId="0" borderId="121" xfId="0" applyBorder="1" applyAlignment="1" applyProtection="1">
      <alignment horizontal="center"/>
      <protection hidden="1"/>
    </xf>
    <xf numFmtId="0" fontId="21" fillId="0" borderId="0" xfId="0" applyFont="1" applyAlignment="1">
      <alignment horizontal="centerContinuous"/>
    </xf>
    <xf numFmtId="0" fontId="0" fillId="0" borderId="0" xfId="0" applyAlignment="1">
      <alignment horizontal="centerContinuous"/>
    </xf>
    <xf numFmtId="0" fontId="22" fillId="0" borderId="0" xfId="0" applyFont="1" applyAlignment="1" applyProtection="1">
      <alignment horizontal="centerContinuous" vertical="center"/>
      <protection hidden="1"/>
    </xf>
    <xf numFmtId="0" fontId="24" fillId="0" borderId="0" xfId="0" applyFont="1" applyAlignment="1" applyProtection="1">
      <alignment horizontal="centerContinuous"/>
      <protection hidden="1"/>
    </xf>
    <xf numFmtId="0" fontId="0" fillId="0" borderId="0" xfId="0" applyAlignment="1" applyProtection="1">
      <alignment horizontal="centerContinuous"/>
      <protection hidden="1"/>
    </xf>
    <xf numFmtId="0" fontId="0" fillId="0" borderId="0" xfId="0" applyAlignment="1" applyProtection="1">
      <alignment horizontal="center"/>
      <protection hidden="1"/>
    </xf>
    <xf numFmtId="0" fontId="14" fillId="0" borderId="122" xfId="0" applyFont="1" applyBorder="1" applyProtection="1">
      <protection hidden="1"/>
    </xf>
    <xf numFmtId="0" fontId="14" fillId="0" borderId="123" xfId="0" applyFont="1" applyBorder="1" applyAlignment="1" applyProtection="1">
      <alignment horizontal="center"/>
      <protection hidden="1"/>
    </xf>
    <xf numFmtId="0" fontId="14" fillId="0" borderId="124" xfId="0" applyFont="1" applyBorder="1" applyAlignment="1" applyProtection="1">
      <alignment horizontal="center" wrapText="1"/>
      <protection hidden="1"/>
    </xf>
    <xf numFmtId="0" fontId="0" fillId="0" borderId="67" xfId="0" applyBorder="1" applyProtection="1">
      <protection hidden="1"/>
    </xf>
    <xf numFmtId="0" fontId="0" fillId="0" borderId="125" xfId="0" applyBorder="1" applyProtection="1">
      <protection hidden="1"/>
    </xf>
    <xf numFmtId="0" fontId="0" fillId="0" borderId="77" xfId="0" applyBorder="1" applyAlignment="1" applyProtection="1">
      <alignment horizontal="center"/>
      <protection hidden="1"/>
    </xf>
    <xf numFmtId="11" fontId="7" fillId="0" borderId="0" xfId="0" applyNumberFormat="1" applyFont="1" applyAlignment="1" applyProtection="1">
      <alignment horizontal="center" vertical="center"/>
      <protection hidden="1"/>
    </xf>
    <xf numFmtId="0" fontId="7" fillId="0" borderId="0" xfId="0" applyFont="1" applyAlignment="1" applyProtection="1">
      <alignment horizontal="center"/>
      <protection hidden="1"/>
    </xf>
    <xf numFmtId="0" fontId="7" fillId="0" borderId="77" xfId="0" applyFont="1" applyBorder="1" applyAlignment="1" applyProtection="1">
      <alignment horizontal="center"/>
      <protection hidden="1"/>
    </xf>
    <xf numFmtId="11" fontId="7" fillId="0" borderId="67" xfId="0" applyNumberFormat="1" applyFont="1" applyBorder="1" applyAlignment="1" applyProtection="1">
      <alignment vertical="center"/>
      <protection hidden="1"/>
    </xf>
    <xf numFmtId="0" fontId="48" fillId="0" borderId="0" xfId="0" applyFont="1" applyAlignment="1" applyProtection="1">
      <alignment horizontal="center"/>
      <protection hidden="1"/>
    </xf>
    <xf numFmtId="49" fontId="7" fillId="0" borderId="67" xfId="0" applyNumberFormat="1" applyFont="1" applyBorder="1" applyAlignment="1" applyProtection="1">
      <alignment vertical="center"/>
      <protection hidden="1"/>
    </xf>
    <xf numFmtId="165" fontId="7" fillId="0" borderId="67" xfId="0" applyNumberFormat="1" applyFont="1" applyBorder="1" applyAlignment="1" applyProtection="1">
      <alignment vertical="center"/>
      <protection hidden="1"/>
    </xf>
    <xf numFmtId="49" fontId="7" fillId="0" borderId="67" xfId="0" applyNumberFormat="1" applyFont="1" applyBorder="1" applyProtection="1">
      <protection hidden="1"/>
    </xf>
    <xf numFmtId="0" fontId="48" fillId="0" borderId="0" xfId="0" applyFont="1" applyAlignment="1" applyProtection="1">
      <alignment wrapText="1"/>
      <protection hidden="1"/>
    </xf>
    <xf numFmtId="0" fontId="0" fillId="0" borderId="0" xfId="0" applyAlignment="1" applyProtection="1">
      <alignment horizontal="center" wrapText="1"/>
      <protection hidden="1"/>
    </xf>
    <xf numFmtId="0" fontId="26" fillId="6" borderId="126" xfId="0" applyFont="1" applyFill="1" applyBorder="1" applyAlignment="1" applyProtection="1">
      <alignment horizontal="center" vertical="center" wrapText="1"/>
      <protection locked="0" hidden="1"/>
    </xf>
    <xf numFmtId="0" fontId="26" fillId="4" borderId="9" xfId="0" applyFont="1" applyFill="1" applyBorder="1" applyAlignment="1" applyProtection="1">
      <alignment horizontal="right" vertical="center" wrapText="1"/>
      <protection hidden="1"/>
    </xf>
    <xf numFmtId="0" fontId="0" fillId="0" borderId="0" xfId="0" applyAlignment="1">
      <alignment horizontal="center" wrapText="1"/>
    </xf>
    <xf numFmtId="0" fontId="23" fillId="0" borderId="0" xfId="0" applyFont="1" applyAlignment="1">
      <alignment horizontal="center"/>
    </xf>
    <xf numFmtId="165" fontId="7" fillId="0" borderId="12" xfId="0" applyNumberFormat="1" applyFont="1" applyBorder="1" applyAlignment="1" applyProtection="1">
      <alignment horizontal="center" wrapText="1"/>
      <protection hidden="1"/>
    </xf>
    <xf numFmtId="0" fontId="47" fillId="0" borderId="67" xfId="0" applyFont="1" applyBorder="1" applyAlignment="1" applyProtection="1">
      <alignment horizontal="center" wrapText="1"/>
      <protection hidden="1"/>
    </xf>
    <xf numFmtId="0" fontId="0" fillId="0" borderId="67" xfId="0" applyBorder="1" applyAlignment="1" applyProtection="1">
      <alignment horizontal="center" wrapText="1"/>
      <protection hidden="1"/>
    </xf>
    <xf numFmtId="0" fontId="40" fillId="0" borderId="0" xfId="0" applyFont="1" applyAlignment="1">
      <alignment horizontal="left"/>
    </xf>
    <xf numFmtId="0" fontId="23" fillId="0" borderId="0" xfId="0" applyFont="1" applyAlignment="1" applyProtection="1">
      <alignment horizontal="centerContinuous" wrapText="1"/>
      <protection hidden="1"/>
    </xf>
    <xf numFmtId="0" fontId="19" fillId="0" borderId="10" xfId="0" applyFont="1" applyBorder="1" applyProtection="1">
      <protection hidden="1"/>
    </xf>
    <xf numFmtId="0" fontId="26" fillId="0" borderId="0" xfId="0" applyFont="1" applyProtection="1">
      <protection hidden="1"/>
    </xf>
    <xf numFmtId="0" fontId="19" fillId="0" borderId="2" xfId="0" applyFont="1" applyBorder="1" applyProtection="1">
      <protection hidden="1"/>
    </xf>
    <xf numFmtId="0" fontId="19" fillId="0" borderId="8" xfId="0" applyFont="1" applyBorder="1" applyProtection="1">
      <protection hidden="1"/>
    </xf>
    <xf numFmtId="0" fontId="26" fillId="0" borderId="8" xfId="0" applyFont="1" applyBorder="1" applyAlignment="1" applyProtection="1">
      <alignment horizontal="right" vertical="center" wrapText="1"/>
      <protection hidden="1"/>
    </xf>
    <xf numFmtId="0" fontId="26" fillId="0" borderId="8" xfId="0" applyFont="1" applyBorder="1" applyAlignment="1" applyProtection="1">
      <alignment horizontal="center" vertical="center"/>
      <protection hidden="1"/>
    </xf>
    <xf numFmtId="0" fontId="30" fillId="0" borderId="8" xfId="0" applyFont="1" applyBorder="1" applyAlignment="1" applyProtection="1">
      <alignment vertical="top" wrapText="1"/>
      <protection hidden="1"/>
    </xf>
    <xf numFmtId="0" fontId="19" fillId="0" borderId="29" xfId="0" applyFont="1" applyBorder="1" applyProtection="1">
      <protection hidden="1"/>
    </xf>
    <xf numFmtId="0" fontId="26"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23" fillId="0" borderId="0" xfId="0" applyFont="1" applyAlignment="1" applyProtection="1">
      <alignment horizontal="center" wrapText="1"/>
      <protection hidden="1"/>
    </xf>
    <xf numFmtId="0" fontId="34" fillId="0" borderId="0" xfId="0" applyFont="1" applyAlignment="1" applyProtection="1">
      <alignment horizontal="right" vertical="top"/>
      <protection hidden="1"/>
    </xf>
    <xf numFmtId="0" fontId="19" fillId="0" borderId="12" xfId="0" applyFont="1" applyBorder="1" applyProtection="1">
      <protection hidden="1"/>
    </xf>
    <xf numFmtId="165" fontId="33" fillId="0" borderId="0" xfId="0" applyNumberFormat="1" applyFont="1" applyAlignment="1" applyProtection="1">
      <alignment horizontal="center"/>
      <protection hidden="1"/>
    </xf>
    <xf numFmtId="0" fontId="26" fillId="0" borderId="0" xfId="0" applyFont="1" applyAlignment="1" applyProtection="1">
      <alignment horizontal="center" vertical="center" wrapText="1"/>
      <protection hidden="1"/>
    </xf>
    <xf numFmtId="0" fontId="34" fillId="0" borderId="0" xfId="0" applyFont="1" applyAlignment="1" applyProtection="1">
      <alignment horizontal="right"/>
      <protection hidden="1"/>
    </xf>
    <xf numFmtId="0" fontId="33" fillId="0" borderId="0" xfId="0" applyFont="1" applyAlignment="1" applyProtection="1">
      <alignment horizontal="center" wrapText="1"/>
      <protection hidden="1"/>
    </xf>
    <xf numFmtId="0" fontId="33" fillId="0" borderId="0" xfId="0"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35" fillId="7" borderId="127" xfId="0" applyFont="1" applyFill="1" applyBorder="1" applyAlignment="1" applyProtection="1">
      <alignment horizontal="center" wrapText="1"/>
      <protection hidden="1"/>
    </xf>
    <xf numFmtId="165" fontId="33" fillId="7" borderId="128" xfId="0" applyNumberFormat="1" applyFont="1" applyFill="1" applyBorder="1" applyAlignment="1" applyProtection="1">
      <alignment horizontal="center"/>
      <protection hidden="1"/>
    </xf>
    <xf numFmtId="0" fontId="19" fillId="2" borderId="9" xfId="0" applyFont="1" applyFill="1" applyBorder="1" applyProtection="1">
      <protection hidden="1"/>
    </xf>
    <xf numFmtId="0" fontId="19" fillId="2" borderId="0" xfId="0" applyFont="1" applyFill="1" applyProtection="1">
      <protection hidden="1"/>
    </xf>
    <xf numFmtId="0" fontId="26" fillId="2" borderId="0" xfId="0" applyFont="1" applyFill="1" applyProtection="1">
      <protection hidden="1"/>
    </xf>
    <xf numFmtId="0" fontId="26" fillId="2" borderId="0" xfId="0" applyFont="1" applyFill="1" applyAlignment="1" applyProtection="1">
      <alignment horizontal="center"/>
      <protection hidden="1"/>
    </xf>
    <xf numFmtId="0" fontId="19" fillId="2" borderId="12" xfId="0" applyFont="1" applyFill="1" applyBorder="1" applyProtection="1">
      <protection hidden="1"/>
    </xf>
    <xf numFmtId="0" fontId="21" fillId="0" borderId="0" xfId="0" applyFont="1" applyAlignment="1" applyProtection="1">
      <alignment horizontal="centerContinuous"/>
      <protection hidden="1"/>
    </xf>
    <xf numFmtId="0" fontId="33" fillId="2" borderId="118" xfId="0" applyFont="1" applyFill="1" applyBorder="1" applyAlignment="1" applyProtection="1">
      <alignment horizontal="center" wrapText="1"/>
      <protection hidden="1"/>
    </xf>
    <xf numFmtId="165" fontId="33" fillId="2" borderId="119" xfId="0" applyNumberFormat="1" applyFont="1" applyFill="1" applyBorder="1" applyAlignment="1" applyProtection="1">
      <alignment horizontal="center"/>
      <protection hidden="1"/>
    </xf>
    <xf numFmtId="0" fontId="32" fillId="0" borderId="0" xfId="0" applyFont="1" applyAlignment="1" applyProtection="1">
      <alignment horizontal="center" wrapText="1"/>
      <protection hidden="1"/>
    </xf>
    <xf numFmtId="0" fontId="34" fillId="0" borderId="0" xfId="0" applyFont="1" applyAlignment="1" applyProtection="1">
      <alignment horizontal="center" vertical="top"/>
      <protection hidden="1"/>
    </xf>
    <xf numFmtId="0" fontId="26" fillId="6" borderId="118" xfId="0" applyFont="1" applyFill="1" applyBorder="1" applyAlignment="1" applyProtection="1">
      <alignment horizontal="center" vertical="center" wrapText="1"/>
      <protection locked="0" hidden="1"/>
    </xf>
    <xf numFmtId="0" fontId="0" fillId="4" borderId="129" xfId="0" applyFill="1" applyBorder="1"/>
    <xf numFmtId="0" fontId="18" fillId="0" borderId="0" xfId="0" applyFont="1" applyProtection="1">
      <protection hidden="1"/>
    </xf>
    <xf numFmtId="0" fontId="24" fillId="0" borderId="0" xfId="0" applyFont="1" applyAlignment="1" applyProtection="1">
      <alignment horizontal="centerContinuous" wrapText="1"/>
      <protection hidden="1"/>
    </xf>
    <xf numFmtId="0" fontId="14" fillId="0" borderId="2" xfId="0" applyFont="1" applyBorder="1" applyAlignment="1" applyProtection="1">
      <alignment horizontal="right"/>
      <protection hidden="1"/>
    </xf>
    <xf numFmtId="0" fontId="7" fillId="0" borderId="29" xfId="0" applyFont="1" applyBorder="1" applyAlignment="1" applyProtection="1">
      <alignment horizontal="center" wrapText="1"/>
      <protection hidden="1"/>
    </xf>
    <xf numFmtId="0" fontId="7" fillId="0" borderId="9" xfId="0" applyFont="1" applyBorder="1" applyAlignment="1" applyProtection="1">
      <alignment horizontal="right"/>
      <protection hidden="1"/>
    </xf>
    <xf numFmtId="0" fontId="7" fillId="0" borderId="12" xfId="0" applyFont="1" applyBorder="1" applyAlignment="1" applyProtection="1">
      <alignment horizontal="center" wrapText="1"/>
      <protection hidden="1"/>
    </xf>
    <xf numFmtId="0" fontId="7" fillId="0" borderId="8" xfId="0" applyFont="1" applyBorder="1" applyAlignment="1" applyProtection="1">
      <alignment horizontal="center" wrapText="1"/>
      <protection hidden="1"/>
    </xf>
    <xf numFmtId="0" fontId="7" fillId="0" borderId="9" xfId="0" applyFont="1" applyBorder="1" applyAlignment="1" applyProtection="1">
      <alignment horizontal="center" wrapText="1"/>
      <protection hidden="1"/>
    </xf>
    <xf numFmtId="0" fontId="14" fillId="0" borderId="9" xfId="0" applyFont="1" applyBorder="1" applyAlignment="1" applyProtection="1">
      <alignment horizontal="right"/>
      <protection hidden="1"/>
    </xf>
    <xf numFmtId="0" fontId="14" fillId="0" borderId="10" xfId="0" applyFont="1" applyBorder="1" applyAlignment="1" applyProtection="1">
      <alignment horizontal="right"/>
      <protection hidden="1"/>
    </xf>
    <xf numFmtId="165" fontId="14" fillId="0" borderId="13" xfId="0" applyNumberFormat="1" applyFont="1" applyBorder="1" applyAlignment="1" applyProtection="1">
      <alignment horizontal="center" wrapText="1"/>
      <protection hidden="1"/>
    </xf>
    <xf numFmtId="165" fontId="7" fillId="0" borderId="9" xfId="0" applyNumberFormat="1" applyFont="1" applyBorder="1" applyAlignment="1" applyProtection="1">
      <alignment horizontal="center" wrapText="1"/>
      <protection hidden="1"/>
    </xf>
    <xf numFmtId="165" fontId="7" fillId="0" borderId="0" xfId="0" applyNumberFormat="1" applyFont="1" applyAlignment="1" applyProtection="1">
      <alignment horizontal="center" wrapText="1"/>
      <protection hidden="1"/>
    </xf>
    <xf numFmtId="0" fontId="7" fillId="0" borderId="0" xfId="0" applyFont="1" applyAlignment="1" applyProtection="1">
      <alignment horizontal="right"/>
      <protection hidden="1"/>
    </xf>
    <xf numFmtId="165" fontId="7" fillId="0" borderId="8" xfId="0" applyNumberFormat="1" applyFont="1" applyBorder="1" applyAlignment="1" applyProtection="1">
      <alignment horizontal="center" wrapText="1"/>
      <protection hidden="1"/>
    </xf>
    <xf numFmtId="0" fontId="0" fillId="0" borderId="9" xfId="0" applyBorder="1"/>
    <xf numFmtId="0" fontId="22" fillId="0" borderId="0" xfId="0" applyFont="1" applyAlignment="1" applyProtection="1">
      <alignment horizontal="center"/>
      <protection hidden="1"/>
    </xf>
    <xf numFmtId="0" fontId="36" fillId="0" borderId="0" xfId="0" applyFont="1" applyAlignment="1">
      <alignment wrapText="1"/>
    </xf>
    <xf numFmtId="0" fontId="19" fillId="4" borderId="0" xfId="0" applyFont="1" applyFill="1" applyAlignment="1" applyProtection="1">
      <alignment horizontal="right" vertical="top" wrapText="1"/>
      <protection hidden="1"/>
    </xf>
    <xf numFmtId="0" fontId="0" fillId="4" borderId="12" xfId="0" applyFill="1" applyBorder="1" applyAlignment="1" applyProtection="1">
      <alignment vertical="top" wrapText="1"/>
      <protection hidden="1"/>
    </xf>
    <xf numFmtId="0" fontId="0" fillId="3" borderId="12" xfId="0" applyFill="1" applyBorder="1" applyAlignment="1" applyProtection="1">
      <alignment vertical="top" wrapText="1"/>
      <protection hidden="1"/>
    </xf>
    <xf numFmtId="0" fontId="0" fillId="3" borderId="13" xfId="0" applyFill="1" applyBorder="1" applyAlignment="1" applyProtection="1">
      <alignment vertical="top" wrapText="1"/>
      <protection hidden="1"/>
    </xf>
    <xf numFmtId="0" fontId="23" fillId="0" borderId="9" xfId="0" applyFont="1" applyBorder="1" applyAlignment="1">
      <alignment horizontal="center"/>
    </xf>
    <xf numFmtId="165" fontId="34" fillId="0" borderId="9" xfId="0" applyNumberFormat="1" applyFont="1" applyBorder="1" applyAlignment="1">
      <alignment horizontal="left"/>
    </xf>
    <xf numFmtId="0" fontId="34" fillId="0" borderId="9" xfId="0" applyFont="1" applyBorder="1" applyAlignment="1" applyProtection="1">
      <alignment horizontal="left"/>
      <protection hidden="1"/>
    </xf>
    <xf numFmtId="0" fontId="36" fillId="0" borderId="0" xfId="0" applyFont="1" applyAlignment="1">
      <alignment horizontal="centerContinuous" wrapText="1"/>
    </xf>
    <xf numFmtId="0" fontId="49" fillId="0" borderId="0" xfId="0" applyFont="1" applyAlignment="1" applyProtection="1">
      <alignment wrapText="1"/>
      <protection hidden="1"/>
    </xf>
    <xf numFmtId="0" fontId="21" fillId="0" borderId="0" xfId="0" applyFont="1" applyAlignment="1" applyProtection="1">
      <alignment horizontal="left"/>
      <protection hidden="1"/>
    </xf>
    <xf numFmtId="0" fontId="0" fillId="0" borderId="0" xfId="0" applyAlignment="1">
      <alignment wrapText="1"/>
    </xf>
    <xf numFmtId="0" fontId="33" fillId="0" borderId="0" xfId="0" applyFont="1" applyAlignment="1" applyProtection="1">
      <alignment wrapText="1"/>
      <protection hidden="1"/>
    </xf>
    <xf numFmtId="0" fontId="19" fillId="0" borderId="0" xfId="0" applyFont="1"/>
    <xf numFmtId="0" fontId="36" fillId="0" borderId="0" xfId="0" applyFont="1" applyAlignment="1" applyProtection="1">
      <alignment wrapText="1"/>
      <protection hidden="1"/>
    </xf>
    <xf numFmtId="0" fontId="26" fillId="2" borderId="0" xfId="0" applyFont="1" applyFill="1" applyAlignment="1" applyProtection="1">
      <alignment horizontal="right"/>
      <protection hidden="1"/>
    </xf>
    <xf numFmtId="0" fontId="26" fillId="2" borderId="0" xfId="0" applyFont="1" applyFill="1" applyAlignment="1" applyProtection="1">
      <alignment horizontal="left"/>
      <protection hidden="1"/>
    </xf>
    <xf numFmtId="0" fontId="26" fillId="2" borderId="0" xfId="0" applyFont="1" applyFill="1" applyAlignment="1" applyProtection="1">
      <alignment horizontal="left" vertical="center"/>
      <protection hidden="1"/>
    </xf>
    <xf numFmtId="0" fontId="26" fillId="6" borderId="126" xfId="0" applyFont="1" applyFill="1" applyBorder="1" applyAlignment="1" applyProtection="1">
      <alignment horizontal="center" vertical="top" wrapText="1"/>
      <protection locked="0" hidden="1"/>
    </xf>
    <xf numFmtId="0" fontId="26" fillId="4" borderId="0" xfId="0" applyFont="1" applyFill="1" applyAlignment="1" applyProtection="1">
      <alignment vertical="top" wrapText="1"/>
      <protection hidden="1"/>
    </xf>
    <xf numFmtId="165" fontId="34" fillId="0" borderId="9" xfId="0" applyNumberFormat="1" applyFont="1" applyBorder="1" applyAlignment="1">
      <alignment horizontal="left" vertical="center"/>
    </xf>
    <xf numFmtId="0" fontId="56" fillId="0" borderId="0" xfId="0" applyFont="1" applyAlignment="1" applyProtection="1">
      <alignment horizontal="left"/>
      <protection hidden="1"/>
    </xf>
    <xf numFmtId="0" fontId="21" fillId="0" borderId="0" xfId="0" applyFont="1" applyAlignment="1" applyProtection="1">
      <alignment horizontal="center" wrapText="1"/>
      <protection hidden="1"/>
    </xf>
    <xf numFmtId="0" fontId="14" fillId="0" borderId="0" xfId="0" applyFont="1" applyAlignment="1">
      <alignment horizontal="left"/>
    </xf>
    <xf numFmtId="0" fontId="14" fillId="0" borderId="2" xfId="0" applyFont="1" applyBorder="1" applyAlignment="1" applyProtection="1">
      <alignment horizontal="left"/>
      <protection hidden="1"/>
    </xf>
    <xf numFmtId="0" fontId="14" fillId="0" borderId="9" xfId="0" applyFont="1" applyBorder="1" applyAlignment="1" applyProtection="1">
      <alignment horizontal="left"/>
      <protection hidden="1"/>
    </xf>
    <xf numFmtId="165" fontId="14" fillId="0" borderId="12" xfId="0" applyNumberFormat="1" applyFont="1" applyBorder="1" applyAlignment="1" applyProtection="1">
      <alignment horizontal="center" wrapText="1"/>
      <protection hidden="1"/>
    </xf>
    <xf numFmtId="0" fontId="21" fillId="0" borderId="123" xfId="0" applyFont="1" applyBorder="1" applyAlignment="1" applyProtection="1">
      <alignment horizontal="right"/>
      <protection hidden="1"/>
    </xf>
    <xf numFmtId="165" fontId="14" fillId="0" borderId="29" xfId="0" applyNumberFormat="1" applyFont="1" applyBorder="1" applyAlignment="1" applyProtection="1">
      <alignment horizontal="center" wrapText="1"/>
      <protection hidden="1"/>
    </xf>
    <xf numFmtId="0" fontId="33" fillId="0" borderId="0" xfId="0" applyFont="1" applyAlignment="1" applyProtection="1">
      <alignment horizontal="right" vertical="center"/>
      <protection hidden="1"/>
    </xf>
    <xf numFmtId="0" fontId="0" fillId="0" borderId="0" xfId="0" applyAlignment="1">
      <alignment vertical="center"/>
    </xf>
    <xf numFmtId="0" fontId="26" fillId="0" borderId="9" xfId="0" applyFont="1" applyBorder="1" applyProtection="1">
      <protection hidden="1"/>
    </xf>
    <xf numFmtId="0" fontId="26" fillId="0" borderId="10" xfId="0" applyFont="1" applyBorder="1" applyProtection="1">
      <protection hidden="1"/>
    </xf>
    <xf numFmtId="0" fontId="26" fillId="0" borderId="11" xfId="0" applyFont="1" applyBorder="1" applyProtection="1">
      <protection hidden="1"/>
    </xf>
    <xf numFmtId="0" fontId="33" fillId="0" borderId="11" xfId="0" applyFont="1" applyBorder="1" applyAlignment="1" applyProtection="1">
      <alignment horizontal="right" vertical="center"/>
      <protection hidden="1"/>
    </xf>
    <xf numFmtId="0" fontId="44" fillId="0" borderId="11" xfId="0" applyFont="1" applyBorder="1" applyAlignment="1" applyProtection="1">
      <alignment horizontal="left"/>
      <protection hidden="1"/>
    </xf>
    <xf numFmtId="0" fontId="0" fillId="0" borderId="11" xfId="0" applyBorder="1"/>
    <xf numFmtId="0" fontId="33" fillId="0" borderId="11" xfId="0" applyFont="1" applyBorder="1" applyAlignment="1" applyProtection="1">
      <alignment horizontal="left"/>
      <protection hidden="1"/>
    </xf>
    <xf numFmtId="0" fontId="26" fillId="0" borderId="2" xfId="0" applyFont="1" applyBorder="1" applyProtection="1">
      <protection hidden="1"/>
    </xf>
    <xf numFmtId="0" fontId="26" fillId="0" borderId="8" xfId="0" applyFont="1" applyBorder="1" applyProtection="1">
      <protection hidden="1"/>
    </xf>
    <xf numFmtId="0" fontId="33" fillId="0" borderId="8" xfId="0" applyFont="1" applyBorder="1" applyAlignment="1" applyProtection="1">
      <alignment horizontal="right" vertical="center"/>
      <protection hidden="1"/>
    </xf>
    <xf numFmtId="0" fontId="26" fillId="0" borderId="11" xfId="0" applyFont="1" applyBorder="1" applyAlignment="1" applyProtection="1">
      <alignment horizontal="center"/>
      <protection hidden="1"/>
    </xf>
    <xf numFmtId="0" fontId="26" fillId="0" borderId="11" xfId="0" applyFont="1" applyBorder="1" applyAlignment="1" applyProtection="1">
      <alignment vertical="center"/>
      <protection hidden="1"/>
    </xf>
    <xf numFmtId="0" fontId="33" fillId="0" borderId="11" xfId="0" applyFont="1" applyBorder="1" applyProtection="1">
      <protection hidden="1"/>
    </xf>
    <xf numFmtId="0" fontId="14" fillId="0" borderId="162" xfId="0" applyFont="1" applyBorder="1" applyAlignment="1">
      <alignment vertical="center"/>
    </xf>
    <xf numFmtId="0" fontId="0" fillId="0" borderId="163" xfId="0" applyBorder="1"/>
    <xf numFmtId="0" fontId="45" fillId="4" borderId="0" xfId="0" applyFont="1" applyFill="1" applyAlignment="1" applyProtection="1">
      <alignment horizontal="right" vertical="center"/>
      <protection hidden="1"/>
    </xf>
    <xf numFmtId="0" fontId="62" fillId="4" borderId="0" xfId="0" applyFont="1" applyFill="1" applyAlignment="1" applyProtection="1">
      <alignment horizontal="right" vertical="center"/>
      <protection hidden="1"/>
    </xf>
    <xf numFmtId="0" fontId="7" fillId="0" borderId="0" xfId="0" applyFont="1" applyAlignment="1">
      <alignment horizontal="center" wrapText="1"/>
    </xf>
    <xf numFmtId="0" fontId="14" fillId="0" borderId="2" xfId="0" applyFont="1" applyBorder="1" applyAlignment="1">
      <alignment horizontal="right"/>
    </xf>
    <xf numFmtId="0" fontId="7" fillId="0" borderId="29" xfId="0" applyFont="1" applyBorder="1" applyAlignment="1">
      <alignment horizontal="center" wrapText="1"/>
    </xf>
    <xf numFmtId="0" fontId="7" fillId="0" borderId="9" xfId="0" applyFont="1" applyBorder="1" applyAlignment="1">
      <alignment horizontal="right"/>
    </xf>
    <xf numFmtId="2" fontId="7" fillId="0" borderId="12" xfId="0" applyNumberFormat="1" applyFont="1" applyBorder="1" applyAlignment="1">
      <alignment horizontal="center" wrapText="1"/>
    </xf>
    <xf numFmtId="0" fontId="7" fillId="0" borderId="12" xfId="0" applyFont="1" applyBorder="1" applyAlignment="1">
      <alignment horizontal="center" wrapText="1"/>
    </xf>
    <xf numFmtId="0" fontId="7" fillId="0" borderId="10" xfId="0" applyFont="1" applyBorder="1" applyAlignment="1">
      <alignment horizontal="right" wrapText="1"/>
    </xf>
    <xf numFmtId="0" fontId="7" fillId="0" borderId="13" xfId="0" applyFont="1" applyBorder="1" applyAlignment="1">
      <alignment horizontal="center" wrapText="1"/>
    </xf>
    <xf numFmtId="0" fontId="7" fillId="0" borderId="2" xfId="0" applyFont="1" applyBorder="1" applyAlignment="1">
      <alignment horizontal="right" wrapText="1"/>
    </xf>
    <xf numFmtId="0" fontId="7" fillId="0" borderId="0" xfId="0" applyFont="1" applyAlignment="1">
      <alignment horizontal="right" wrapText="1"/>
    </xf>
    <xf numFmtId="0" fontId="14" fillId="0" borderId="2" xfId="0" applyFont="1" applyBorder="1" applyAlignment="1">
      <alignment horizontal="right" wrapText="1"/>
    </xf>
    <xf numFmtId="0" fontId="14" fillId="0" borderId="8" xfId="0" applyFont="1" applyBorder="1" applyAlignment="1">
      <alignment horizontal="center"/>
    </xf>
    <xf numFmtId="0" fontId="14" fillId="0" borderId="8" xfId="0" applyFont="1" applyBorder="1" applyAlignment="1">
      <alignment horizontal="center" wrapText="1"/>
    </xf>
    <xf numFmtId="0" fontId="7" fillId="0" borderId="9" xfId="0" applyFont="1" applyBorder="1" applyAlignment="1">
      <alignment horizontal="right" wrapText="1"/>
    </xf>
    <xf numFmtId="0" fontId="14" fillId="0" borderId="9" xfId="0" applyFont="1" applyBorder="1" applyAlignment="1">
      <alignment horizontal="right"/>
    </xf>
    <xf numFmtId="165" fontId="7" fillId="0" borderId="0" xfId="0" applyNumberFormat="1" applyFont="1" applyAlignment="1">
      <alignment horizontal="center" wrapText="1"/>
    </xf>
    <xf numFmtId="165" fontId="7" fillId="0" borderId="11" xfId="0" applyNumberFormat="1" applyFont="1" applyBorder="1" applyAlignment="1">
      <alignment horizontal="center" wrapText="1"/>
    </xf>
    <xf numFmtId="0" fontId="7" fillId="0" borderId="0" xfId="0" applyFont="1" applyAlignment="1">
      <alignment horizontal="right"/>
    </xf>
    <xf numFmtId="0" fontId="14" fillId="0" borderId="29" xfId="0" applyFont="1" applyBorder="1" applyAlignment="1">
      <alignment horizontal="center" wrapText="1"/>
    </xf>
    <xf numFmtId="165" fontId="7" fillId="0" borderId="12" xfId="0" applyNumberFormat="1" applyFont="1" applyBorder="1" applyAlignment="1">
      <alignment horizontal="center" wrapText="1"/>
    </xf>
    <xf numFmtId="165" fontId="7" fillId="0" borderId="13" xfId="0" applyNumberFormat="1" applyFont="1" applyBorder="1" applyAlignment="1">
      <alignment horizontal="center" wrapText="1"/>
    </xf>
    <xf numFmtId="0" fontId="62" fillId="4" borderId="0" xfId="0" applyFont="1" applyFill="1" applyAlignment="1" applyProtection="1">
      <alignment horizontal="right" vertical="center" wrapText="1"/>
      <protection hidden="1"/>
    </xf>
    <xf numFmtId="0" fontId="15" fillId="0" borderId="0" xfId="0" applyFont="1" applyAlignment="1">
      <alignment horizontal="left"/>
    </xf>
    <xf numFmtId="0" fontId="14" fillId="0" borderId="2" xfId="0" applyFont="1" applyBorder="1" applyAlignment="1" applyProtection="1">
      <alignment horizontal="center" wrapText="1"/>
      <protection hidden="1"/>
    </xf>
    <xf numFmtId="0" fontId="7" fillId="0" borderId="13" xfId="0" applyFont="1" applyBorder="1" applyAlignment="1">
      <alignment horizontal="center" vertical="center" wrapText="1"/>
    </xf>
    <xf numFmtId="0" fontId="29" fillId="0" borderId="0" xfId="0" applyFont="1" applyAlignment="1">
      <alignment wrapText="1"/>
    </xf>
    <xf numFmtId="0" fontId="14" fillId="0" borderId="2" xfId="0" applyFont="1" applyBorder="1" applyAlignment="1" applyProtection="1">
      <alignment horizontal="centerContinuous" wrapText="1"/>
      <protection hidden="1"/>
    </xf>
    <xf numFmtId="0" fontId="0" fillId="0" borderId="8" xfId="0" applyBorder="1" applyAlignment="1" applyProtection="1">
      <alignment horizontal="centerContinuous" wrapText="1"/>
      <protection hidden="1"/>
    </xf>
    <xf numFmtId="165" fontId="14" fillId="0" borderId="11" xfId="0" applyNumberFormat="1" applyFont="1" applyBorder="1" applyAlignment="1" applyProtection="1">
      <alignment horizontal="center" wrapText="1"/>
      <protection hidden="1"/>
    </xf>
    <xf numFmtId="165" fontId="14" fillId="0" borderId="0" xfId="0" applyNumberFormat="1" applyFont="1" applyAlignment="1" applyProtection="1">
      <alignment horizontal="center" wrapText="1"/>
      <protection hidden="1"/>
    </xf>
    <xf numFmtId="0" fontId="0" fillId="0" borderId="8" xfId="0" applyBorder="1" applyAlignment="1" applyProtection="1">
      <alignment horizontal="center" wrapText="1"/>
      <protection hidden="1"/>
    </xf>
    <xf numFmtId="0" fontId="7" fillId="0" borderId="9" xfId="0" applyFont="1" applyBorder="1"/>
    <xf numFmtId="0" fontId="14" fillId="0" borderId="10" xfId="0" applyFont="1" applyBorder="1" applyAlignment="1">
      <alignment horizontal="right"/>
    </xf>
    <xf numFmtId="165" fontId="14" fillId="0" borderId="11" xfId="0" applyNumberFormat="1" applyFont="1" applyBorder="1" applyAlignment="1">
      <alignment horizontal="center" wrapText="1"/>
    </xf>
    <xf numFmtId="0" fontId="14" fillId="0" borderId="179" xfId="0" applyFont="1" applyBorder="1" applyAlignment="1" applyProtection="1">
      <alignment horizontal="left"/>
      <protection hidden="1"/>
    </xf>
    <xf numFmtId="165" fontId="7" fillId="0" borderId="90" xfId="0" applyNumberFormat="1" applyFont="1" applyBorder="1" applyAlignment="1" applyProtection="1">
      <alignment horizontal="center" wrapText="1"/>
      <protection hidden="1"/>
    </xf>
    <xf numFmtId="165" fontId="7" fillId="0" borderId="180" xfId="0" applyNumberFormat="1" applyFont="1" applyBorder="1" applyAlignment="1" applyProtection="1">
      <alignment horizontal="center" wrapText="1"/>
      <protection hidden="1"/>
    </xf>
    <xf numFmtId="0" fontId="14" fillId="0" borderId="68" xfId="0" applyFont="1" applyBorder="1" applyAlignment="1" applyProtection="1">
      <alignment horizontal="right"/>
      <protection hidden="1"/>
    </xf>
    <xf numFmtId="0" fontId="14" fillId="0" borderId="75" xfId="0" applyFont="1" applyBorder="1" applyAlignment="1" applyProtection="1">
      <alignment horizontal="left"/>
      <protection hidden="1"/>
    </xf>
    <xf numFmtId="165" fontId="7" fillId="0" borderId="15" xfId="0" applyNumberFormat="1" applyFont="1" applyBorder="1" applyAlignment="1" applyProtection="1">
      <alignment horizontal="center" wrapText="1"/>
      <protection hidden="1"/>
    </xf>
    <xf numFmtId="165" fontId="14" fillId="0" borderId="29" xfId="0" applyNumberFormat="1" applyFont="1" applyBorder="1" applyAlignment="1">
      <alignment horizontal="center" wrapText="1"/>
    </xf>
    <xf numFmtId="0" fontId="33" fillId="5" borderId="9" xfId="0" applyFont="1" applyFill="1" applyBorder="1" applyAlignment="1" applyProtection="1">
      <alignment horizontal="center" vertical="center" wrapText="1"/>
      <protection hidden="1"/>
    </xf>
    <xf numFmtId="165" fontId="33" fillId="5" borderId="9" xfId="0" applyNumberFormat="1" applyFont="1" applyFill="1" applyBorder="1" applyAlignment="1" applyProtection="1">
      <alignment horizontal="center"/>
      <protection hidden="1"/>
    </xf>
    <xf numFmtId="0" fontId="3" fillId="0" borderId="0" xfId="0" applyFont="1" applyAlignment="1" applyProtection="1">
      <alignment horizontal="right"/>
      <protection hidden="1"/>
    </xf>
    <xf numFmtId="0" fontId="26" fillId="0" borderId="0" xfId="0" applyFont="1" applyAlignment="1" applyProtection="1">
      <alignment horizontal="center"/>
      <protection hidden="1"/>
    </xf>
    <xf numFmtId="0" fontId="0" fillId="0" borderId="181" xfId="0" applyBorder="1"/>
    <xf numFmtId="0" fontId="0" fillId="0" borderId="129" xfId="0" applyBorder="1"/>
    <xf numFmtId="0" fontId="14" fillId="0" borderId="182" xfId="0" applyFont="1" applyBorder="1" applyAlignment="1">
      <alignment horizontal="right" vertical="center"/>
    </xf>
    <xf numFmtId="0" fontId="23" fillId="0" borderId="0" xfId="0" applyFont="1" applyAlignment="1" applyProtection="1">
      <alignment horizontal="centerContinuous" vertical="center"/>
      <protection hidden="1"/>
    </xf>
    <xf numFmtId="0" fontId="19" fillId="0" borderId="0" xfId="0" applyFont="1" applyAlignment="1">
      <alignment wrapText="1"/>
    </xf>
    <xf numFmtId="0" fontId="14" fillId="0" borderId="13" xfId="0" applyFont="1" applyBorder="1" applyAlignment="1" applyProtection="1">
      <alignment horizontal="center" wrapText="1"/>
      <protection hidden="1"/>
    </xf>
    <xf numFmtId="165" fontId="14" fillId="0" borderId="5" xfId="0" applyNumberFormat="1" applyFont="1" applyBorder="1" applyAlignment="1" applyProtection="1">
      <alignment horizontal="center" wrapText="1"/>
      <protection hidden="1"/>
    </xf>
    <xf numFmtId="165" fontId="14" fillId="0" borderId="46" xfId="0" applyNumberFormat="1" applyFont="1" applyBorder="1" applyAlignment="1" applyProtection="1">
      <alignment horizontal="center" wrapText="1"/>
      <protection hidden="1"/>
    </xf>
    <xf numFmtId="0" fontId="29" fillId="0" borderId="0" xfId="0" applyFont="1" applyAlignment="1">
      <alignment horizontal="center" wrapText="1"/>
    </xf>
    <xf numFmtId="165" fontId="14" fillId="0" borderId="8" xfId="0" applyNumberFormat="1" applyFont="1" applyBorder="1" applyAlignment="1" applyProtection="1">
      <alignment horizontal="center" wrapText="1"/>
      <protection hidden="1"/>
    </xf>
    <xf numFmtId="165" fontId="14" fillId="0" borderId="11" xfId="0" applyNumberFormat="1" applyFont="1" applyBorder="1" applyAlignment="1">
      <alignment horizontal="center"/>
    </xf>
    <xf numFmtId="0" fontId="54" fillId="0" borderId="0" xfId="0" applyFont="1" applyAlignment="1">
      <alignment horizontal="center" wrapText="1"/>
    </xf>
    <xf numFmtId="0" fontId="19" fillId="0" borderId="11" xfId="0" applyFont="1" applyBorder="1" applyProtection="1">
      <protection hidden="1"/>
    </xf>
    <xf numFmtId="0" fontId="21" fillId="0" borderId="11" xfId="0" applyFont="1" applyBorder="1" applyAlignment="1" applyProtection="1">
      <alignment horizontal="right"/>
      <protection hidden="1"/>
    </xf>
    <xf numFmtId="0" fontId="19" fillId="0" borderId="0" xfId="0" applyFont="1" applyAlignment="1" applyProtection="1">
      <alignment horizontal="centerContinuous" wrapText="1"/>
      <protection hidden="1"/>
    </xf>
    <xf numFmtId="0" fontId="69" fillId="0" borderId="0" xfId="0" applyFont="1" applyProtection="1">
      <protection hidden="1"/>
    </xf>
    <xf numFmtId="0" fontId="19" fillId="6" borderId="2" xfId="0" applyFont="1" applyFill="1" applyBorder="1" applyProtection="1">
      <protection hidden="1"/>
    </xf>
    <xf numFmtId="0" fontId="21" fillId="6" borderId="8" xfId="0" applyFont="1" applyFill="1" applyBorder="1" applyAlignment="1" applyProtection="1">
      <alignment horizontal="right"/>
      <protection hidden="1"/>
    </xf>
    <xf numFmtId="0" fontId="19" fillId="0" borderId="9" xfId="0" applyFont="1" applyBorder="1" applyAlignment="1" applyProtection="1">
      <alignment horizontal="left" wrapText="1"/>
      <protection locked="0"/>
    </xf>
    <xf numFmtId="0" fontId="19" fillId="0" borderId="0" xfId="0" applyFont="1" applyAlignment="1" applyProtection="1">
      <alignment vertical="top"/>
      <protection hidden="1"/>
    </xf>
    <xf numFmtId="0" fontId="19" fillId="6" borderId="9" xfId="0" applyFont="1" applyFill="1" applyBorder="1" applyProtection="1">
      <protection hidden="1"/>
    </xf>
    <xf numFmtId="0" fontId="21" fillId="6" borderId="0" xfId="0" applyFont="1" applyFill="1" applyAlignment="1" applyProtection="1">
      <alignment horizontal="right"/>
      <protection hidden="1"/>
    </xf>
    <xf numFmtId="0" fontId="19" fillId="0" borderId="9" xfId="0" applyFont="1" applyBorder="1" applyAlignment="1" applyProtection="1">
      <alignment horizontal="left" vertical="top" wrapText="1"/>
      <protection locked="0"/>
    </xf>
    <xf numFmtId="0" fontId="19" fillId="0" borderId="0" xfId="0" applyFont="1" applyAlignment="1" applyProtection="1">
      <alignment horizontal="left" vertical="top"/>
      <protection hidden="1"/>
    </xf>
    <xf numFmtId="0" fontId="19" fillId="6" borderId="0" xfId="0" applyFont="1" applyFill="1" applyAlignment="1" applyProtection="1">
      <alignment horizontal="left"/>
      <protection locked="0"/>
    </xf>
    <xf numFmtId="0" fontId="19" fillId="0" borderId="9" xfId="0" applyFont="1" applyBorder="1" applyAlignment="1" applyProtection="1">
      <alignment horizontal="left"/>
      <protection locked="0"/>
    </xf>
    <xf numFmtId="0" fontId="19" fillId="6" borderId="10" xfId="0" applyFont="1" applyFill="1" applyBorder="1" applyProtection="1">
      <protection hidden="1"/>
    </xf>
    <xf numFmtId="0" fontId="21" fillId="6" borderId="11" xfId="0" applyFont="1" applyFill="1" applyBorder="1" applyAlignment="1" applyProtection="1">
      <alignment horizontal="right"/>
      <protection hidden="1"/>
    </xf>
    <xf numFmtId="0" fontId="19" fillId="6" borderId="11" xfId="0" applyFont="1" applyFill="1" applyBorder="1" applyAlignment="1" applyProtection="1">
      <alignment horizontal="left"/>
      <protection locked="0"/>
    </xf>
    <xf numFmtId="0" fontId="19" fillId="0" borderId="0" xfId="0" applyFont="1" applyAlignment="1" applyProtection="1">
      <alignment horizontal="left"/>
      <protection hidden="1"/>
    </xf>
    <xf numFmtId="0" fontId="19" fillId="0" borderId="65" xfId="0" applyFont="1" applyBorder="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9" fillId="0" borderId="141" xfId="0" applyFont="1" applyBorder="1" applyAlignment="1" applyProtection="1">
      <alignment horizontal="center" vertical="center" wrapText="1"/>
      <protection hidden="1"/>
    </xf>
    <xf numFmtId="0" fontId="19" fillId="0" borderId="82" xfId="0" applyFont="1" applyBorder="1" applyAlignment="1" applyProtection="1">
      <alignment horizontal="center" vertical="center" wrapText="1"/>
      <protection hidden="1"/>
    </xf>
    <xf numFmtId="0" fontId="19" fillId="0" borderId="181" xfId="0" applyFont="1" applyBorder="1" applyProtection="1">
      <protection hidden="1"/>
    </xf>
    <xf numFmtId="0" fontId="19" fillId="0" borderId="129" xfId="0" applyFont="1" applyBorder="1" applyProtection="1">
      <protection hidden="1"/>
    </xf>
    <xf numFmtId="0" fontId="21" fillId="0" borderId="129" xfId="0" applyFont="1" applyBorder="1" applyAlignment="1" applyProtection="1">
      <alignment horizontal="right"/>
      <protection hidden="1"/>
    </xf>
    <xf numFmtId="0" fontId="19" fillId="0" borderId="9" xfId="0" applyFont="1" applyBorder="1" applyAlignment="1" applyProtection="1">
      <alignment horizontal="centerContinuous"/>
      <protection hidden="1"/>
    </xf>
    <xf numFmtId="0" fontId="21" fillId="0" borderId="0" xfId="0" applyFont="1" applyAlignment="1" applyProtection="1">
      <alignment horizontal="right"/>
      <protection hidden="1"/>
    </xf>
    <xf numFmtId="2" fontId="21" fillId="0" borderId="0" xfId="0" applyNumberFormat="1" applyFont="1" applyProtection="1">
      <protection hidden="1"/>
    </xf>
    <xf numFmtId="0" fontId="19" fillId="0" borderId="0" xfId="0" applyFont="1" applyAlignment="1" applyProtection="1">
      <alignment horizontal="right"/>
      <protection hidden="1"/>
    </xf>
    <xf numFmtId="0" fontId="19" fillId="0" borderId="12" xfId="0" applyFont="1" applyBorder="1" applyAlignment="1" applyProtection="1">
      <alignment horizontal="center"/>
      <protection hidden="1"/>
    </xf>
    <xf numFmtId="0" fontId="19" fillId="0" borderId="11" xfId="0" applyFont="1" applyBorder="1" applyAlignment="1" applyProtection="1">
      <alignment horizontal="right"/>
      <protection hidden="1"/>
    </xf>
    <xf numFmtId="0" fontId="19" fillId="0" borderId="13" xfId="0" applyFont="1" applyBorder="1" applyAlignment="1" applyProtection="1">
      <alignment horizontal="center"/>
      <protection hidden="1"/>
    </xf>
    <xf numFmtId="0" fontId="21" fillId="0" borderId="20" xfId="0" applyFont="1" applyBorder="1" applyAlignment="1" applyProtection="1">
      <alignment horizontal="center"/>
      <protection hidden="1"/>
    </xf>
    <xf numFmtId="0" fontId="21" fillId="0" borderId="0" xfId="0" applyFont="1" applyAlignment="1">
      <alignment horizontal="center" vertical="center"/>
    </xf>
    <xf numFmtId="0" fontId="19" fillId="0" borderId="23" xfId="0" applyFont="1" applyBorder="1" applyAlignment="1" applyProtection="1">
      <alignment horizontal="center"/>
      <protection hidden="1"/>
    </xf>
    <xf numFmtId="165" fontId="19" fillId="0" borderId="23" xfId="0" applyNumberFormat="1" applyFont="1" applyBorder="1" applyAlignment="1" applyProtection="1">
      <alignment horizontal="center"/>
      <protection hidden="1"/>
    </xf>
    <xf numFmtId="165" fontId="19" fillId="0" borderId="0" xfId="0" applyNumberFormat="1" applyFont="1" applyAlignment="1" applyProtection="1">
      <alignment horizontal="center"/>
      <protection hidden="1"/>
    </xf>
    <xf numFmtId="0" fontId="19" fillId="0" borderId="27" xfId="0" applyFont="1" applyBorder="1" applyAlignment="1" applyProtection="1">
      <alignment horizontal="center" vertical="center"/>
      <protection hidden="1"/>
    </xf>
    <xf numFmtId="0" fontId="19" fillId="0" borderId="0" xfId="0" applyFont="1" applyAlignment="1">
      <alignment horizontal="center" vertical="center"/>
    </xf>
    <xf numFmtId="0" fontId="19" fillId="0" borderId="142" xfId="0" applyFont="1" applyBorder="1" applyProtection="1">
      <protection hidden="1"/>
    </xf>
    <xf numFmtId="0" fontId="19" fillId="0" borderId="77" xfId="0" applyFont="1" applyBorder="1" applyProtection="1">
      <protection hidden="1"/>
    </xf>
    <xf numFmtId="0" fontId="21" fillId="0" borderId="77" xfId="0" applyFont="1" applyBorder="1" applyAlignment="1" applyProtection="1">
      <alignment horizontal="right"/>
      <protection hidden="1"/>
    </xf>
    <xf numFmtId="0" fontId="19" fillId="0" borderId="137" xfId="0" applyFont="1" applyBorder="1" applyAlignment="1" applyProtection="1">
      <alignment horizontal="center"/>
      <protection hidden="1"/>
    </xf>
    <xf numFmtId="165" fontId="19" fillId="0" borderId="137" xfId="0" applyNumberFormat="1" applyFont="1" applyBorder="1" applyAlignment="1" applyProtection="1">
      <alignment horizontal="center"/>
      <protection hidden="1"/>
    </xf>
    <xf numFmtId="165" fontId="19" fillId="0" borderId="125" xfId="0" applyNumberFormat="1" applyFont="1" applyBorder="1" applyAlignment="1" applyProtection="1">
      <alignment horizontal="center"/>
      <protection hidden="1"/>
    </xf>
    <xf numFmtId="0" fontId="19" fillId="0" borderId="136" xfId="0" applyFont="1" applyBorder="1" applyAlignment="1" applyProtection="1">
      <alignment horizontal="center" vertical="center"/>
      <protection hidden="1"/>
    </xf>
    <xf numFmtId="165" fontId="19" fillId="0" borderId="59" xfId="0" applyNumberFormat="1" applyFont="1" applyBorder="1" applyAlignment="1" applyProtection="1">
      <alignment horizontal="center"/>
      <protection hidden="1"/>
    </xf>
    <xf numFmtId="0" fontId="19" fillId="0" borderId="0" xfId="0" applyFont="1" applyAlignment="1" applyProtection="1">
      <alignment horizontal="center" vertical="center"/>
      <protection hidden="1"/>
    </xf>
    <xf numFmtId="0" fontId="19" fillId="0" borderId="149" xfId="0" applyFont="1" applyBorder="1" applyProtection="1">
      <protection hidden="1"/>
    </xf>
    <xf numFmtId="0" fontId="19" fillId="0" borderId="123" xfId="0" applyFont="1" applyBorder="1" applyProtection="1">
      <protection hidden="1"/>
    </xf>
    <xf numFmtId="0" fontId="21" fillId="0" borderId="123" xfId="0" applyFont="1" applyBorder="1" applyAlignment="1" applyProtection="1">
      <alignment horizontal="center"/>
      <protection hidden="1"/>
    </xf>
    <xf numFmtId="165" fontId="21" fillId="0" borderId="123" xfId="0" applyNumberFormat="1" applyFont="1" applyBorder="1" applyAlignment="1" applyProtection="1">
      <alignment horizontal="center"/>
      <protection hidden="1"/>
    </xf>
    <xf numFmtId="165" fontId="21" fillId="0" borderId="123" xfId="0" applyNumberFormat="1" applyFont="1" applyBorder="1" applyAlignment="1" applyProtection="1">
      <alignment horizontal="left"/>
      <protection hidden="1"/>
    </xf>
    <xf numFmtId="0" fontId="19" fillId="0" borderId="151" xfId="0" applyFont="1" applyBorder="1" applyAlignment="1" applyProtection="1">
      <alignment vertical="center"/>
      <protection hidden="1"/>
    </xf>
    <xf numFmtId="0" fontId="19" fillId="0" borderId="0" xfId="0" applyFont="1" applyAlignment="1" applyProtection="1">
      <alignment vertical="center"/>
      <protection hidden="1"/>
    </xf>
    <xf numFmtId="0" fontId="21" fillId="0" borderId="11" xfId="0" applyFont="1" applyBorder="1" applyAlignment="1" applyProtection="1">
      <alignment horizontal="left"/>
      <protection hidden="1"/>
    </xf>
    <xf numFmtId="165" fontId="21" fillId="0" borderId="11" xfId="0" applyNumberFormat="1" applyFont="1" applyBorder="1" applyAlignment="1" applyProtection="1">
      <alignment horizontal="left"/>
      <protection hidden="1"/>
    </xf>
    <xf numFmtId="0" fontId="19" fillId="0" borderId="13" xfId="0" applyFont="1" applyBorder="1" applyAlignment="1" applyProtection="1">
      <alignment vertical="center"/>
      <protection hidden="1"/>
    </xf>
    <xf numFmtId="0" fontId="21" fillId="0" borderId="57" xfId="0" applyFont="1" applyBorder="1" applyProtection="1">
      <protection hidden="1"/>
    </xf>
    <xf numFmtId="0" fontId="19" fillId="0" borderId="145" xfId="0" applyFont="1" applyBorder="1" applyAlignment="1" applyProtection="1">
      <alignment horizontal="center"/>
      <protection hidden="1"/>
    </xf>
    <xf numFmtId="0" fontId="19" fillId="0" borderId="145" xfId="0" applyFont="1" applyBorder="1" applyProtection="1">
      <protection hidden="1"/>
    </xf>
    <xf numFmtId="165" fontId="21" fillId="0" borderId="11" xfId="0" applyNumberFormat="1" applyFont="1" applyBorder="1" applyAlignment="1" applyProtection="1">
      <alignment horizontal="center"/>
      <protection hidden="1"/>
    </xf>
    <xf numFmtId="0" fontId="19" fillId="0" borderId="171" xfId="0" applyFont="1" applyBorder="1" applyAlignment="1" applyProtection="1">
      <alignment horizontal="center"/>
      <protection hidden="1"/>
    </xf>
    <xf numFmtId="165" fontId="19" fillId="0" borderId="171" xfId="0" applyNumberFormat="1" applyFont="1" applyBorder="1" applyAlignment="1" applyProtection="1">
      <alignment horizontal="center"/>
      <protection hidden="1"/>
    </xf>
    <xf numFmtId="0" fontId="19" fillId="0" borderId="143" xfId="0" applyFont="1" applyBorder="1" applyAlignment="1" applyProtection="1">
      <alignment horizontal="center"/>
      <protection hidden="1"/>
    </xf>
    <xf numFmtId="0" fontId="19" fillId="0" borderId="0" xfId="0" applyFont="1" applyAlignment="1" applyProtection="1">
      <alignment wrapText="1"/>
      <protection hidden="1"/>
    </xf>
    <xf numFmtId="0" fontId="19" fillId="6" borderId="8" xfId="0" applyFont="1" applyFill="1" applyBorder="1" applyAlignment="1" applyProtection="1">
      <alignment horizontal="left"/>
      <protection locked="0"/>
    </xf>
    <xf numFmtId="0" fontId="19" fillId="6" borderId="0" xfId="0" applyFont="1" applyFill="1" applyAlignment="1" applyProtection="1">
      <alignment horizontal="left" vertical="top"/>
      <protection locked="0"/>
    </xf>
    <xf numFmtId="0" fontId="47" fillId="0" borderId="0" xfId="0" applyFont="1"/>
    <xf numFmtId="0" fontId="21" fillId="0" borderId="0" xfId="0" applyFont="1" applyAlignment="1" applyProtection="1">
      <alignment horizontal="right" vertical="center" wrapText="1"/>
      <protection hidden="1"/>
    </xf>
    <xf numFmtId="0" fontId="28" fillId="0" borderId="0" xfId="0" applyFont="1"/>
    <xf numFmtId="0" fontId="70" fillId="0" borderId="0" xfId="0" applyFont="1" applyAlignment="1" applyProtection="1">
      <alignment horizontal="center"/>
      <protection hidden="1"/>
    </xf>
    <xf numFmtId="0" fontId="28" fillId="0" borderId="0" xfId="0" applyFont="1" applyAlignment="1" applyProtection="1">
      <alignment horizontal="left"/>
      <protection hidden="1"/>
    </xf>
    <xf numFmtId="0" fontId="28" fillId="0" borderId="0" xfId="0" applyFont="1" applyProtection="1">
      <protection hidden="1"/>
    </xf>
    <xf numFmtId="0" fontId="21" fillId="0" borderId="0" xfId="0" applyFont="1" applyAlignment="1">
      <alignment horizontal="centerContinuous" wrapText="1"/>
    </xf>
    <xf numFmtId="0" fontId="28" fillId="0" borderId="0" xfId="0" applyFont="1" applyAlignment="1">
      <alignment horizontal="centerContinuous"/>
    </xf>
    <xf numFmtId="0" fontId="22" fillId="0" borderId="0" xfId="0" applyFont="1"/>
    <xf numFmtId="0" fontId="53" fillId="0" borderId="0" xfId="0" applyFont="1" applyAlignment="1" applyProtection="1">
      <alignment horizontal="center" wrapText="1"/>
      <protection hidden="1"/>
    </xf>
    <xf numFmtId="0" fontId="19" fillId="0" borderId="0" xfId="0" applyFont="1" applyAlignment="1">
      <alignment horizontal="centerContinuous"/>
    </xf>
    <xf numFmtId="0" fontId="21" fillId="0" borderId="0" xfId="0" applyFont="1" applyAlignment="1">
      <alignment wrapText="1"/>
    </xf>
    <xf numFmtId="0" fontId="72" fillId="0" borderId="0" xfId="0" applyFont="1" applyAlignment="1" applyProtection="1">
      <alignment horizontal="centerContinuous" wrapText="1"/>
      <protection hidden="1"/>
    </xf>
    <xf numFmtId="0" fontId="19" fillId="0" borderId="123" xfId="0" applyFont="1" applyBorder="1" applyAlignment="1" applyProtection="1">
      <alignment horizontal="right"/>
      <protection hidden="1"/>
    </xf>
    <xf numFmtId="0" fontId="19" fillId="0" borderId="151" xfId="0" applyFont="1" applyBorder="1" applyAlignment="1" applyProtection="1">
      <alignment horizontal="center"/>
      <protection hidden="1"/>
    </xf>
    <xf numFmtId="0" fontId="0" fillId="3" borderId="0" xfId="0" applyFill="1" applyAlignment="1" applyProtection="1">
      <alignment vertical="top" wrapText="1"/>
      <protection hidden="1"/>
    </xf>
    <xf numFmtId="0" fontId="19" fillId="0" borderId="27" xfId="0" applyFont="1" applyBorder="1" applyAlignment="1" applyProtection="1">
      <alignment horizontal="center"/>
      <protection hidden="1"/>
    </xf>
    <xf numFmtId="0" fontId="19" fillId="0" borderId="11" xfId="0" applyFont="1" applyBorder="1" applyAlignment="1" applyProtection="1">
      <alignment horizontal="center"/>
      <protection hidden="1"/>
    </xf>
    <xf numFmtId="0" fontId="3" fillId="2" borderId="0" xfId="0" applyFont="1" applyFill="1" applyAlignment="1">
      <alignment horizontal="center"/>
    </xf>
    <xf numFmtId="165" fontId="3" fillId="2" borderId="0" xfId="0" applyNumberFormat="1" applyFont="1" applyFill="1" applyAlignment="1" applyProtection="1">
      <alignment horizontal="center"/>
      <protection hidden="1"/>
    </xf>
    <xf numFmtId="165" fontId="3" fillId="8" borderId="0" xfId="0" applyNumberFormat="1" applyFont="1" applyFill="1" applyAlignment="1" applyProtection="1">
      <alignment horizontal="center"/>
      <protection hidden="1"/>
    </xf>
    <xf numFmtId="0" fontId="7" fillId="2" borderId="0" xfId="0" applyFont="1" applyFill="1" applyAlignment="1" applyProtection="1">
      <alignment horizontal="left"/>
      <protection hidden="1"/>
    </xf>
    <xf numFmtId="49" fontId="3" fillId="2" borderId="0" xfId="0" applyNumberFormat="1" applyFont="1" applyFill="1" applyProtection="1">
      <protection hidden="1"/>
    </xf>
    <xf numFmtId="0" fontId="19" fillId="9" borderId="9" xfId="0" applyFont="1" applyFill="1" applyBorder="1" applyProtection="1">
      <protection hidden="1"/>
    </xf>
    <xf numFmtId="0" fontId="19" fillId="9" borderId="0" xfId="0" applyFont="1" applyFill="1" applyProtection="1">
      <protection hidden="1"/>
    </xf>
    <xf numFmtId="0" fontId="19" fillId="9" borderId="12" xfId="0" applyFont="1" applyFill="1" applyBorder="1" applyProtection="1">
      <protection hidden="1"/>
    </xf>
    <xf numFmtId="0" fontId="28" fillId="0" borderId="0" xfId="0" applyFont="1" applyAlignment="1" applyProtection="1">
      <alignment horizontal="center" vertical="top"/>
      <protection hidden="1"/>
    </xf>
    <xf numFmtId="0" fontId="49" fillId="0" borderId="0" xfId="0" applyFont="1" applyAlignment="1">
      <alignment horizontal="center" vertical="top"/>
    </xf>
    <xf numFmtId="0" fontId="61" fillId="0" borderId="20" xfId="0" applyFont="1" applyBorder="1" applyAlignment="1" applyProtection="1">
      <alignment horizontal="center" wrapText="1"/>
      <protection hidden="1"/>
    </xf>
    <xf numFmtId="0" fontId="28" fillId="0" borderId="0" xfId="0" applyFont="1" applyAlignment="1" applyProtection="1">
      <alignment vertical="top"/>
      <protection hidden="1"/>
    </xf>
    <xf numFmtId="0" fontId="61" fillId="0" borderId="107" xfId="0" applyFont="1" applyBorder="1" applyAlignment="1" applyProtection="1">
      <alignment horizontal="center" vertical="center" wrapText="1"/>
      <protection hidden="1"/>
    </xf>
    <xf numFmtId="0" fontId="33" fillId="0" borderId="0" xfId="0" applyFont="1" applyProtection="1">
      <protection hidden="1"/>
    </xf>
    <xf numFmtId="0" fontId="2" fillId="0" borderId="11" xfId="0" applyFont="1" applyBorder="1"/>
    <xf numFmtId="1" fontId="3" fillId="5" borderId="0" xfId="0" applyNumberFormat="1" applyFont="1" applyFill="1" applyAlignment="1" applyProtection="1">
      <alignment horizontal="center"/>
      <protection hidden="1"/>
    </xf>
    <xf numFmtId="0" fontId="7" fillId="0" borderId="0" xfId="0" applyFont="1" applyAlignment="1" applyProtection="1">
      <alignment wrapText="1"/>
      <protection hidden="1"/>
    </xf>
    <xf numFmtId="0" fontId="4" fillId="0" borderId="0" xfId="0" applyFont="1" applyAlignment="1" applyProtection="1">
      <alignment horizontal="center"/>
      <protection hidden="1"/>
    </xf>
    <xf numFmtId="0" fontId="21" fillId="0" borderId="20" xfId="0" applyFont="1" applyBorder="1" applyAlignment="1" applyProtection="1">
      <alignment horizontal="center" wrapText="1"/>
      <protection hidden="1"/>
    </xf>
    <xf numFmtId="0" fontId="0" fillId="4" borderId="0" xfId="0" applyFill="1" applyProtection="1">
      <protection hidden="1"/>
    </xf>
    <xf numFmtId="0" fontId="0" fillId="4" borderId="9" xfId="0" applyFill="1" applyBorder="1" applyProtection="1">
      <protection hidden="1"/>
    </xf>
    <xf numFmtId="0" fontId="26" fillId="4" borderId="0" xfId="0" applyFont="1" applyFill="1" applyAlignment="1" applyProtection="1">
      <alignment horizontal="center" vertical="top" wrapText="1"/>
      <protection hidden="1"/>
    </xf>
    <xf numFmtId="0" fontId="22" fillId="0" borderId="0" xfId="0" applyFont="1" applyAlignment="1" applyProtection="1">
      <alignment horizontal="centerContinuous" vertical="center" wrapText="1"/>
      <protection hidden="1"/>
    </xf>
    <xf numFmtId="165" fontId="42" fillId="9" borderId="0" xfId="0" applyNumberFormat="1" applyFont="1" applyFill="1" applyAlignment="1" applyProtection="1">
      <alignment horizontal="left" vertical="center"/>
      <protection hidden="1"/>
    </xf>
    <xf numFmtId="0" fontId="0" fillId="0" borderId="12" xfId="0" applyBorder="1" applyProtection="1">
      <protection hidden="1"/>
    </xf>
    <xf numFmtId="0" fontId="25" fillId="0" borderId="9" xfId="0" applyFont="1" applyBorder="1" applyProtection="1">
      <protection hidden="1"/>
    </xf>
    <xf numFmtId="0" fontId="25" fillId="0" borderId="0" xfId="0" applyFont="1" applyProtection="1">
      <protection hidden="1"/>
    </xf>
    <xf numFmtId="0" fontId="28" fillId="0" borderId="0" xfId="0" applyFont="1" applyAlignment="1">
      <alignment vertical="center"/>
    </xf>
    <xf numFmtId="11" fontId="3" fillId="8" borderId="0" xfId="0" applyNumberFormat="1" applyFont="1" applyFill="1" applyAlignment="1">
      <alignment horizontal="center"/>
    </xf>
    <xf numFmtId="0" fontId="2" fillId="2" borderId="0" xfId="0" applyFont="1" applyFill="1" applyAlignment="1" applyProtection="1">
      <alignment horizontal="left"/>
      <protection hidden="1"/>
    </xf>
    <xf numFmtId="166" fontId="3" fillId="0" borderId="0" xfId="0" applyNumberFormat="1" applyFont="1" applyAlignment="1" applyProtection="1">
      <alignment horizontal="center"/>
      <protection hidden="1"/>
    </xf>
    <xf numFmtId="166" fontId="56" fillId="0" borderId="0" xfId="0" applyNumberFormat="1" applyFont="1" applyAlignment="1" applyProtection="1">
      <alignment horizontal="left"/>
      <protection hidden="1"/>
    </xf>
    <xf numFmtId="166" fontId="14" fillId="0" borderId="0" xfId="0" applyNumberFormat="1" applyFont="1" applyAlignment="1">
      <alignment horizontal="left"/>
    </xf>
    <xf numFmtId="166" fontId="14" fillId="0" borderId="0" xfId="0" applyNumberFormat="1" applyFont="1" applyProtection="1">
      <protection hidden="1"/>
    </xf>
    <xf numFmtId="166" fontId="19" fillId="0" borderId="0" xfId="0" applyNumberFormat="1" applyFont="1" applyProtection="1">
      <protection hidden="1"/>
    </xf>
    <xf numFmtId="166" fontId="7" fillId="0" borderId="0" xfId="0" applyNumberFormat="1" applyFont="1" applyAlignment="1">
      <alignment horizontal="left"/>
    </xf>
    <xf numFmtId="166" fontId="49" fillId="0" borderId="0" xfId="0" applyNumberFormat="1" applyFont="1" applyAlignment="1" applyProtection="1">
      <alignment wrapText="1"/>
      <protection hidden="1"/>
    </xf>
    <xf numFmtId="166" fontId="3" fillId="8" borderId="0" xfId="0" applyNumberFormat="1" applyFont="1" applyFill="1" applyAlignment="1" applyProtection="1">
      <alignment horizontal="center"/>
      <protection hidden="1"/>
    </xf>
    <xf numFmtId="166" fontId="4" fillId="0" borderId="0" xfId="0" applyNumberFormat="1" applyFont="1" applyAlignment="1" applyProtection="1">
      <alignment horizontal="left"/>
      <protection hidden="1"/>
    </xf>
    <xf numFmtId="166" fontId="3" fillId="0" borderId="0" xfId="0" applyNumberFormat="1" applyFont="1" applyProtection="1">
      <protection hidden="1"/>
    </xf>
    <xf numFmtId="166" fontId="4" fillId="0" borderId="0" xfId="0" applyNumberFormat="1" applyFont="1" applyProtection="1">
      <protection hidden="1"/>
    </xf>
    <xf numFmtId="166" fontId="3" fillId="0" borderId="0" xfId="0" applyNumberFormat="1" applyFont="1" applyAlignment="1" applyProtection="1">
      <alignment horizontal="left"/>
      <protection hidden="1"/>
    </xf>
    <xf numFmtId="166" fontId="7" fillId="0" borderId="0" xfId="0" applyNumberFormat="1" applyFont="1" applyProtection="1">
      <protection hidden="1"/>
    </xf>
    <xf numFmtId="0" fontId="2" fillId="0" borderId="0" xfId="0" applyFont="1" applyAlignment="1" applyProtection="1">
      <alignment horizontal="left"/>
      <protection hidden="1"/>
    </xf>
    <xf numFmtId="49" fontId="2" fillId="0" borderId="0" xfId="0" applyNumberFormat="1" applyFont="1" applyAlignment="1" applyProtection="1">
      <alignment horizontal="left"/>
      <protection hidden="1"/>
    </xf>
    <xf numFmtId="49" fontId="3" fillId="10" borderId="0" xfId="0" applyNumberFormat="1" applyFont="1" applyFill="1" applyProtection="1">
      <protection hidden="1"/>
    </xf>
    <xf numFmtId="0" fontId="2" fillId="10" borderId="0" xfId="0" applyFont="1" applyFill="1" applyAlignment="1" applyProtection="1">
      <alignment horizontal="left"/>
      <protection hidden="1"/>
    </xf>
    <xf numFmtId="165" fontId="21" fillId="11" borderId="120" xfId="0" applyNumberFormat="1" applyFont="1" applyFill="1" applyBorder="1" applyAlignment="1" applyProtection="1">
      <alignment horizontal="left" vertical="center" wrapText="1"/>
      <protection hidden="1"/>
    </xf>
    <xf numFmtId="0" fontId="49" fillId="0" borderId="0" xfId="0" applyFont="1" applyAlignment="1">
      <alignment wrapText="1"/>
    </xf>
    <xf numFmtId="0" fontId="25" fillId="0" borderId="0" xfId="0" applyFont="1" applyAlignment="1">
      <alignment wrapText="1"/>
    </xf>
    <xf numFmtId="0" fontId="0" fillId="0" borderId="0" xfId="0" applyAlignment="1" applyProtection="1">
      <alignment vertical="center" wrapText="1"/>
      <protection hidden="1"/>
    </xf>
    <xf numFmtId="0" fontId="21" fillId="3" borderId="0" xfId="0" applyFont="1" applyFill="1" applyAlignment="1" applyProtection="1">
      <alignment horizontal="center" wrapText="1"/>
      <protection hidden="1"/>
    </xf>
    <xf numFmtId="0" fontId="14" fillId="0" borderId="0" xfId="0" applyFont="1" applyAlignment="1" applyProtection="1">
      <alignment horizontal="center" wrapText="1"/>
      <protection hidden="1"/>
    </xf>
    <xf numFmtId="0" fontId="2" fillId="0" borderId="0" xfId="0" applyFont="1" applyAlignment="1" applyProtection="1">
      <alignment wrapText="1"/>
      <protection hidden="1"/>
    </xf>
    <xf numFmtId="0" fontId="2" fillId="0" borderId="0" xfId="0" applyFont="1"/>
    <xf numFmtId="0" fontId="2" fillId="0" borderId="0" xfId="0" applyFont="1" applyProtection="1">
      <protection hidden="1"/>
    </xf>
    <xf numFmtId="0" fontId="84" fillId="0" borderId="201" xfId="0" applyFont="1" applyBorder="1" applyAlignment="1">
      <alignment vertical="center" wrapText="1"/>
    </xf>
    <xf numFmtId="0" fontId="25" fillId="10" borderId="8" xfId="0" applyFont="1" applyFill="1" applyBorder="1" applyAlignment="1" applyProtection="1">
      <alignment wrapText="1"/>
      <protection hidden="1"/>
    </xf>
    <xf numFmtId="0" fontId="25" fillId="10" borderId="12" xfId="0" applyFont="1" applyFill="1" applyBorder="1" applyAlignment="1" applyProtection="1">
      <alignment wrapText="1"/>
      <protection hidden="1"/>
    </xf>
    <xf numFmtId="0" fontId="25" fillId="10" borderId="0" xfId="0" applyFont="1" applyFill="1" applyAlignment="1" applyProtection="1">
      <alignment wrapText="1"/>
      <protection hidden="1"/>
    </xf>
    <xf numFmtId="0" fontId="25" fillId="10" borderId="9" xfId="0" applyFont="1" applyFill="1" applyBorder="1" applyAlignment="1" applyProtection="1">
      <alignment wrapText="1"/>
      <protection hidden="1"/>
    </xf>
    <xf numFmtId="0" fontId="5" fillId="0" borderId="0" xfId="0" applyFont="1" applyProtection="1">
      <protection hidden="1"/>
    </xf>
    <xf numFmtId="165" fontId="34" fillId="0" borderId="0" xfId="0" applyNumberFormat="1" applyFont="1" applyAlignment="1">
      <alignment horizontal="left" vertical="center"/>
    </xf>
    <xf numFmtId="0" fontId="34" fillId="0" borderId="0" xfId="0" applyFont="1" applyAlignment="1" applyProtection="1">
      <alignment horizontal="left"/>
      <protection hidden="1"/>
    </xf>
    <xf numFmtId="165" fontId="34" fillId="0" borderId="0" xfId="0" applyNumberFormat="1" applyFont="1" applyAlignment="1">
      <alignment horizontal="left"/>
    </xf>
    <xf numFmtId="0" fontId="2" fillId="0" borderId="0" xfId="0" applyFont="1" applyAlignment="1" applyProtection="1">
      <alignment horizontal="center" wrapText="1"/>
      <protection hidden="1"/>
    </xf>
    <xf numFmtId="49" fontId="84" fillId="0" borderId="201" xfId="0" applyNumberFormat="1" applyFont="1" applyBorder="1" applyAlignment="1">
      <alignment vertical="center" wrapText="1"/>
    </xf>
    <xf numFmtId="49" fontId="3" fillId="0" borderId="0" xfId="0" applyNumberFormat="1" applyFont="1" applyAlignment="1">
      <alignment horizontal="left" vertical="center"/>
    </xf>
    <xf numFmtId="49" fontId="79" fillId="0" borderId="202" xfId="0" applyNumberFormat="1" applyFont="1" applyBorder="1" applyAlignment="1">
      <alignment horizontal="left" wrapText="1"/>
    </xf>
    <xf numFmtId="49" fontId="84" fillId="0" borderId="203" xfId="0" applyNumberFormat="1" applyFont="1" applyBorder="1" applyAlignment="1">
      <alignment vertical="center" wrapText="1"/>
    </xf>
    <xf numFmtId="0" fontId="2" fillId="10" borderId="0" xfId="0" applyFont="1" applyFill="1" applyAlignment="1" applyProtection="1">
      <alignment horizontal="center" wrapText="1"/>
      <protection hidden="1"/>
    </xf>
    <xf numFmtId="0" fontId="14" fillId="12" borderId="0" xfId="0" applyFont="1" applyFill="1" applyAlignment="1">
      <alignment wrapText="1"/>
    </xf>
    <xf numFmtId="0" fontId="14" fillId="11" borderId="0" xfId="0" applyFont="1" applyFill="1" applyAlignment="1">
      <alignment wrapText="1"/>
    </xf>
    <xf numFmtId="0" fontId="21" fillId="11" borderId="0" xfId="0" applyFont="1" applyFill="1" applyAlignment="1" applyProtection="1">
      <alignment horizontal="centerContinuous"/>
      <protection hidden="1"/>
    </xf>
    <xf numFmtId="49" fontId="0" fillId="12" borderId="0" xfId="0" applyNumberFormat="1" applyFill="1" applyAlignment="1">
      <alignment horizontal="left" wrapText="1"/>
    </xf>
    <xf numFmtId="49" fontId="0" fillId="12" borderId="0" xfId="0" applyNumberFormat="1" applyFill="1" applyAlignment="1">
      <alignment wrapText="1"/>
    </xf>
    <xf numFmtId="0" fontId="2" fillId="0" borderId="0" xfId="0" applyFont="1" applyAlignment="1">
      <alignment wrapText="1"/>
    </xf>
    <xf numFmtId="0" fontId="0" fillId="0" borderId="12" xfId="0" applyBorder="1"/>
    <xf numFmtId="0" fontId="0" fillId="0" borderId="0" xfId="0" applyAlignment="1">
      <alignment horizontal="left" wrapText="1"/>
    </xf>
    <xf numFmtId="0" fontId="16" fillId="0" borderId="0" xfId="0" applyFont="1" applyAlignment="1">
      <alignment horizontal="centerContinuous" wrapText="1"/>
    </xf>
    <xf numFmtId="0" fontId="3" fillId="0" borderId="0" xfId="0" applyFont="1" applyAlignment="1">
      <alignment horizontal="centerContinuous"/>
    </xf>
    <xf numFmtId="165" fontId="3" fillId="0" borderId="0" xfId="0" applyNumberFormat="1" applyFont="1" applyAlignment="1">
      <alignment horizontal="centerContinuous"/>
    </xf>
    <xf numFmtId="165" fontId="4" fillId="0" borderId="112" xfId="0" applyNumberFormat="1" applyFont="1" applyBorder="1" applyAlignment="1">
      <alignment horizontal="centerContinuous"/>
    </xf>
    <xf numFmtId="165" fontId="4" fillId="0" borderId="64" xfId="0" applyNumberFormat="1" applyFont="1" applyBorder="1" applyAlignment="1">
      <alignment horizontal="centerContinuous"/>
    </xf>
    <xf numFmtId="165" fontId="64" fillId="0" borderId="75" xfId="0" applyNumberFormat="1" applyFont="1" applyBorder="1" applyAlignment="1">
      <alignment horizontal="centerContinuous"/>
    </xf>
    <xf numFmtId="165" fontId="4" fillId="0" borderId="105" xfId="0" applyNumberFormat="1" applyFont="1" applyBorder="1" applyAlignment="1">
      <alignment horizontal="centerContinuous"/>
    </xf>
    <xf numFmtId="0" fontId="4" fillId="0" borderId="75" xfId="0" applyFont="1" applyBorder="1"/>
    <xf numFmtId="165" fontId="8" fillId="0" borderId="75" xfId="0" applyNumberFormat="1" applyFont="1" applyBorder="1" applyAlignment="1">
      <alignment horizontal="center" wrapText="1"/>
    </xf>
    <xf numFmtId="165" fontId="8" fillId="0" borderId="165" xfId="0" applyNumberFormat="1" applyFont="1" applyBorder="1" applyAlignment="1">
      <alignment horizontal="center" wrapText="1"/>
    </xf>
    <xf numFmtId="165" fontId="8" fillId="0" borderId="112" xfId="0" applyNumberFormat="1" applyFont="1" applyBorder="1" applyAlignment="1">
      <alignment horizontal="center" wrapText="1"/>
    </xf>
    <xf numFmtId="165" fontId="8" fillId="0" borderId="64" xfId="0" applyNumberFormat="1" applyFont="1" applyBorder="1" applyAlignment="1">
      <alignment horizontal="center" wrapText="1"/>
    </xf>
    <xf numFmtId="49" fontId="3" fillId="0" borderId="25" xfId="0" applyNumberFormat="1" applyFont="1" applyBorder="1"/>
    <xf numFmtId="165" fontId="3" fillId="0" borderId="164" xfId="0" applyNumberFormat="1" applyFont="1" applyBorder="1" applyAlignment="1">
      <alignment horizontal="center"/>
    </xf>
    <xf numFmtId="165" fontId="3" fillId="0" borderId="157" xfId="0" applyNumberFormat="1" applyFont="1" applyBorder="1" applyAlignment="1">
      <alignment horizontal="center"/>
    </xf>
    <xf numFmtId="165" fontId="3" fillId="0" borderId="98" xfId="0" applyNumberFormat="1" applyFont="1" applyBorder="1" applyAlignment="1">
      <alignment horizontal="center"/>
    </xf>
    <xf numFmtId="49" fontId="3" fillId="0" borderId="1" xfId="0" applyNumberFormat="1" applyFont="1" applyBorder="1"/>
    <xf numFmtId="165" fontId="3" fillId="0" borderId="138" xfId="0" applyNumberFormat="1" applyFont="1" applyBorder="1" applyAlignment="1">
      <alignment horizontal="center"/>
    </xf>
    <xf numFmtId="165" fontId="3" fillId="0" borderId="89" xfId="0" applyNumberFormat="1" applyFont="1" applyBorder="1" applyAlignment="1">
      <alignment horizontal="center"/>
    </xf>
    <xf numFmtId="165" fontId="3" fillId="0" borderId="65" xfId="0" applyNumberFormat="1" applyFont="1" applyBorder="1" applyAlignment="1">
      <alignment horizontal="center"/>
    </xf>
    <xf numFmtId="0" fontId="3" fillId="0" borderId="1" xfId="0" applyFont="1" applyBorder="1" applyAlignment="1">
      <alignment horizontal="left" vertical="center"/>
    </xf>
    <xf numFmtId="49" fontId="3" fillId="0" borderId="200" xfId="0" applyNumberFormat="1" applyFont="1" applyBorder="1"/>
    <xf numFmtId="49" fontId="3" fillId="0" borderId="142" xfId="0" applyNumberFormat="1" applyFont="1" applyBorder="1"/>
    <xf numFmtId="49" fontId="3" fillId="0" borderId="1" xfId="0" applyNumberFormat="1" applyFont="1" applyBorder="1" applyAlignment="1">
      <alignment wrapText="1"/>
    </xf>
    <xf numFmtId="49" fontId="3" fillId="0" borderId="16" xfId="0" applyNumberFormat="1" applyFont="1" applyBorder="1"/>
    <xf numFmtId="165" fontId="3" fillId="0" borderId="139" xfId="0" applyNumberFormat="1" applyFont="1" applyBorder="1" applyAlignment="1">
      <alignment horizontal="center"/>
    </xf>
    <xf numFmtId="165" fontId="3" fillId="0" borderId="132" xfId="0" applyNumberFormat="1" applyFont="1" applyBorder="1" applyAlignment="1">
      <alignment horizontal="center"/>
    </xf>
    <xf numFmtId="165" fontId="3" fillId="0" borderId="82" xfId="0" applyNumberFormat="1" applyFont="1" applyBorder="1" applyAlignment="1">
      <alignment horizontal="center"/>
    </xf>
    <xf numFmtId="49" fontId="3" fillId="0" borderId="2" xfId="0" applyNumberFormat="1" applyFont="1" applyBorder="1"/>
    <xf numFmtId="0" fontId="3" fillId="0" borderId="8" xfId="0" applyFont="1" applyBorder="1"/>
    <xf numFmtId="165" fontId="3" fillId="0" borderId="8" xfId="0" applyNumberFormat="1" applyFont="1" applyBorder="1" applyAlignment="1">
      <alignment horizontal="center"/>
    </xf>
    <xf numFmtId="165" fontId="3" fillId="0" borderId="29" xfId="0" applyNumberFormat="1" applyFont="1" applyBorder="1" applyAlignment="1">
      <alignment horizontal="center"/>
    </xf>
    <xf numFmtId="49" fontId="4" fillId="0" borderId="9" xfId="0" applyNumberFormat="1" applyFont="1" applyBorder="1"/>
    <xf numFmtId="165" fontId="3" fillId="0" borderId="0" xfId="0" applyNumberFormat="1" applyFont="1" applyAlignment="1">
      <alignment horizontal="center"/>
    </xf>
    <xf numFmtId="165" fontId="3" fillId="0" borderId="12" xfId="0" applyNumberFormat="1" applyFont="1" applyBorder="1" applyAlignment="1">
      <alignment horizontal="center"/>
    </xf>
    <xf numFmtId="0" fontId="3" fillId="0" borderId="9" xfId="0" applyFont="1" applyBorder="1" applyAlignment="1">
      <alignment wrapText="1"/>
    </xf>
    <xf numFmtId="0" fontId="0" fillId="0" borderId="12" xfId="0" applyBorder="1" applyAlignment="1">
      <alignment wrapText="1"/>
    </xf>
    <xf numFmtId="49" fontId="3" fillId="0" borderId="9" xfId="0" applyNumberFormat="1" applyFont="1" applyBorder="1"/>
    <xf numFmtId="49" fontId="3" fillId="0" borderId="12" xfId="0" applyNumberFormat="1" applyFont="1" applyBorder="1"/>
    <xf numFmtId="165" fontId="3" fillId="0" borderId="0" xfId="0" applyNumberFormat="1" applyFont="1"/>
    <xf numFmtId="0" fontId="3" fillId="0" borderId="9" xfId="0" applyFont="1" applyBorder="1" applyAlignment="1">
      <alignment horizontal="left"/>
    </xf>
    <xf numFmtId="165" fontId="3" fillId="0" borderId="12" xfId="0" applyNumberFormat="1" applyFont="1" applyBorder="1"/>
    <xf numFmtId="165" fontId="4" fillId="0" borderId="166" xfId="0" applyNumberFormat="1" applyFont="1" applyBorder="1" applyAlignment="1">
      <alignment horizontal="centerContinuous"/>
    </xf>
    <xf numFmtId="165" fontId="8" fillId="0" borderId="3" xfId="0" applyNumberFormat="1" applyFont="1" applyBorder="1" applyAlignment="1">
      <alignment horizontal="center" wrapText="1"/>
    </xf>
    <xf numFmtId="165" fontId="8" fillId="0" borderId="80" xfId="0" applyNumberFormat="1" applyFont="1" applyBorder="1" applyAlignment="1">
      <alignment horizontal="center" wrapText="1"/>
    </xf>
    <xf numFmtId="0" fontId="3" fillId="0" borderId="11" xfId="0" applyFont="1" applyBorder="1"/>
    <xf numFmtId="165" fontId="4" fillId="0" borderId="112" xfId="0" applyNumberFormat="1" applyFont="1" applyBorder="1" applyAlignment="1">
      <alignment horizontal="centerContinuous" wrapText="1"/>
    </xf>
    <xf numFmtId="165" fontId="4" fillId="0" borderId="109" xfId="0" applyNumberFormat="1" applyFont="1" applyBorder="1" applyAlignment="1">
      <alignment horizontal="centerContinuous"/>
    </xf>
    <xf numFmtId="165" fontId="8" fillId="0" borderId="80" xfId="0" applyNumberFormat="1" applyFont="1" applyBorder="1" applyAlignment="1">
      <alignment horizontal="centerContinuous" wrapText="1"/>
    </xf>
    <xf numFmtId="165" fontId="4" fillId="0" borderId="26" xfId="0" applyNumberFormat="1" applyFont="1" applyBorder="1" applyAlignment="1">
      <alignment horizontal="centerContinuous"/>
    </xf>
    <xf numFmtId="165" fontId="8" fillId="0" borderId="84" xfId="0" applyNumberFormat="1" applyFont="1" applyBorder="1" applyAlignment="1">
      <alignment horizontal="center" wrapText="1"/>
    </xf>
    <xf numFmtId="165" fontId="4" fillId="0" borderId="42" xfId="0" applyNumberFormat="1" applyFont="1" applyBorder="1" applyAlignment="1">
      <alignment horizontal="center" wrapText="1"/>
    </xf>
    <xf numFmtId="165" fontId="4" fillId="0" borderId="85" xfId="0" applyNumberFormat="1" applyFont="1" applyBorder="1" applyAlignment="1">
      <alignment horizontal="center" wrapText="1"/>
    </xf>
    <xf numFmtId="0" fontId="3" fillId="0" borderId="152" xfId="0" applyFont="1" applyBorder="1" applyAlignment="1">
      <alignment horizontal="center"/>
    </xf>
    <xf numFmtId="0" fontId="3" fillId="0" borderId="153" xfId="0" applyFont="1" applyBorder="1" applyAlignment="1">
      <alignment horizontal="center"/>
    </xf>
    <xf numFmtId="165" fontId="3" fillId="0" borderId="152" xfId="0" applyNumberFormat="1" applyFont="1" applyBorder="1" applyAlignment="1">
      <alignment horizontal="center"/>
    </xf>
    <xf numFmtId="165" fontId="3" fillId="0" borderId="158" xfId="0" applyNumberFormat="1" applyFont="1" applyBorder="1" applyAlignment="1">
      <alignment horizontal="center"/>
    </xf>
    <xf numFmtId="0" fontId="3" fillId="0" borderId="130" xfId="0" applyFont="1" applyBorder="1" applyAlignment="1">
      <alignment horizontal="center"/>
    </xf>
    <xf numFmtId="0" fontId="3" fillId="0" borderId="49" xfId="0" applyFont="1" applyBorder="1" applyAlignment="1">
      <alignment horizontal="center"/>
    </xf>
    <xf numFmtId="165" fontId="3" fillId="0" borderId="130" xfId="0" applyNumberFormat="1" applyFont="1" applyBorder="1" applyAlignment="1">
      <alignment horizontal="center"/>
    </xf>
    <xf numFmtId="165" fontId="3" fillId="0" borderId="48" xfId="0" applyNumberFormat="1" applyFont="1" applyBorder="1" applyAlignment="1">
      <alignment horizontal="center"/>
    </xf>
    <xf numFmtId="49" fontId="3" fillId="0" borderId="94" xfId="0" applyNumberFormat="1" applyFont="1" applyBorder="1"/>
    <xf numFmtId="0" fontId="3" fillId="0" borderId="37" xfId="0" applyFont="1" applyBorder="1" applyAlignment="1">
      <alignment horizontal="center"/>
    </xf>
    <xf numFmtId="0" fontId="3" fillId="0" borderId="48" xfId="0" applyFont="1" applyBorder="1" applyAlignment="1">
      <alignment horizontal="center" wrapText="1"/>
    </xf>
    <xf numFmtId="0" fontId="3" fillId="0" borderId="133" xfId="0" applyFont="1" applyBorder="1" applyAlignment="1">
      <alignment horizontal="center" wrapText="1"/>
    </xf>
    <xf numFmtId="0" fontId="3" fillId="0" borderId="51" xfId="0" applyFont="1" applyBorder="1" applyAlignment="1">
      <alignment horizontal="center"/>
    </xf>
    <xf numFmtId="0" fontId="3" fillId="0" borderId="115" xfId="0" applyFont="1" applyBorder="1" applyAlignment="1">
      <alignment horizontal="center"/>
    </xf>
    <xf numFmtId="165" fontId="3" fillId="0" borderId="51" xfId="0" applyNumberFormat="1" applyFont="1" applyBorder="1" applyAlignment="1">
      <alignment horizontal="center"/>
    </xf>
    <xf numFmtId="49" fontId="4" fillId="0" borderId="0" xfId="0" applyNumberFormat="1" applyFont="1"/>
    <xf numFmtId="165" fontId="4" fillId="0" borderId="30" xfId="0" applyNumberFormat="1" applyFont="1" applyBorder="1" applyAlignment="1">
      <alignment horizontal="centerContinuous" wrapText="1"/>
    </xf>
    <xf numFmtId="165" fontId="8" fillId="0" borderId="42" xfId="0" applyNumberFormat="1" applyFont="1" applyBorder="1" applyAlignment="1">
      <alignment horizontal="center" wrapText="1"/>
    </xf>
    <xf numFmtId="165" fontId="8" fillId="0" borderId="85" xfId="0" applyNumberFormat="1" applyFont="1" applyBorder="1" applyAlignment="1">
      <alignment horizontal="center" wrapText="1"/>
    </xf>
    <xf numFmtId="49" fontId="3" fillId="0" borderId="148" xfId="0" applyNumberFormat="1" applyFont="1" applyBorder="1"/>
    <xf numFmtId="0" fontId="3" fillId="0" borderId="94" xfId="0" applyFont="1" applyBorder="1" applyAlignment="1">
      <alignment horizontal="left" vertical="center"/>
    </xf>
    <xf numFmtId="49" fontId="3" fillId="0" borderId="6" xfId="0" applyNumberFormat="1" applyFont="1" applyBorder="1"/>
    <xf numFmtId="0" fontId="0" fillId="0" borderId="9" xfId="0" applyBorder="1" applyAlignment="1">
      <alignment wrapText="1"/>
    </xf>
    <xf numFmtId="0" fontId="3" fillId="0" borderId="0" xfId="0" applyFont="1" applyAlignment="1">
      <alignment horizontal="center"/>
    </xf>
    <xf numFmtId="0" fontId="4" fillId="0" borderId="80" xfId="0" applyFont="1" applyBorder="1" applyAlignment="1">
      <alignment horizontal="center" wrapText="1"/>
    </xf>
    <xf numFmtId="165" fontId="4" fillId="0" borderId="64" xfId="0" applyNumberFormat="1" applyFont="1" applyBorder="1" applyAlignment="1">
      <alignment horizontal="center" wrapText="1"/>
    </xf>
    <xf numFmtId="165" fontId="3" fillId="0" borderId="33" xfId="0" applyNumberFormat="1" applyFont="1" applyBorder="1" applyAlignment="1">
      <alignment horizontal="center"/>
    </xf>
    <xf numFmtId="165" fontId="3" fillId="0" borderId="180" xfId="0" applyNumberFormat="1" applyFont="1" applyBorder="1" applyAlignment="1">
      <alignment horizontal="center"/>
    </xf>
    <xf numFmtId="165" fontId="3" fillId="0" borderId="60" xfId="0" applyNumberFormat="1" applyFont="1" applyBorder="1" applyAlignment="1">
      <alignment horizontal="center"/>
    </xf>
    <xf numFmtId="49" fontId="3" fillId="0" borderId="1" xfId="0" applyNumberFormat="1" applyFont="1" applyBorder="1" applyProtection="1">
      <protection hidden="1"/>
    </xf>
    <xf numFmtId="165" fontId="3" fillId="0" borderId="62" xfId="0" applyNumberFormat="1" applyFont="1" applyBorder="1" applyAlignment="1">
      <alignment horizontal="center"/>
    </xf>
    <xf numFmtId="49" fontId="4" fillId="0" borderId="2" xfId="0" applyNumberFormat="1" applyFont="1" applyBorder="1"/>
    <xf numFmtId="49" fontId="4" fillId="0" borderId="8" xfId="0" applyNumberFormat="1" applyFont="1" applyBorder="1" applyAlignment="1">
      <alignment horizontal="center"/>
    </xf>
    <xf numFmtId="165" fontId="3" fillId="0" borderId="29" xfId="0" applyNumberFormat="1" applyFont="1" applyBorder="1"/>
    <xf numFmtId="0" fontId="3" fillId="0" borderId="0" xfId="0" applyFont="1" applyAlignment="1">
      <alignment wrapText="1"/>
    </xf>
    <xf numFmtId="165" fontId="4" fillId="0" borderId="0" xfId="0" applyNumberFormat="1" applyFont="1" applyAlignment="1">
      <alignment horizontal="centerContinuous"/>
    </xf>
    <xf numFmtId="0" fontId="4" fillId="0" borderId="0" xfId="0" applyFont="1" applyAlignment="1">
      <alignment horizontal="centerContinuous"/>
    </xf>
    <xf numFmtId="1" fontId="7" fillId="0" borderId="0" xfId="0" applyNumberFormat="1" applyFont="1" applyAlignment="1">
      <alignment horizontal="center"/>
    </xf>
    <xf numFmtId="0" fontId="3" fillId="0" borderId="13" xfId="0" applyFont="1" applyBorder="1"/>
    <xf numFmtId="165" fontId="4" fillId="0" borderId="75" xfId="0" applyNumberFormat="1" applyFont="1" applyBorder="1" applyAlignment="1">
      <alignment horizontal="centerContinuous"/>
    </xf>
    <xf numFmtId="165" fontId="10" fillId="0" borderId="15" xfId="0" applyNumberFormat="1" applyFont="1" applyBorder="1" applyAlignment="1">
      <alignment horizontal="centerContinuous"/>
    </xf>
    <xf numFmtId="165" fontId="3" fillId="0" borderId="15" xfId="0" applyNumberFormat="1" applyFont="1" applyBorder="1" applyAlignment="1">
      <alignment horizontal="centerContinuous"/>
    </xf>
    <xf numFmtId="0" fontId="3" fillId="0" borderId="15" xfId="0" applyFont="1" applyBorder="1" applyAlignment="1">
      <alignment horizontal="centerContinuous"/>
    </xf>
    <xf numFmtId="165" fontId="3" fillId="0" borderId="64" xfId="0" applyNumberFormat="1" applyFont="1" applyBorder="1" applyAlignment="1">
      <alignment horizontal="centerContinuous"/>
    </xf>
    <xf numFmtId="0" fontId="4" fillId="0" borderId="9" xfId="0" applyFont="1" applyBorder="1"/>
    <xf numFmtId="165" fontId="4" fillId="0" borderId="99" xfId="0" applyNumberFormat="1" applyFont="1" applyBorder="1" applyAlignment="1">
      <alignment horizontal="center"/>
    </xf>
    <xf numFmtId="165" fontId="4" fillId="0" borderId="173" xfId="0" applyNumberFormat="1" applyFont="1" applyBorder="1" applyAlignment="1">
      <alignment horizontal="center"/>
    </xf>
    <xf numFmtId="165" fontId="8" fillId="0" borderId="46" xfId="0" applyNumberFormat="1" applyFont="1" applyBorder="1" applyAlignment="1">
      <alignment horizontal="centerContinuous" vertical="center"/>
    </xf>
    <xf numFmtId="165" fontId="4" fillId="0" borderId="174" xfId="0" applyNumberFormat="1" applyFont="1" applyBorder="1" applyAlignment="1">
      <alignment horizontal="centerContinuous" vertical="center"/>
    </xf>
    <xf numFmtId="165" fontId="4" fillId="0" borderId="175" xfId="0" applyNumberFormat="1" applyFont="1" applyBorder="1" applyAlignment="1">
      <alignment horizontal="centerContinuous" wrapText="1"/>
    </xf>
    <xf numFmtId="165" fontId="4" fillId="0" borderId="39" xfId="0" applyNumberFormat="1" applyFont="1" applyBorder="1"/>
    <xf numFmtId="165" fontId="4" fillId="0" borderId="155" xfId="0" applyNumberFormat="1" applyFont="1" applyBorder="1" applyAlignment="1">
      <alignment horizontal="centerContinuous" wrapText="1"/>
    </xf>
    <xf numFmtId="165" fontId="4" fillId="0" borderId="40" xfId="0" applyNumberFormat="1" applyFont="1" applyBorder="1" applyAlignment="1">
      <alignment horizontal="center" wrapText="1"/>
    </xf>
    <xf numFmtId="165" fontId="4" fillId="0" borderId="159" xfId="0" applyNumberFormat="1" applyFont="1" applyBorder="1" applyAlignment="1">
      <alignment horizontal="center" wrapText="1"/>
    </xf>
    <xf numFmtId="165" fontId="4" fillId="0" borderId="174" xfId="0" applyNumberFormat="1" applyFont="1" applyBorder="1"/>
    <xf numFmtId="165" fontId="4" fillId="0" borderId="176" xfId="0" applyNumberFormat="1" applyFont="1" applyBorder="1" applyAlignment="1">
      <alignment horizontal="center"/>
    </xf>
    <xf numFmtId="0" fontId="4" fillId="0" borderId="101" xfId="0" applyFont="1" applyBorder="1" applyAlignment="1">
      <alignment horizontal="center"/>
    </xf>
    <xf numFmtId="0" fontId="4" fillId="0" borderId="101" xfId="0" applyFont="1" applyBorder="1" applyAlignment="1">
      <alignment horizontal="center" wrapText="1"/>
    </xf>
    <xf numFmtId="165" fontId="4" fillId="0" borderId="86" xfId="0" applyNumberFormat="1" applyFont="1" applyBorder="1" applyAlignment="1">
      <alignment horizontal="center"/>
    </xf>
    <xf numFmtId="165" fontId="4" fillId="0" borderId="76" xfId="0" applyNumberFormat="1" applyFont="1" applyBorder="1" applyAlignment="1">
      <alignment horizontal="center"/>
    </xf>
    <xf numFmtId="165" fontId="4" fillId="0" borderId="5" xfId="0" applyNumberFormat="1" applyFont="1" applyBorder="1" applyAlignment="1">
      <alignment horizontal="center" vertical="center" wrapText="1"/>
    </xf>
    <xf numFmtId="165" fontId="3" fillId="0" borderId="161" xfId="0" applyNumberFormat="1" applyFont="1" applyBorder="1" applyAlignment="1">
      <alignment horizontal="center"/>
    </xf>
    <xf numFmtId="165" fontId="3" fillId="0" borderId="161" xfId="0" applyNumberFormat="1" applyFont="1" applyBorder="1" applyAlignment="1">
      <alignment horizontal="left"/>
    </xf>
    <xf numFmtId="165" fontId="3" fillId="0" borderId="160" xfId="0" applyNumberFormat="1" applyFont="1" applyBorder="1" applyAlignment="1">
      <alignment horizontal="center"/>
    </xf>
    <xf numFmtId="165" fontId="3" fillId="0" borderId="97" xfId="0" applyNumberFormat="1" applyFont="1" applyBorder="1" applyAlignment="1">
      <alignment horizontal="center"/>
    </xf>
    <xf numFmtId="165" fontId="3" fillId="0" borderId="153" xfId="0" applyNumberFormat="1" applyFont="1" applyBorder="1" applyAlignment="1">
      <alignment horizontal="center"/>
    </xf>
    <xf numFmtId="165" fontId="3" fillId="0" borderId="159" xfId="0" applyNumberFormat="1" applyFont="1" applyBorder="1" applyAlignment="1">
      <alignment horizontal="center"/>
    </xf>
    <xf numFmtId="165" fontId="3" fillId="0" borderId="17" xfId="0" applyNumberFormat="1" applyFont="1" applyBorder="1" applyAlignment="1">
      <alignment horizontal="center"/>
    </xf>
    <xf numFmtId="165" fontId="3" fillId="0" borderId="17" xfId="0" applyNumberFormat="1" applyFont="1" applyBorder="1" applyAlignment="1">
      <alignment horizontal="left"/>
    </xf>
    <xf numFmtId="165" fontId="3" fillId="0" borderId="133" xfId="0" applyNumberFormat="1" applyFont="1" applyBorder="1" applyAlignment="1">
      <alignment horizontal="center"/>
    </xf>
    <xf numFmtId="165" fontId="3" fillId="0" borderId="37" xfId="0" applyNumberFormat="1" applyFont="1" applyBorder="1" applyAlignment="1">
      <alignment horizontal="center"/>
    </xf>
    <xf numFmtId="165" fontId="3" fillId="0" borderId="49" xfId="0" applyNumberFormat="1" applyFont="1" applyBorder="1" applyAlignment="1">
      <alignment horizontal="center"/>
    </xf>
    <xf numFmtId="165" fontId="3" fillId="0" borderId="74" xfId="0" applyNumberFormat="1" applyFont="1" applyBorder="1" applyAlignment="1">
      <alignment horizontal="center"/>
    </xf>
    <xf numFmtId="165" fontId="3" fillId="0" borderId="79" xfId="0" applyNumberFormat="1" applyFont="1" applyBorder="1" applyAlignment="1">
      <alignment horizontal="center"/>
    </xf>
    <xf numFmtId="165" fontId="3" fillId="0" borderId="77" xfId="0" applyNumberFormat="1" applyFont="1" applyBorder="1" applyAlignment="1">
      <alignment horizontal="center"/>
    </xf>
    <xf numFmtId="0" fontId="3" fillId="0" borderId="17" xfId="0" applyFont="1" applyBorder="1" applyAlignment="1">
      <alignment horizontal="center"/>
    </xf>
    <xf numFmtId="165" fontId="4" fillId="0" borderId="74" xfId="0" applyNumberFormat="1" applyFont="1" applyBorder="1" applyAlignment="1">
      <alignment horizontal="center"/>
    </xf>
    <xf numFmtId="165" fontId="3" fillId="0" borderId="18" xfId="0" applyNumberFormat="1" applyFont="1" applyBorder="1" applyAlignment="1">
      <alignment horizontal="center"/>
    </xf>
    <xf numFmtId="165" fontId="3" fillId="0" borderId="113" xfId="0" applyNumberFormat="1" applyFont="1" applyBorder="1" applyAlignment="1">
      <alignment horizontal="center"/>
    </xf>
    <xf numFmtId="0" fontId="3" fillId="0" borderId="18" xfId="0" applyFont="1" applyBorder="1" applyAlignment="1">
      <alignment horizontal="center"/>
    </xf>
    <xf numFmtId="165" fontId="3" fillId="0" borderId="114" xfId="0" applyNumberFormat="1" applyFont="1" applyBorder="1" applyAlignment="1">
      <alignment horizontal="center"/>
    </xf>
    <xf numFmtId="165" fontId="3" fillId="0" borderId="52" xfId="0" applyNumberFormat="1" applyFont="1" applyBorder="1" applyAlignment="1">
      <alignment horizontal="center"/>
    </xf>
    <xf numFmtId="165" fontId="4" fillId="0" borderId="110" xfId="0" applyNumberFormat="1" applyFont="1" applyBorder="1" applyAlignment="1">
      <alignment horizontal="center"/>
    </xf>
    <xf numFmtId="165" fontId="4" fillId="0" borderId="12" xfId="0" applyNumberFormat="1" applyFont="1" applyBorder="1" applyAlignment="1">
      <alignment horizontal="center"/>
    </xf>
    <xf numFmtId="165" fontId="3" fillId="0" borderId="11" xfId="0" applyNumberFormat="1" applyFont="1" applyBorder="1" applyAlignment="1">
      <alignment horizontal="left"/>
    </xf>
    <xf numFmtId="0" fontId="3" fillId="0" borderId="11" xfId="0" applyFont="1" applyBorder="1" applyAlignment="1">
      <alignment horizontal="left"/>
    </xf>
    <xf numFmtId="165" fontId="3" fillId="0" borderId="13" xfId="0" applyNumberFormat="1" applyFont="1" applyBorder="1" applyAlignment="1">
      <alignment horizontal="left"/>
    </xf>
    <xf numFmtId="0" fontId="3" fillId="0" borderId="0" xfId="0" applyFont="1" applyAlignment="1">
      <alignment horizontal="right"/>
    </xf>
    <xf numFmtId="165" fontId="3" fillId="0" borderId="0" xfId="0" applyNumberFormat="1" applyFont="1" applyAlignment="1">
      <alignment horizontal="right"/>
    </xf>
    <xf numFmtId="0" fontId="4" fillId="0" borderId="13" xfId="0" applyFont="1" applyBorder="1"/>
    <xf numFmtId="165" fontId="8" fillId="0" borderId="15" xfId="0" applyNumberFormat="1" applyFont="1" applyBorder="1" applyAlignment="1">
      <alignment horizontal="centerContinuous"/>
    </xf>
    <xf numFmtId="165" fontId="4" fillId="0" borderId="15" xfId="0" applyNumberFormat="1" applyFont="1" applyBorder="1" applyAlignment="1">
      <alignment horizontal="centerContinuous"/>
    </xf>
    <xf numFmtId="0" fontId="4" fillId="0" borderId="15" xfId="0" applyFont="1" applyBorder="1" applyAlignment="1">
      <alignment horizontal="centerContinuous"/>
    </xf>
    <xf numFmtId="0" fontId="4" fillId="0" borderId="0" xfId="0" applyFont="1"/>
    <xf numFmtId="165" fontId="3" fillId="0" borderId="155" xfId="0" applyNumberFormat="1" applyFont="1" applyBorder="1" applyAlignment="1">
      <alignment horizontal="center"/>
    </xf>
    <xf numFmtId="165" fontId="3" fillId="0" borderId="156" xfId="0" applyNumberFormat="1" applyFont="1" applyBorder="1" applyAlignment="1">
      <alignment horizontal="center"/>
    </xf>
    <xf numFmtId="165" fontId="3" fillId="0" borderId="36" xfId="0" applyNumberFormat="1" applyFont="1" applyBorder="1" applyAlignment="1">
      <alignment horizontal="center"/>
    </xf>
    <xf numFmtId="165" fontId="4" fillId="0" borderId="78" xfId="0" applyNumberFormat="1" applyFont="1" applyBorder="1" applyAlignment="1">
      <alignment horizontal="center"/>
    </xf>
    <xf numFmtId="165" fontId="4" fillId="0" borderId="62" xfId="0" applyNumberFormat="1" applyFont="1" applyBorder="1" applyAlignment="1">
      <alignment horizontal="center"/>
    </xf>
    <xf numFmtId="165" fontId="3" fillId="0" borderId="110" xfId="0" applyNumberFormat="1" applyFont="1" applyBorder="1" applyAlignment="1">
      <alignment horizontal="center"/>
    </xf>
    <xf numFmtId="165" fontId="4" fillId="0" borderId="0" xfId="0" applyNumberFormat="1" applyFont="1" applyAlignment="1">
      <alignment horizontal="center"/>
    </xf>
    <xf numFmtId="0" fontId="4" fillId="0" borderId="0" xfId="0" applyFont="1" applyAlignment="1">
      <alignment horizontal="centerContinuous" wrapText="1"/>
    </xf>
    <xf numFmtId="165" fontId="3" fillId="0" borderId="81" xfId="0" applyNumberFormat="1" applyFont="1" applyBorder="1" applyAlignment="1">
      <alignment horizontal="center"/>
    </xf>
    <xf numFmtId="49" fontId="3" fillId="0" borderId="81" xfId="0" applyNumberFormat="1" applyFont="1" applyBorder="1" applyAlignment="1">
      <alignment horizontal="center"/>
    </xf>
    <xf numFmtId="49" fontId="3" fillId="0" borderId="121" xfId="0" applyNumberFormat="1" applyFont="1" applyBorder="1" applyAlignment="1">
      <alignment horizontal="center"/>
    </xf>
    <xf numFmtId="165" fontId="3" fillId="0" borderId="50" xfId="0" applyNumberFormat="1" applyFont="1" applyBorder="1" applyAlignment="1">
      <alignment horizontal="center"/>
    </xf>
    <xf numFmtId="49" fontId="4" fillId="0" borderId="78" xfId="0" applyNumberFormat="1" applyFont="1" applyBorder="1" applyAlignment="1">
      <alignment horizontal="center"/>
    </xf>
    <xf numFmtId="165" fontId="3" fillId="0" borderId="115" xfId="0" applyNumberFormat="1" applyFont="1" applyBorder="1" applyAlignment="1">
      <alignment horizontal="center"/>
    </xf>
    <xf numFmtId="49" fontId="3" fillId="0" borderId="115" xfId="0" applyNumberFormat="1" applyFont="1" applyBorder="1" applyAlignment="1">
      <alignment horizontal="center"/>
    </xf>
    <xf numFmtId="49" fontId="3" fillId="0" borderId="114" xfId="0" applyNumberFormat="1" applyFont="1" applyBorder="1" applyAlignment="1">
      <alignment horizontal="center"/>
    </xf>
    <xf numFmtId="49" fontId="4" fillId="0" borderId="62" xfId="0" applyNumberFormat="1" applyFont="1" applyBorder="1" applyAlignment="1">
      <alignment horizontal="center"/>
    </xf>
    <xf numFmtId="49" fontId="3" fillId="0" borderId="0" xfId="0" applyNumberFormat="1" applyFont="1" applyAlignment="1">
      <alignment horizontal="center"/>
    </xf>
    <xf numFmtId="49" fontId="4" fillId="0" borderId="0" xfId="0" applyNumberFormat="1" applyFont="1" applyAlignment="1">
      <alignment horizontal="center"/>
    </xf>
    <xf numFmtId="49" fontId="3" fillId="0" borderId="12" xfId="0" applyNumberFormat="1" applyFont="1" applyBorder="1" applyAlignment="1">
      <alignment horizontal="center"/>
    </xf>
    <xf numFmtId="165" fontId="3" fillId="0" borderId="0" xfId="0" applyNumberFormat="1" applyFont="1" applyAlignment="1">
      <alignment horizontal="left"/>
    </xf>
    <xf numFmtId="0" fontId="3" fillId="0" borderId="0" xfId="0" applyFont="1" applyAlignment="1">
      <alignment horizontal="left"/>
    </xf>
    <xf numFmtId="165" fontId="3" fillId="0" borderId="12" xfId="0" applyNumberFormat="1" applyFont="1" applyBorder="1" applyAlignment="1">
      <alignment horizontal="left"/>
    </xf>
    <xf numFmtId="165" fontId="3" fillId="0" borderId="11" xfId="0" applyNumberFormat="1" applyFont="1" applyBorder="1"/>
    <xf numFmtId="165" fontId="3" fillId="0" borderId="13" xfId="0" applyNumberFormat="1" applyFont="1" applyBorder="1" applyAlignment="1">
      <alignment horizontal="right"/>
    </xf>
    <xf numFmtId="0" fontId="5" fillId="0" borderId="0" xfId="0" applyFont="1" applyAlignment="1">
      <alignment horizontal="centerContinuous"/>
    </xf>
    <xf numFmtId="11" fontId="3" fillId="0" borderId="0" xfId="0" applyNumberFormat="1" applyFont="1" applyAlignment="1">
      <alignment horizontal="center"/>
    </xf>
    <xf numFmtId="0" fontId="12" fillId="0" borderId="0" xfId="0" applyFont="1" applyAlignment="1">
      <alignment horizontal="center"/>
    </xf>
    <xf numFmtId="0" fontId="3" fillId="0" borderId="2" xfId="0" applyFont="1" applyBorder="1" applyAlignment="1">
      <alignment horizontal="center"/>
    </xf>
    <xf numFmtId="165" fontId="4" fillId="0" borderId="64" xfId="0" applyNumberFormat="1" applyFont="1" applyBorder="1" applyAlignment="1">
      <alignment horizontal="centerContinuous" wrapText="1"/>
    </xf>
    <xf numFmtId="0" fontId="12" fillId="0" borderId="0" xfId="0" applyFont="1" applyAlignment="1">
      <alignment horizontal="center" vertical="center"/>
    </xf>
    <xf numFmtId="0" fontId="4" fillId="0" borderId="149" xfId="0" applyFont="1" applyBorder="1" applyAlignment="1">
      <alignment horizontal="left" vertical="center"/>
    </xf>
    <xf numFmtId="165" fontId="4" fillId="0" borderId="150" xfId="0" applyNumberFormat="1" applyFont="1" applyBorder="1" applyAlignment="1">
      <alignment horizontal="center" vertical="center"/>
    </xf>
    <xf numFmtId="165" fontId="4" fillId="0" borderId="151" xfId="0" applyNumberFormat="1" applyFont="1" applyBorder="1" applyAlignment="1">
      <alignment horizontal="center" vertical="center"/>
    </xf>
    <xf numFmtId="11" fontId="3" fillId="0" borderId="0" xfId="0" applyNumberFormat="1" applyFont="1" applyAlignment="1">
      <alignment horizontal="center" vertical="center"/>
    </xf>
    <xf numFmtId="0" fontId="3" fillId="0" borderId="0" xfId="0" applyFont="1" applyAlignment="1">
      <alignment vertical="center"/>
    </xf>
    <xf numFmtId="0" fontId="3" fillId="0" borderId="131" xfId="0" applyFont="1" applyBorder="1" applyAlignment="1">
      <alignment horizontal="center"/>
    </xf>
    <xf numFmtId="0" fontId="3" fillId="0" borderId="52" xfId="0" applyFont="1" applyBorder="1" applyAlignment="1">
      <alignment horizontal="center"/>
    </xf>
    <xf numFmtId="165" fontId="3" fillId="0" borderId="131" xfId="0" applyNumberFormat="1" applyFont="1" applyBorder="1" applyAlignment="1">
      <alignment horizontal="center"/>
    </xf>
    <xf numFmtId="0" fontId="3" fillId="0" borderId="8" xfId="0" applyFont="1" applyBorder="1" applyAlignment="1">
      <alignment horizontal="center"/>
    </xf>
    <xf numFmtId="165" fontId="7" fillId="0" borderId="0" xfId="0" applyNumberFormat="1" applyFont="1"/>
    <xf numFmtId="165" fontId="7" fillId="0" borderId="12" xfId="0" applyNumberFormat="1" applyFont="1" applyBorder="1"/>
    <xf numFmtId="49" fontId="3" fillId="0" borderId="9" xfId="0" applyNumberFormat="1" applyFont="1" applyBorder="1" applyAlignment="1">
      <alignment horizontal="left"/>
    </xf>
    <xf numFmtId="49" fontId="3" fillId="0" borderId="0" xfId="0" applyNumberFormat="1" applyFont="1" applyAlignment="1">
      <alignment horizontal="left"/>
    </xf>
    <xf numFmtId="0" fontId="7" fillId="0" borderId="11" xfId="0" applyFont="1" applyBorder="1"/>
    <xf numFmtId="165" fontId="7" fillId="0" borderId="11" xfId="0" applyNumberFormat="1" applyFont="1" applyBorder="1"/>
    <xf numFmtId="165" fontId="7" fillId="0" borderId="13" xfId="0" applyNumberFormat="1" applyFont="1" applyBorder="1"/>
    <xf numFmtId="0" fontId="3" fillId="0" borderId="95" xfId="0" applyFont="1" applyBorder="1" applyAlignment="1">
      <alignment horizontal="center"/>
    </xf>
    <xf numFmtId="0" fontId="4" fillId="0" borderId="9" xfId="0" applyFont="1" applyBorder="1" applyAlignment="1">
      <alignment horizontal="left" vertical="center"/>
    </xf>
    <xf numFmtId="11" fontId="7" fillId="0" borderId="0" xfId="0" applyNumberFormat="1" applyFont="1" applyAlignment="1">
      <alignment horizontal="center"/>
    </xf>
    <xf numFmtId="165" fontId="4" fillId="0" borderId="0" xfId="0" applyNumberFormat="1" applyFont="1" applyAlignment="1">
      <alignment horizontal="centerContinuous" vertical="center"/>
    </xf>
    <xf numFmtId="0" fontId="3" fillId="0" borderId="31" xfId="0" applyFont="1" applyBorder="1" applyAlignment="1">
      <alignment horizontal="center"/>
    </xf>
    <xf numFmtId="165" fontId="4" fillId="0" borderId="95" xfId="0" applyNumberFormat="1" applyFont="1" applyBorder="1" applyAlignment="1">
      <alignment horizontal="centerContinuous" wrapText="1"/>
    </xf>
    <xf numFmtId="165" fontId="3" fillId="0" borderId="96" xfId="0" applyNumberFormat="1" applyFont="1" applyBorder="1" applyAlignment="1">
      <alignment horizontal="centerContinuous"/>
    </xf>
    <xf numFmtId="165" fontId="3" fillId="0" borderId="26" xfId="0" applyNumberFormat="1" applyFont="1" applyBorder="1" applyAlignment="1">
      <alignment horizontal="centerContinuous"/>
    </xf>
    <xf numFmtId="0" fontId="3" fillId="0" borderId="9" xfId="0" applyFont="1" applyBorder="1" applyAlignment="1">
      <alignment horizontal="center"/>
    </xf>
    <xf numFmtId="0" fontId="3" fillId="0" borderId="32" xfId="0" applyFont="1" applyBorder="1" applyAlignment="1">
      <alignment horizontal="center"/>
    </xf>
    <xf numFmtId="165" fontId="4" fillId="0" borderId="91" xfId="0" applyNumberFormat="1" applyFont="1" applyBorder="1" applyAlignment="1">
      <alignment horizontal="center"/>
    </xf>
    <xf numFmtId="165" fontId="4" fillId="0" borderId="111" xfId="0" applyNumberFormat="1" applyFont="1" applyBorder="1" applyAlignment="1">
      <alignment horizontal="center"/>
    </xf>
    <xf numFmtId="165" fontId="4" fillId="0" borderId="97" xfId="0" applyNumberFormat="1" applyFont="1" applyBorder="1" applyAlignment="1">
      <alignment horizontal="center"/>
    </xf>
    <xf numFmtId="165" fontId="4" fillId="0" borderId="98" xfId="0" applyNumberFormat="1" applyFont="1" applyBorder="1" applyAlignment="1">
      <alignment horizontal="center"/>
    </xf>
    <xf numFmtId="0" fontId="4" fillId="0" borderId="0" xfId="0" applyFont="1" applyAlignment="1">
      <alignment horizontal="center"/>
    </xf>
    <xf numFmtId="165" fontId="4" fillId="0" borderId="73" xfId="0" applyNumberFormat="1" applyFont="1" applyBorder="1" applyAlignment="1">
      <alignment horizontal="center"/>
    </xf>
    <xf numFmtId="165" fontId="4" fillId="0" borderId="94" xfId="0" applyNumberFormat="1" applyFont="1" applyBorder="1" applyAlignment="1">
      <alignment horizontal="center"/>
    </xf>
    <xf numFmtId="165" fontId="4" fillId="0" borderId="37" xfId="0" applyNumberFormat="1" applyFont="1" applyBorder="1" applyAlignment="1">
      <alignment horizontal="center"/>
    </xf>
    <xf numFmtId="165" fontId="4" fillId="0" borderId="65" xfId="0" applyNumberFormat="1" applyFont="1" applyBorder="1" applyAlignment="1">
      <alignment horizontal="center"/>
    </xf>
    <xf numFmtId="0" fontId="4" fillId="0" borderId="7" xfId="0" applyFont="1" applyBorder="1" applyAlignment="1">
      <alignment horizontal="left" vertical="center"/>
    </xf>
    <xf numFmtId="165" fontId="4" fillId="0" borderId="93" xfId="0" applyNumberFormat="1" applyFont="1" applyBorder="1" applyAlignment="1">
      <alignment horizontal="center" vertical="center"/>
    </xf>
    <xf numFmtId="165" fontId="4" fillId="0" borderId="86" xfId="0" applyNumberFormat="1" applyFont="1" applyBorder="1" applyAlignment="1">
      <alignment horizontal="center" vertical="center"/>
    </xf>
    <xf numFmtId="165" fontId="4" fillId="0" borderId="28" xfId="0" applyNumberFormat="1" applyFont="1" applyBorder="1" applyAlignment="1">
      <alignment horizontal="center" vertical="center"/>
    </xf>
    <xf numFmtId="165" fontId="3" fillId="0" borderId="111" xfId="0" applyNumberFormat="1" applyFont="1" applyBorder="1" applyAlignment="1">
      <alignment horizontal="center"/>
    </xf>
    <xf numFmtId="165" fontId="3" fillId="0" borderId="94" xfId="0" applyNumberFormat="1" applyFont="1" applyBorder="1" applyAlignment="1">
      <alignment horizontal="center"/>
    </xf>
    <xf numFmtId="165" fontId="3" fillId="0" borderId="6" xfId="0" applyNumberFormat="1" applyFont="1" applyBorder="1" applyAlignment="1">
      <alignment horizontal="center"/>
    </xf>
    <xf numFmtId="49" fontId="4" fillId="0" borderId="9" xfId="0" applyNumberFormat="1" applyFont="1" applyBorder="1" applyAlignment="1">
      <alignment horizontal="left"/>
    </xf>
    <xf numFmtId="165" fontId="3" fillId="0" borderId="11" xfId="0" applyNumberFormat="1" applyFont="1" applyBorder="1" applyAlignment="1">
      <alignment horizontal="center"/>
    </xf>
    <xf numFmtId="165" fontId="3" fillId="0" borderId="13" xfId="0" applyNumberFormat="1" applyFont="1" applyBorder="1" applyAlignment="1">
      <alignment horizontal="center"/>
    </xf>
    <xf numFmtId="0" fontId="3" fillId="0" borderId="8" xfId="0" applyFont="1" applyBorder="1" applyAlignment="1">
      <alignment horizontal="left"/>
    </xf>
    <xf numFmtId="0" fontId="7" fillId="0" borderId="8" xfId="0" applyFont="1" applyBorder="1"/>
    <xf numFmtId="165" fontId="7" fillId="0" borderId="8" xfId="0" applyNumberFormat="1" applyFont="1" applyBorder="1"/>
    <xf numFmtId="165" fontId="4" fillId="0" borderId="38" xfId="0" applyNumberFormat="1" applyFont="1" applyBorder="1" applyAlignment="1">
      <alignment horizontal="centerContinuous"/>
    </xf>
    <xf numFmtId="165" fontId="3" fillId="0" borderId="8" xfId="0" applyNumberFormat="1" applyFont="1" applyBorder="1" applyAlignment="1">
      <alignment horizontal="centerContinuous"/>
    </xf>
    <xf numFmtId="1" fontId="3" fillId="0" borderId="9" xfId="0" applyNumberFormat="1" applyFont="1" applyBorder="1" applyAlignment="1">
      <alignment horizontal="left"/>
    </xf>
    <xf numFmtId="1" fontId="3" fillId="0" borderId="0" xfId="0" applyNumberFormat="1" applyFont="1" applyAlignment="1">
      <alignment horizontal="left"/>
    </xf>
    <xf numFmtId="0" fontId="3" fillId="0" borderId="39" xfId="0" applyFont="1" applyBorder="1" applyAlignment="1">
      <alignment horizontal="left"/>
    </xf>
    <xf numFmtId="165" fontId="4" fillId="0" borderId="33" xfId="0" applyNumberFormat="1" applyFont="1" applyBorder="1" applyAlignment="1">
      <alignment horizontal="center"/>
    </xf>
    <xf numFmtId="165" fontId="4" fillId="0" borderId="40" xfId="0" applyNumberFormat="1" applyFont="1" applyBorder="1" applyAlignment="1">
      <alignment horizontal="center"/>
    </xf>
    <xf numFmtId="165" fontId="8" fillId="0" borderId="90" xfId="0" applyNumberFormat="1" applyFont="1" applyBorder="1" applyAlignment="1">
      <alignment horizontal="centerContinuous"/>
    </xf>
    <xf numFmtId="165" fontId="4" fillId="0" borderId="41" xfId="0" applyNumberFormat="1" applyFont="1" applyBorder="1" applyAlignment="1">
      <alignment horizontal="centerContinuous"/>
    </xf>
    <xf numFmtId="165" fontId="4" fillId="0" borderId="42" xfId="0" applyNumberFormat="1" applyFont="1" applyBorder="1" applyAlignment="1">
      <alignment horizontal="centerContinuous"/>
    </xf>
    <xf numFmtId="165" fontId="4" fillId="0" borderId="102" xfId="0" applyNumberFormat="1" applyFont="1" applyBorder="1" applyAlignment="1">
      <alignment horizontal="centerContinuous"/>
    </xf>
    <xf numFmtId="165" fontId="4" fillId="0" borderId="43" xfId="0" applyNumberFormat="1" applyFont="1" applyBorder="1" applyAlignment="1">
      <alignment horizontal="centerContinuous"/>
    </xf>
    <xf numFmtId="165" fontId="4" fillId="0" borderId="35" xfId="0" applyNumberFormat="1" applyFont="1" applyBorder="1" applyAlignment="1">
      <alignment horizontal="center"/>
    </xf>
    <xf numFmtId="165" fontId="4" fillId="0" borderId="34" xfId="0" applyNumberFormat="1" applyFont="1" applyBorder="1" applyAlignment="1">
      <alignment horizontal="center"/>
    </xf>
    <xf numFmtId="165" fontId="4" fillId="0" borderId="100" xfId="0" applyNumberFormat="1" applyFont="1" applyBorder="1" applyAlignment="1">
      <alignment horizontal="center"/>
    </xf>
    <xf numFmtId="165" fontId="4" fillId="0" borderId="44" xfId="0" applyNumberFormat="1" applyFont="1" applyBorder="1" applyAlignment="1">
      <alignment horizontal="center"/>
    </xf>
    <xf numFmtId="165" fontId="4" fillId="0" borderId="45" xfId="0" applyNumberFormat="1" applyFont="1" applyBorder="1" applyAlignment="1">
      <alignment horizontal="center"/>
    </xf>
    <xf numFmtId="165" fontId="4" fillId="0" borderId="101" xfId="0" applyNumberFormat="1" applyFont="1" applyBorder="1" applyAlignment="1">
      <alignment horizontal="center"/>
    </xf>
    <xf numFmtId="165" fontId="4" fillId="0" borderId="46" xfId="0" applyNumberFormat="1" applyFont="1" applyBorder="1" applyAlignment="1">
      <alignment horizontal="center"/>
    </xf>
    <xf numFmtId="49" fontId="4" fillId="0" borderId="47" xfId="0" applyNumberFormat="1" applyFont="1" applyBorder="1" applyAlignment="1">
      <alignment horizontal="center" wrapText="1"/>
    </xf>
    <xf numFmtId="11" fontId="3" fillId="0" borderId="156" xfId="0" applyNumberFormat="1" applyFont="1" applyBorder="1" applyAlignment="1">
      <alignment horizontal="center"/>
    </xf>
    <xf numFmtId="11" fontId="3" fillId="0" borderId="60" xfId="0" applyNumberFormat="1" applyFont="1" applyBorder="1" applyAlignment="1">
      <alignment horizontal="center"/>
    </xf>
    <xf numFmtId="11" fontId="3" fillId="0" borderId="62" xfId="0" applyNumberFormat="1"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49" fontId="6" fillId="0" borderId="0" xfId="0" applyNumberFormat="1" applyFont="1" applyAlignment="1">
      <alignment horizontal="centerContinuous"/>
    </xf>
    <xf numFmtId="49" fontId="4" fillId="0" borderId="0" xfId="0" applyNumberFormat="1" applyFont="1" applyAlignment="1">
      <alignment horizontal="centerContinuous"/>
    </xf>
    <xf numFmtId="165" fontId="4" fillId="0" borderId="0" xfId="0" applyNumberFormat="1" applyFont="1" applyAlignment="1">
      <alignment horizontal="left"/>
    </xf>
    <xf numFmtId="165" fontId="8" fillId="0" borderId="30" xfId="0" applyNumberFormat="1" applyFont="1" applyBorder="1" applyAlignment="1">
      <alignment horizontal="left" wrapText="1"/>
    </xf>
    <xf numFmtId="165" fontId="4" fillId="0" borderId="30" xfId="0" applyNumberFormat="1" applyFont="1" applyBorder="1" applyAlignment="1">
      <alignment horizontal="center" wrapText="1"/>
    </xf>
    <xf numFmtId="165" fontId="4" fillId="0" borderId="96" xfId="0" applyNumberFormat="1" applyFont="1" applyBorder="1" applyAlignment="1">
      <alignment horizontal="centerContinuous" wrapText="1"/>
    </xf>
    <xf numFmtId="165" fontId="4" fillId="0" borderId="22" xfId="0" applyNumberFormat="1" applyFont="1" applyBorder="1" applyAlignment="1">
      <alignment horizontal="center" wrapText="1"/>
    </xf>
    <xf numFmtId="165" fontId="4" fillId="0" borderId="26" xfId="0" applyNumberFormat="1" applyFont="1" applyBorder="1" applyAlignment="1">
      <alignment horizontal="centerContinuous" wrapText="1"/>
    </xf>
    <xf numFmtId="165" fontId="4" fillId="0" borderId="101" xfId="0" applyNumberFormat="1" applyFont="1" applyBorder="1" applyAlignment="1">
      <alignment horizontal="left" wrapText="1"/>
    </xf>
    <xf numFmtId="165" fontId="4" fillId="0" borderId="108" xfId="0" applyNumberFormat="1" applyFont="1" applyBorder="1" applyAlignment="1">
      <alignment horizontal="center" wrapText="1"/>
    </xf>
    <xf numFmtId="165" fontId="4" fillId="0" borderId="104" xfId="0" applyNumberFormat="1" applyFont="1" applyBorder="1" applyAlignment="1">
      <alignment horizontal="center" wrapText="1"/>
    </xf>
    <xf numFmtId="165" fontId="4" fillId="0" borderId="28" xfId="0" applyNumberFormat="1" applyFont="1" applyBorder="1" applyAlignment="1">
      <alignment horizontal="center" wrapText="1"/>
    </xf>
    <xf numFmtId="165" fontId="3" fillId="0" borderId="18" xfId="0" applyNumberFormat="1" applyFont="1" applyBorder="1" applyAlignment="1">
      <alignment horizontal="left"/>
    </xf>
    <xf numFmtId="49" fontId="3" fillId="0" borderId="10" xfId="0" applyNumberFormat="1" applyFont="1" applyBorder="1"/>
    <xf numFmtId="49" fontId="3" fillId="0" borderId="8" xfId="0" applyNumberFormat="1" applyFont="1" applyBorder="1"/>
    <xf numFmtId="165" fontId="3" fillId="0" borderId="8" xfId="0" applyNumberFormat="1" applyFont="1" applyBorder="1" applyAlignment="1">
      <alignment horizontal="left"/>
    </xf>
    <xf numFmtId="165" fontId="8" fillId="0" borderId="66" xfId="0" applyNumberFormat="1" applyFont="1" applyBorder="1" applyAlignment="1">
      <alignment horizontal="left" wrapText="1"/>
    </xf>
    <xf numFmtId="165" fontId="4" fillId="0" borderId="96" xfId="0" applyNumberFormat="1" applyFont="1" applyBorder="1" applyAlignment="1">
      <alignment horizontal="center" wrapText="1"/>
    </xf>
    <xf numFmtId="165" fontId="4" fillId="0" borderId="22" xfId="0" applyNumberFormat="1" applyFont="1" applyBorder="1" applyAlignment="1">
      <alignment horizontal="centerContinuous" wrapText="1"/>
    </xf>
    <xf numFmtId="165" fontId="4" fillId="0" borderId="107" xfId="0" applyNumberFormat="1" applyFont="1" applyBorder="1" applyAlignment="1">
      <alignment horizontal="center" wrapText="1"/>
    </xf>
    <xf numFmtId="0" fontId="4" fillId="0" borderId="7" xfId="0" applyFont="1" applyBorder="1" applyAlignment="1">
      <alignment horizontal="left"/>
    </xf>
    <xf numFmtId="165" fontId="4" fillId="0" borderId="45" xfId="0" applyNumberFormat="1" applyFont="1" applyBorder="1" applyAlignment="1">
      <alignment horizontal="left" wrapText="1"/>
    </xf>
    <xf numFmtId="165" fontId="4" fillId="0" borderId="24" xfId="0" applyNumberFormat="1" applyFont="1" applyBorder="1" applyAlignment="1">
      <alignment horizontal="center" wrapText="1"/>
    </xf>
    <xf numFmtId="165" fontId="4" fillId="0" borderId="5" xfId="0" applyNumberFormat="1" applyFont="1" applyBorder="1" applyAlignment="1">
      <alignment horizontal="center" wrapText="1"/>
    </xf>
    <xf numFmtId="165" fontId="3" fillId="0" borderId="153" xfId="0" applyNumberFormat="1" applyFont="1" applyBorder="1" applyAlignment="1">
      <alignment horizontal="left"/>
    </xf>
    <xf numFmtId="165" fontId="3" fillId="0" borderId="154" xfId="0" applyNumberFormat="1" applyFont="1" applyBorder="1" applyAlignment="1">
      <alignment horizontal="center"/>
    </xf>
    <xf numFmtId="165" fontId="3" fillId="0" borderId="49" xfId="0" applyNumberFormat="1" applyFont="1" applyBorder="1" applyAlignment="1">
      <alignment horizontal="left"/>
    </xf>
    <xf numFmtId="165" fontId="3" fillId="0" borderId="59" xfId="0" applyNumberFormat="1" applyFont="1" applyBorder="1" applyAlignment="1">
      <alignment horizontal="center"/>
    </xf>
    <xf numFmtId="165" fontId="3" fillId="0" borderId="52" xfId="0" applyNumberFormat="1" applyFont="1" applyBorder="1" applyAlignment="1">
      <alignment horizontal="left"/>
    </xf>
    <xf numFmtId="165" fontId="3" fillId="0" borderId="61" xfId="0" applyNumberFormat="1" applyFont="1" applyBorder="1" applyAlignment="1">
      <alignment horizontal="center"/>
    </xf>
    <xf numFmtId="165" fontId="3" fillId="0" borderId="13" xfId="0" applyNumberFormat="1" applyFont="1" applyBorder="1"/>
    <xf numFmtId="165" fontId="4" fillId="0" borderId="0" xfId="0" applyNumberFormat="1" applyFont="1"/>
    <xf numFmtId="165" fontId="4" fillId="0" borderId="86" xfId="0" applyNumberFormat="1" applyFont="1" applyBorder="1" applyAlignment="1">
      <alignment horizontal="center" wrapText="1"/>
    </xf>
    <xf numFmtId="164" fontId="4" fillId="0" borderId="0" xfId="0" applyNumberFormat="1" applyFont="1"/>
    <xf numFmtId="0" fontId="4" fillId="0" borderId="14" xfId="0" applyFont="1" applyBorder="1" applyAlignment="1">
      <alignment horizontal="left"/>
    </xf>
    <xf numFmtId="165" fontId="4" fillId="0" borderId="80" xfId="0" applyNumberFormat="1" applyFont="1" applyBorder="1" applyAlignment="1">
      <alignment horizontal="center" wrapText="1"/>
    </xf>
    <xf numFmtId="0" fontId="4" fillId="0" borderId="106" xfId="0" applyFont="1" applyBorder="1" applyAlignment="1">
      <alignment horizontal="left"/>
    </xf>
    <xf numFmtId="165" fontId="4" fillId="0" borderId="53" xfId="0" applyNumberFormat="1" applyFont="1" applyBorder="1" applyAlignment="1">
      <alignment horizontal="center" wrapText="1"/>
    </xf>
    <xf numFmtId="49" fontId="4" fillId="0" borderId="4" xfId="0" applyNumberFormat="1" applyFont="1" applyBorder="1" applyAlignment="1">
      <alignment horizontal="left"/>
    </xf>
    <xf numFmtId="165" fontId="4" fillId="0" borderId="38" xfId="0" applyNumberFormat="1" applyFont="1" applyBorder="1" applyAlignment="1">
      <alignment horizontal="center" wrapText="1"/>
    </xf>
    <xf numFmtId="0" fontId="4" fillId="0" borderId="105" xfId="0" applyFont="1" applyBorder="1" applyAlignment="1">
      <alignment horizontal="left"/>
    </xf>
    <xf numFmtId="0" fontId="3" fillId="0" borderId="153" xfId="0" applyFont="1" applyBorder="1" applyAlignment="1">
      <alignment horizontal="left"/>
    </xf>
    <xf numFmtId="49" fontId="3" fillId="0" borderId="153" xfId="0" applyNumberFormat="1" applyFont="1" applyBorder="1" applyAlignment="1">
      <alignment horizontal="left"/>
    </xf>
    <xf numFmtId="0" fontId="3" fillId="0" borderId="98" xfId="0" applyFont="1" applyBorder="1" applyAlignment="1">
      <alignment horizontal="left"/>
    </xf>
    <xf numFmtId="0" fontId="3" fillId="0" borderId="49" xfId="0" applyFont="1" applyBorder="1" applyAlignment="1">
      <alignment horizontal="left"/>
    </xf>
    <xf numFmtId="49" fontId="3" fillId="0" borderId="49" xfId="0" applyNumberFormat="1" applyFont="1" applyBorder="1" applyAlignment="1">
      <alignment horizontal="left"/>
    </xf>
    <xf numFmtId="0" fontId="3" fillId="0" borderId="65" xfId="0" applyFont="1" applyBorder="1" applyAlignment="1">
      <alignment horizontal="left"/>
    </xf>
    <xf numFmtId="165" fontId="4" fillId="0" borderId="130" xfId="0" applyNumberFormat="1" applyFont="1" applyBorder="1" applyAlignment="1">
      <alignment horizontal="center" wrapText="1"/>
    </xf>
    <xf numFmtId="49" fontId="4" fillId="0" borderId="49" xfId="0" applyNumberFormat="1" applyFont="1" applyBorder="1" applyAlignment="1">
      <alignment horizontal="left"/>
    </xf>
    <xf numFmtId="164" fontId="3" fillId="0" borderId="0" xfId="0" applyNumberFormat="1" applyFont="1"/>
    <xf numFmtId="49" fontId="3" fillId="0" borderId="89" xfId="0" applyNumberFormat="1" applyFont="1" applyBorder="1" applyAlignment="1">
      <alignment horizontal="left"/>
    </xf>
    <xf numFmtId="49" fontId="4" fillId="0" borderId="50" xfId="0" applyNumberFormat="1" applyFont="1" applyBorder="1" applyAlignment="1">
      <alignment horizontal="left"/>
    </xf>
    <xf numFmtId="49" fontId="3" fillId="0" borderId="50" xfId="0" applyNumberFormat="1" applyFont="1" applyBorder="1" applyAlignment="1">
      <alignment horizontal="left"/>
    </xf>
    <xf numFmtId="0" fontId="3" fillId="0" borderId="52" xfId="0" applyFont="1" applyBorder="1" applyAlignment="1">
      <alignment horizontal="left"/>
    </xf>
    <xf numFmtId="49" fontId="3" fillId="0" borderId="52" xfId="0" applyNumberFormat="1" applyFont="1" applyBorder="1" applyAlignment="1">
      <alignment horizontal="left"/>
    </xf>
    <xf numFmtId="0" fontId="3" fillId="0" borderId="82" xfId="0" applyFont="1" applyBorder="1" applyAlignment="1">
      <alignment horizontal="left"/>
    </xf>
    <xf numFmtId="0" fontId="3" fillId="0" borderId="12" xfId="0" applyFont="1" applyBorder="1" applyAlignment="1">
      <alignment horizontal="left"/>
    </xf>
    <xf numFmtId="49" fontId="3" fillId="0" borderId="8" xfId="0" applyNumberFormat="1" applyFont="1" applyBorder="1" applyAlignment="1">
      <alignment horizontal="left"/>
    </xf>
    <xf numFmtId="49" fontId="5" fillId="0" borderId="0" xfId="0" applyNumberFormat="1" applyFont="1" applyAlignment="1">
      <alignment horizontal="centerContinuous" wrapText="1"/>
    </xf>
    <xf numFmtId="165" fontId="5" fillId="0" borderId="0" xfId="0" applyNumberFormat="1" applyFont="1" applyAlignment="1">
      <alignment horizontal="centerContinuous" wrapText="1"/>
    </xf>
    <xf numFmtId="49" fontId="4" fillId="0" borderId="0" xfId="0" applyNumberFormat="1" applyFont="1" applyAlignment="1">
      <alignment horizontal="left"/>
    </xf>
    <xf numFmtId="165" fontId="6" fillId="0" borderId="0" xfId="0" applyNumberFormat="1" applyFont="1" applyAlignment="1">
      <alignment horizontal="centerContinuous"/>
    </xf>
    <xf numFmtId="0" fontId="6" fillId="0" borderId="0" xfId="0" applyFont="1" applyAlignment="1">
      <alignment horizontal="centerContinuous"/>
    </xf>
    <xf numFmtId="0" fontId="4" fillId="0" borderId="0" xfId="0" applyFont="1" applyAlignment="1">
      <alignment horizontal="left"/>
    </xf>
    <xf numFmtId="0" fontId="4" fillId="0" borderId="2" xfId="0" applyFont="1" applyBorder="1" applyAlignment="1">
      <alignment horizontal="left"/>
    </xf>
    <xf numFmtId="0" fontId="4" fillId="0" borderId="109" xfId="0" applyFont="1" applyBorder="1" applyAlignment="1">
      <alignment horizontal="left"/>
    </xf>
    <xf numFmtId="165" fontId="4" fillId="0" borderId="26" xfId="0" applyNumberFormat="1" applyFont="1" applyBorder="1" applyAlignment="1">
      <alignment horizontal="center" wrapText="1"/>
    </xf>
    <xf numFmtId="0" fontId="3" fillId="0" borderId="154" xfId="0" applyFont="1" applyBorder="1" applyAlignment="1">
      <alignment horizontal="left"/>
    </xf>
    <xf numFmtId="0" fontId="3" fillId="0" borderId="59" xfId="0" applyFont="1" applyBorder="1" applyAlignment="1">
      <alignment horizontal="left"/>
    </xf>
    <xf numFmtId="0" fontId="3" fillId="0" borderId="61" xfId="0" applyFont="1" applyBorder="1" applyAlignment="1">
      <alignment horizontal="left"/>
    </xf>
    <xf numFmtId="165" fontId="4" fillId="0" borderId="12" xfId="0" applyNumberFormat="1" applyFont="1" applyBorder="1"/>
    <xf numFmtId="0" fontId="7" fillId="0" borderId="12" xfId="0" applyFont="1" applyBorder="1"/>
    <xf numFmtId="0" fontId="4" fillId="0" borderId="38" xfId="0" applyFont="1" applyBorder="1" applyAlignment="1">
      <alignment horizontal="centerContinuous"/>
    </xf>
    <xf numFmtId="0" fontId="8" fillId="0" borderId="15" xfId="0" applyFont="1" applyBorder="1" applyAlignment="1">
      <alignment horizontal="centerContinuous"/>
    </xf>
    <xf numFmtId="0" fontId="4" fillId="0" borderId="80" xfId="0" applyFont="1" applyBorder="1" applyAlignment="1">
      <alignment horizontal="centerContinuous"/>
    </xf>
    <xf numFmtId="0" fontId="8" fillId="0" borderId="105" xfId="0" applyFont="1" applyBorder="1" applyAlignment="1">
      <alignment horizontal="centerContinuous"/>
    </xf>
    <xf numFmtId="165" fontId="4" fillId="0" borderId="84" xfId="0" applyNumberFormat="1" applyFont="1" applyBorder="1" applyAlignment="1">
      <alignment horizontal="center" wrapText="1"/>
    </xf>
    <xf numFmtId="165" fontId="4" fillId="0" borderId="70" xfId="0" applyNumberFormat="1" applyFont="1" applyBorder="1" applyAlignment="1">
      <alignment horizontal="center" wrapText="1"/>
    </xf>
    <xf numFmtId="165" fontId="8" fillId="0" borderId="38" xfId="0" applyNumberFormat="1" applyFont="1" applyBorder="1" applyAlignment="1">
      <alignment horizontal="centerContinuous" wrapText="1"/>
    </xf>
    <xf numFmtId="0" fontId="7" fillId="0" borderId="15" xfId="0" applyFont="1" applyBorder="1" applyAlignment="1">
      <alignment horizontal="centerContinuous"/>
    </xf>
    <xf numFmtId="165" fontId="7" fillId="0" borderId="15" xfId="0" applyNumberFormat="1" applyFont="1" applyBorder="1" applyAlignment="1">
      <alignment horizontal="centerContinuous"/>
    </xf>
    <xf numFmtId="165" fontId="7" fillId="0" borderId="38" xfId="0" applyNumberFormat="1" applyFont="1" applyBorder="1" applyAlignment="1">
      <alignment horizontal="centerContinuous"/>
    </xf>
    <xf numFmtId="0" fontId="7" fillId="0" borderId="64" xfId="0" applyFont="1" applyBorder="1" applyAlignment="1">
      <alignment horizontal="centerContinuous"/>
    </xf>
    <xf numFmtId="0" fontId="4" fillId="0" borderId="56" xfId="0" applyFont="1" applyBorder="1" applyAlignment="1">
      <alignment horizontal="left"/>
    </xf>
    <xf numFmtId="165" fontId="4" fillId="0" borderId="102" xfId="0" applyNumberFormat="1" applyFont="1" applyBorder="1" applyAlignment="1">
      <alignment horizontal="center" wrapText="1"/>
    </xf>
    <xf numFmtId="0" fontId="4" fillId="0" borderId="43" xfId="0" applyFont="1" applyBorder="1" applyAlignment="1">
      <alignment horizontal="left"/>
    </xf>
    <xf numFmtId="0" fontId="4" fillId="0" borderId="88" xfId="0" applyFont="1" applyBorder="1" applyAlignment="1">
      <alignment horizontal="left"/>
    </xf>
    <xf numFmtId="0" fontId="3" fillId="0" borderId="160" xfId="0" applyFont="1" applyBorder="1" applyAlignment="1">
      <alignment horizontal="left"/>
    </xf>
    <xf numFmtId="0" fontId="3" fillId="0" borderId="156" xfId="0" applyFont="1" applyBorder="1" applyAlignment="1">
      <alignment horizontal="left"/>
    </xf>
    <xf numFmtId="0" fontId="3" fillId="0" borderId="133" xfId="0" applyFont="1" applyBorder="1" applyAlignment="1">
      <alignment horizontal="left"/>
    </xf>
    <xf numFmtId="0" fontId="3" fillId="0" borderId="60" xfId="0" applyFont="1" applyBorder="1" applyAlignment="1">
      <alignment horizontal="left"/>
    </xf>
    <xf numFmtId="0" fontId="3" fillId="0" borderId="115" xfId="0" applyFont="1" applyBorder="1" applyAlignment="1">
      <alignment horizontal="left"/>
    </xf>
    <xf numFmtId="0" fontId="3" fillId="0" borderId="62" xfId="0" applyFont="1" applyBorder="1" applyAlignment="1">
      <alignment horizontal="left"/>
    </xf>
    <xf numFmtId="0" fontId="3" fillId="0" borderId="13" xfId="0" applyFont="1" applyBorder="1" applyAlignment="1">
      <alignment horizontal="left"/>
    </xf>
    <xf numFmtId="0" fontId="4" fillId="0" borderId="4" xfId="0" applyFont="1" applyBorder="1" applyAlignment="1">
      <alignment horizontal="left"/>
    </xf>
    <xf numFmtId="0" fontId="4" fillId="0" borderId="64" xfId="0" applyFont="1" applyBorder="1" applyAlignment="1">
      <alignment horizontal="left"/>
    </xf>
    <xf numFmtId="165" fontId="3" fillId="0" borderId="98" xfId="0" applyNumberFormat="1" applyFont="1" applyBorder="1" applyAlignment="1">
      <alignment horizontal="left"/>
    </xf>
    <xf numFmtId="165" fontId="3" fillId="0" borderId="65" xfId="0" applyNumberFormat="1" applyFont="1" applyBorder="1" applyAlignment="1">
      <alignment horizontal="left"/>
    </xf>
    <xf numFmtId="165" fontId="3" fillId="0" borderId="82" xfId="0" applyNumberFormat="1" applyFont="1" applyBorder="1" applyAlignment="1">
      <alignment horizontal="left"/>
    </xf>
    <xf numFmtId="49" fontId="4" fillId="0" borderId="95" xfId="0" applyNumberFormat="1" applyFont="1" applyBorder="1"/>
    <xf numFmtId="165" fontId="4" fillId="0" borderId="66" xfId="0" applyNumberFormat="1" applyFont="1" applyBorder="1" applyAlignment="1">
      <alignment horizontal="centerContinuous"/>
    </xf>
    <xf numFmtId="165" fontId="4" fillId="0" borderId="31" xfId="0" applyNumberFormat="1" applyFont="1" applyBorder="1" applyAlignment="1">
      <alignment horizontal="centerContinuous" wrapText="1"/>
    </xf>
    <xf numFmtId="165" fontId="4" fillId="0" borderId="29" xfId="0" applyNumberFormat="1" applyFont="1" applyBorder="1" applyAlignment="1">
      <alignment horizontal="centerContinuous"/>
    </xf>
    <xf numFmtId="0" fontId="4" fillId="0" borderId="93" xfId="0" applyFont="1" applyBorder="1" applyAlignment="1">
      <alignment horizontal="left"/>
    </xf>
    <xf numFmtId="49" fontId="3" fillId="0" borderId="111" xfId="0" applyNumberFormat="1" applyFont="1" applyBorder="1"/>
    <xf numFmtId="165" fontId="3" fillId="0" borderId="37" xfId="0" applyNumberFormat="1" applyFont="1" applyBorder="1" applyAlignment="1">
      <alignment horizontal="center" wrapText="1"/>
    </xf>
    <xf numFmtId="165" fontId="3" fillId="0" borderId="89" xfId="0" applyNumberFormat="1" applyFont="1" applyBorder="1" applyAlignment="1">
      <alignment horizontal="center" wrapText="1"/>
    </xf>
    <xf numFmtId="165" fontId="3" fillId="0" borderId="130" xfId="0" applyNumberFormat="1" applyFont="1" applyBorder="1" applyAlignment="1">
      <alignment horizontal="center" wrapText="1"/>
    </xf>
    <xf numFmtId="165" fontId="3" fillId="0" borderId="65" xfId="0" applyNumberFormat="1" applyFont="1" applyBorder="1" applyAlignment="1">
      <alignment horizontal="center" wrapText="1"/>
    </xf>
    <xf numFmtId="11" fontId="3" fillId="0" borderId="130" xfId="0" applyNumberFormat="1" applyFont="1" applyBorder="1" applyAlignment="1">
      <alignment horizontal="center"/>
    </xf>
    <xf numFmtId="165" fontId="3" fillId="0" borderId="130" xfId="0" applyNumberFormat="1" applyFont="1" applyBorder="1"/>
    <xf numFmtId="165" fontId="3" fillId="0" borderId="59" xfId="0" applyNumberFormat="1" applyFont="1" applyBorder="1" applyAlignment="1">
      <alignment horizontal="center" wrapText="1"/>
    </xf>
    <xf numFmtId="165" fontId="3" fillId="0" borderId="8" xfId="0" applyNumberFormat="1" applyFont="1" applyBorder="1"/>
    <xf numFmtId="0" fontId="4" fillId="0" borderId="12" xfId="0" applyFont="1" applyBorder="1"/>
    <xf numFmtId="49" fontId="4" fillId="0" borderId="10" xfId="0" applyNumberFormat="1" applyFont="1" applyBorder="1"/>
    <xf numFmtId="165" fontId="4" fillId="0" borderId="11" xfId="0" applyNumberFormat="1" applyFont="1" applyBorder="1"/>
    <xf numFmtId="49" fontId="4" fillId="0" borderId="11" xfId="0" applyNumberFormat="1" applyFont="1" applyBorder="1"/>
    <xf numFmtId="165" fontId="4" fillId="0" borderId="87" xfId="0" applyNumberFormat="1" applyFont="1" applyBorder="1" applyAlignment="1">
      <alignment horizontal="center" wrapText="1"/>
    </xf>
    <xf numFmtId="165" fontId="4" fillId="0" borderId="46" xfId="0" applyNumberFormat="1" applyFont="1" applyBorder="1" applyAlignment="1">
      <alignment horizontal="left" wrapText="1"/>
    </xf>
    <xf numFmtId="165" fontId="4" fillId="0" borderId="43" xfId="0" applyNumberFormat="1" applyFont="1" applyBorder="1" applyAlignment="1">
      <alignment horizontal="left" wrapText="1"/>
    </xf>
    <xf numFmtId="165" fontId="4" fillId="0" borderId="199" xfId="0" applyNumberFormat="1" applyFont="1" applyBorder="1" applyAlignment="1">
      <alignment horizontal="center" wrapText="1"/>
    </xf>
    <xf numFmtId="49" fontId="4" fillId="0" borderId="46" xfId="0" applyNumberFormat="1" applyFont="1" applyBorder="1" applyAlignment="1">
      <alignment horizontal="left" wrapText="1"/>
    </xf>
    <xf numFmtId="165" fontId="4" fillId="0" borderId="85" xfId="0" applyNumberFormat="1" applyFont="1" applyBorder="1" applyAlignment="1">
      <alignment horizontal="left" wrapText="1"/>
    </xf>
    <xf numFmtId="165" fontId="3" fillId="0" borderId="36" xfId="0" applyNumberFormat="1" applyFont="1" applyBorder="1" applyAlignment="1">
      <alignment horizontal="left"/>
    </xf>
    <xf numFmtId="49" fontId="3" fillId="0" borderId="36" xfId="0" applyNumberFormat="1" applyFont="1" applyBorder="1" applyAlignment="1">
      <alignment horizontal="left"/>
    </xf>
    <xf numFmtId="165" fontId="3" fillId="0" borderId="48" xfId="0" applyNumberFormat="1" applyFont="1" applyBorder="1" applyAlignment="1">
      <alignment horizontal="center" wrapText="1"/>
    </xf>
    <xf numFmtId="165" fontId="3" fillId="0" borderId="36" xfId="0" applyNumberFormat="1" applyFont="1" applyBorder="1" applyAlignment="1">
      <alignment horizontal="left" wrapText="1"/>
    </xf>
    <xf numFmtId="165" fontId="3" fillId="0" borderId="49" xfId="0" applyNumberFormat="1" applyFont="1" applyBorder="1" applyAlignment="1">
      <alignment horizontal="left" wrapText="1"/>
    </xf>
    <xf numFmtId="165" fontId="3" fillId="0" borderId="36" xfId="0" applyNumberFormat="1" applyFont="1" applyBorder="1" applyAlignment="1">
      <alignment horizontal="center" wrapText="1"/>
    </xf>
    <xf numFmtId="49" fontId="3" fillId="0" borderId="125" xfId="0" applyNumberFormat="1" applyFont="1" applyBorder="1" applyAlignment="1">
      <alignment horizontal="left" wrapText="1"/>
    </xf>
    <xf numFmtId="165" fontId="3" fillId="0" borderId="65" xfId="0" applyNumberFormat="1" applyFont="1" applyBorder="1" applyAlignment="1">
      <alignment horizontal="left" wrapText="1"/>
    </xf>
    <xf numFmtId="49" fontId="3" fillId="0" borderId="36" xfId="0" applyNumberFormat="1" applyFont="1" applyBorder="1" applyAlignment="1">
      <alignment horizontal="left" wrapText="1"/>
    </xf>
    <xf numFmtId="49" fontId="3" fillId="0" borderId="125" xfId="0" applyNumberFormat="1" applyFont="1" applyBorder="1" applyAlignment="1">
      <alignment horizontal="left"/>
    </xf>
    <xf numFmtId="49" fontId="3" fillId="0" borderId="65" xfId="0" applyNumberFormat="1" applyFont="1" applyBorder="1" applyAlignment="1">
      <alignment horizontal="left"/>
    </xf>
    <xf numFmtId="165" fontId="3" fillId="0" borderId="89" xfId="0" applyNumberFormat="1" applyFont="1" applyBorder="1" applyAlignment="1">
      <alignment horizontal="left" wrapText="1"/>
    </xf>
    <xf numFmtId="165" fontId="3" fillId="0" borderId="59" xfId="0" applyNumberFormat="1" applyFont="1" applyBorder="1" applyAlignment="1">
      <alignment horizontal="left"/>
    </xf>
    <xf numFmtId="165" fontId="3" fillId="0" borderId="89" xfId="0" applyNumberFormat="1" applyFont="1" applyBorder="1" applyAlignment="1">
      <alignment horizontal="left"/>
    </xf>
    <xf numFmtId="165" fontId="3" fillId="0" borderId="125" xfId="0" applyNumberFormat="1" applyFont="1" applyBorder="1" applyAlignment="1">
      <alignment horizontal="center"/>
    </xf>
    <xf numFmtId="165" fontId="3" fillId="0" borderId="137" xfId="0" applyNumberFormat="1" applyFont="1" applyBorder="1" applyAlignment="1">
      <alignment horizontal="center"/>
    </xf>
    <xf numFmtId="165" fontId="3" fillId="0" borderId="136" xfId="0" applyNumberFormat="1" applyFont="1" applyBorder="1" applyAlignment="1">
      <alignment horizontal="left"/>
    </xf>
    <xf numFmtId="165" fontId="3" fillId="0" borderId="77" xfId="0" applyNumberFormat="1" applyFont="1" applyBorder="1" applyAlignment="1">
      <alignment horizontal="center" wrapText="1"/>
    </xf>
    <xf numFmtId="165" fontId="3" fillId="0" borderId="125" xfId="0" applyNumberFormat="1" applyFont="1" applyBorder="1" applyAlignment="1">
      <alignment horizontal="center" wrapText="1"/>
    </xf>
    <xf numFmtId="165" fontId="3" fillId="0" borderId="137" xfId="0" applyNumberFormat="1" applyFont="1" applyBorder="1" applyAlignment="1">
      <alignment horizontal="center" wrapText="1"/>
    </xf>
    <xf numFmtId="165" fontId="3" fillId="0" borderId="136" xfId="0" applyNumberFormat="1" applyFont="1" applyBorder="1" applyAlignment="1">
      <alignment horizontal="left" wrapText="1"/>
    </xf>
    <xf numFmtId="49" fontId="3" fillId="0" borderId="125" xfId="0" applyNumberFormat="1" applyFont="1" applyBorder="1" applyAlignment="1">
      <alignment horizontal="center"/>
    </xf>
    <xf numFmtId="49" fontId="3" fillId="0" borderId="136" xfId="0" applyNumberFormat="1" applyFont="1" applyBorder="1" applyAlignment="1">
      <alignment horizontal="left"/>
    </xf>
    <xf numFmtId="165" fontId="3" fillId="0" borderId="125" xfId="0" applyNumberFormat="1" applyFont="1" applyBorder="1" applyAlignment="1">
      <alignment horizontal="left" wrapText="1"/>
    </xf>
    <xf numFmtId="49" fontId="3" fillId="0" borderId="89" xfId="0" applyNumberFormat="1" applyFont="1" applyBorder="1" applyAlignment="1">
      <alignment horizontal="left" wrapText="1"/>
    </xf>
    <xf numFmtId="49" fontId="3" fillId="0" borderId="49" xfId="0" applyNumberFormat="1" applyFont="1" applyBorder="1" applyAlignment="1">
      <alignment horizontal="left" wrapText="1"/>
    </xf>
    <xf numFmtId="165" fontId="3" fillId="0" borderId="125" xfId="0" applyNumberFormat="1" applyFont="1" applyBorder="1" applyAlignment="1">
      <alignment horizontal="left"/>
    </xf>
    <xf numFmtId="165" fontId="4" fillId="0" borderId="48" xfId="0" applyNumberFormat="1" applyFont="1" applyBorder="1" applyAlignment="1">
      <alignment horizontal="center" wrapText="1"/>
    </xf>
    <xf numFmtId="165" fontId="4" fillId="0" borderId="89" xfId="0" applyNumberFormat="1" applyFont="1" applyBorder="1" applyAlignment="1">
      <alignment horizontal="center" wrapText="1"/>
    </xf>
    <xf numFmtId="165" fontId="4" fillId="0" borderId="36" xfId="0" applyNumberFormat="1" applyFont="1" applyBorder="1" applyAlignment="1">
      <alignment horizontal="center" wrapText="1"/>
    </xf>
    <xf numFmtId="165" fontId="3" fillId="0" borderId="132" xfId="0" applyNumberFormat="1" applyFont="1" applyBorder="1" applyAlignment="1">
      <alignment horizontal="left"/>
    </xf>
    <xf numFmtId="49" fontId="3" fillId="0" borderId="132" xfId="0" applyNumberFormat="1" applyFont="1" applyBorder="1" applyAlignment="1">
      <alignment horizontal="left"/>
    </xf>
    <xf numFmtId="0" fontId="2" fillId="0" borderId="12" xfId="0" applyFont="1" applyBorder="1" applyAlignment="1">
      <alignment wrapText="1"/>
    </xf>
    <xf numFmtId="49" fontId="3" fillId="0" borderId="11" xfId="0" applyNumberFormat="1" applyFont="1" applyBorder="1" applyAlignment="1">
      <alignment horizontal="left"/>
    </xf>
    <xf numFmtId="165" fontId="4" fillId="0" borderId="4" xfId="0" applyNumberFormat="1" applyFont="1" applyBorder="1" applyAlignment="1">
      <alignment horizontal="left" wrapText="1"/>
    </xf>
    <xf numFmtId="0" fontId="8" fillId="0" borderId="80" xfId="0" applyFont="1" applyBorder="1" applyAlignment="1">
      <alignment horizontal="center" wrapText="1"/>
    </xf>
    <xf numFmtId="0" fontId="8" fillId="0" borderId="64" xfId="0" applyFont="1" applyBorder="1" applyAlignment="1">
      <alignment horizontal="center" wrapText="1"/>
    </xf>
    <xf numFmtId="165" fontId="3" fillId="0" borderId="135" xfId="0" applyNumberFormat="1" applyFont="1" applyBorder="1" applyAlignment="1">
      <alignment horizontal="center"/>
    </xf>
    <xf numFmtId="165" fontId="3" fillId="0" borderId="50" xfId="0" applyNumberFormat="1" applyFont="1" applyBorder="1" applyAlignment="1">
      <alignment horizontal="left"/>
    </xf>
    <xf numFmtId="165" fontId="3" fillId="0" borderId="134" xfId="0" applyNumberFormat="1" applyFont="1" applyBorder="1" applyAlignment="1">
      <alignment horizontal="center"/>
    </xf>
    <xf numFmtId="165" fontId="3" fillId="0" borderId="78" xfId="0" applyNumberFormat="1" applyFont="1" applyBorder="1" applyAlignment="1">
      <alignment horizontal="center"/>
    </xf>
    <xf numFmtId="11" fontId="3" fillId="0" borderId="130" xfId="0" applyNumberFormat="1" applyFont="1" applyBorder="1" applyAlignment="1">
      <alignment horizontal="center" wrapText="1"/>
    </xf>
    <xf numFmtId="165" fontId="3" fillId="0" borderId="60" xfId="0" applyNumberFormat="1" applyFont="1" applyBorder="1" applyAlignment="1">
      <alignment horizontal="center" wrapText="1"/>
    </xf>
    <xf numFmtId="165" fontId="3" fillId="0" borderId="177" xfId="0" applyNumberFormat="1" applyFont="1" applyBorder="1" applyAlignment="1">
      <alignment horizontal="left"/>
    </xf>
    <xf numFmtId="0" fontId="3" fillId="0" borderId="29" xfId="0" applyFont="1" applyBorder="1"/>
    <xf numFmtId="49" fontId="3" fillId="0" borderId="11" xfId="0" applyNumberFormat="1" applyFont="1" applyBorder="1"/>
    <xf numFmtId="49" fontId="4" fillId="0" borderId="3" xfId="0" applyNumberFormat="1" applyFont="1" applyBorder="1" applyAlignment="1">
      <alignment horizontal="center" wrapText="1"/>
    </xf>
    <xf numFmtId="165" fontId="3" fillId="0" borderId="140" xfId="0" applyNumberFormat="1" applyFont="1" applyBorder="1" applyAlignment="1">
      <alignment horizontal="center"/>
    </xf>
    <xf numFmtId="49" fontId="4" fillId="0" borderId="12" xfId="0" applyNumberFormat="1" applyFont="1" applyBorder="1"/>
    <xf numFmtId="49" fontId="3" fillId="0" borderId="13" xfId="0" applyNumberFormat="1" applyFont="1" applyBorder="1"/>
    <xf numFmtId="49" fontId="5" fillId="0" borderId="0" xfId="0" applyNumberFormat="1" applyFont="1" applyAlignment="1">
      <alignment horizontal="centerContinuous" vertical="center" wrapText="1"/>
    </xf>
    <xf numFmtId="0" fontId="3" fillId="0" borderId="0" xfId="0" applyFont="1" applyAlignment="1">
      <alignment horizontal="centerContinuous" vertical="center"/>
    </xf>
    <xf numFmtId="165" fontId="3" fillId="0" borderId="0" xfId="0" applyNumberFormat="1" applyFont="1" applyAlignment="1">
      <alignment horizontal="centerContinuous" vertical="center"/>
    </xf>
    <xf numFmtId="165" fontId="3" fillId="0" borderId="75" xfId="0" applyNumberFormat="1" applyFont="1" applyBorder="1" applyAlignment="1">
      <alignment horizontal="centerContinuous"/>
    </xf>
    <xf numFmtId="0" fontId="0" fillId="0" borderId="15" xfId="0" applyBorder="1" applyAlignment="1">
      <alignment horizontal="centerContinuous"/>
    </xf>
    <xf numFmtId="165" fontId="3" fillId="0" borderId="80" xfId="0" applyNumberFormat="1" applyFont="1" applyBorder="1" applyAlignment="1">
      <alignment horizontal="centerContinuous" wrapText="1"/>
    </xf>
    <xf numFmtId="0" fontId="0" fillId="0" borderId="53" xfId="0" applyBorder="1" applyAlignment="1">
      <alignment horizontal="centerContinuous"/>
    </xf>
    <xf numFmtId="0" fontId="0" fillId="0" borderId="64" xfId="0" applyBorder="1" applyAlignment="1">
      <alignment horizontal="centerContinuous"/>
    </xf>
    <xf numFmtId="165" fontId="3" fillId="0" borderId="25" xfId="0" applyNumberFormat="1" applyFont="1" applyBorder="1" applyAlignment="1">
      <alignment horizontal="centerContinuous"/>
    </xf>
    <xf numFmtId="0" fontId="3" fillId="0" borderId="40" xfId="0" applyFont="1" applyBorder="1" applyAlignment="1">
      <alignment horizontal="centerContinuous"/>
    </xf>
    <xf numFmtId="0" fontId="3" fillId="0" borderId="167" xfId="0" applyFont="1" applyBorder="1" applyAlignment="1">
      <alignment horizontal="centerContinuous"/>
    </xf>
    <xf numFmtId="165" fontId="3" fillId="0" borderId="35" xfId="0" applyNumberFormat="1" applyFont="1" applyBorder="1" applyAlignment="1">
      <alignment horizontal="centerContinuous"/>
    </xf>
    <xf numFmtId="0" fontId="3" fillId="0" borderId="90" xfId="0" applyFont="1" applyBorder="1" applyAlignment="1">
      <alignment horizontal="centerContinuous"/>
    </xf>
    <xf numFmtId="0" fontId="3" fillId="0" borderId="169" xfId="0" applyFont="1" applyBorder="1" applyAlignment="1">
      <alignment horizontal="centerContinuous"/>
    </xf>
    <xf numFmtId="49" fontId="4" fillId="0" borderId="2" xfId="0" applyNumberFormat="1" applyFont="1" applyBorder="1" applyAlignment="1">
      <alignment horizontal="centerContinuous"/>
    </xf>
    <xf numFmtId="11" fontId="3" fillId="0" borderId="19" xfId="0" applyNumberFormat="1" applyFont="1" applyBorder="1" applyAlignment="1">
      <alignment horizontal="center" wrapText="1"/>
    </xf>
    <xf numFmtId="11" fontId="57" fillId="0" borderId="19" xfId="0" applyNumberFormat="1" applyFont="1" applyBorder="1" applyAlignment="1">
      <alignment horizontal="center" wrapText="1"/>
    </xf>
    <xf numFmtId="11" fontId="3" fillId="0" borderId="20" xfId="0" applyNumberFormat="1" applyFont="1" applyBorder="1" applyAlignment="1">
      <alignment horizontal="center" wrapText="1"/>
    </xf>
    <xf numFmtId="0" fontId="3" fillId="0" borderId="21" xfId="0" applyFont="1" applyBorder="1" applyAlignment="1">
      <alignment horizontal="center" wrapText="1"/>
    </xf>
    <xf numFmtId="165" fontId="3" fillId="0" borderId="83" xfId="0" applyNumberFormat="1" applyFont="1" applyBorder="1" applyAlignment="1">
      <alignment horizontal="center" wrapText="1"/>
    </xf>
    <xf numFmtId="165" fontId="3" fillId="0" borderId="49" xfId="0" applyNumberFormat="1" applyFont="1" applyBorder="1" applyAlignment="1">
      <alignment horizontal="center" wrapText="1"/>
    </xf>
    <xf numFmtId="49" fontId="4" fillId="0" borderId="170" xfId="0" applyNumberFormat="1" applyFont="1" applyBorder="1"/>
    <xf numFmtId="11" fontId="3" fillId="0" borderId="108" xfId="0" applyNumberFormat="1" applyFont="1" applyBorder="1" applyAlignment="1">
      <alignment horizontal="center"/>
    </xf>
    <xf numFmtId="11" fontId="57" fillId="0" borderId="108" xfId="0" applyNumberFormat="1" applyFont="1" applyBorder="1" applyAlignment="1">
      <alignment horizontal="center"/>
    </xf>
    <xf numFmtId="11" fontId="3" fillId="0" borderId="24" xfId="0" applyNumberFormat="1" applyFont="1" applyBorder="1" applyAlignment="1">
      <alignment horizontal="center"/>
    </xf>
    <xf numFmtId="0" fontId="3" fillId="0" borderId="104" xfId="0" applyFont="1" applyBorder="1" applyAlignment="1">
      <alignment horizontal="center"/>
    </xf>
    <xf numFmtId="165" fontId="3" fillId="0" borderId="76" xfId="0" applyNumberFormat="1" applyFont="1" applyBorder="1" applyAlignment="1">
      <alignment horizontal="center"/>
    </xf>
    <xf numFmtId="165" fontId="3" fillId="0" borderId="108" xfId="0" applyNumberFormat="1" applyFont="1" applyBorder="1" applyAlignment="1">
      <alignment horizontal="center"/>
    </xf>
    <xf numFmtId="165" fontId="3" fillId="0" borderId="24" xfId="0" applyNumberFormat="1" applyFont="1" applyBorder="1" applyAlignment="1">
      <alignment horizontal="center"/>
    </xf>
    <xf numFmtId="165" fontId="3" fillId="0" borderId="55" xfId="0" applyNumberFormat="1" applyFont="1" applyBorder="1" applyAlignment="1">
      <alignment horizontal="center"/>
    </xf>
    <xf numFmtId="165" fontId="3" fillId="0" borderId="178" xfId="0" applyNumberFormat="1" applyFont="1" applyBorder="1" applyAlignment="1">
      <alignment horizontal="center"/>
    </xf>
    <xf numFmtId="11" fontId="3" fillId="0" borderId="152" xfId="0" applyNumberFormat="1" applyFont="1" applyBorder="1" applyAlignment="1">
      <alignment horizontal="center"/>
    </xf>
    <xf numFmtId="11" fontId="3" fillId="0" borderId="154" xfId="0" applyNumberFormat="1" applyFont="1" applyBorder="1" applyAlignment="1">
      <alignment horizontal="center"/>
    </xf>
    <xf numFmtId="11" fontId="3" fillId="0" borderId="157" xfId="0" applyNumberFormat="1" applyFont="1" applyBorder="1" applyAlignment="1">
      <alignment horizontal="center"/>
    </xf>
    <xf numFmtId="11" fontId="3" fillId="0" borderId="59" xfId="0" applyNumberFormat="1" applyFont="1" applyBorder="1" applyAlignment="1">
      <alignment horizontal="center"/>
    </xf>
    <xf numFmtId="11" fontId="3" fillId="0" borderId="89" xfId="0" applyNumberFormat="1" applyFont="1" applyBorder="1" applyAlignment="1">
      <alignment horizontal="center"/>
    </xf>
    <xf numFmtId="11" fontId="3" fillId="0" borderId="131" xfId="0" applyNumberFormat="1" applyFont="1" applyBorder="1" applyAlignment="1">
      <alignment horizontal="center"/>
    </xf>
    <xf numFmtId="11" fontId="3" fillId="0" borderId="61" xfId="0" applyNumberFormat="1" applyFont="1" applyBorder="1" applyAlignment="1">
      <alignment horizontal="center"/>
    </xf>
    <xf numFmtId="11" fontId="3" fillId="0" borderId="132" xfId="0" applyNumberFormat="1" applyFont="1" applyBorder="1" applyAlignment="1">
      <alignment horizontal="center"/>
    </xf>
    <xf numFmtId="0" fontId="3" fillId="0" borderId="12" xfId="0" applyFont="1" applyBorder="1"/>
    <xf numFmtId="0" fontId="7" fillId="0" borderId="13" xfId="0" applyFont="1" applyBorder="1"/>
    <xf numFmtId="165" fontId="3" fillId="0" borderId="11" xfId="0" applyNumberFormat="1" applyFont="1" applyBorder="1" applyAlignment="1">
      <alignment horizontal="centerContinuous"/>
    </xf>
    <xf numFmtId="165" fontId="10" fillId="0" borderId="11" xfId="0" applyNumberFormat="1" applyFont="1" applyBorder="1" applyAlignment="1">
      <alignment horizontal="centerContinuous"/>
    </xf>
    <xf numFmtId="11" fontId="10" fillId="0" borderId="206" xfId="0" applyNumberFormat="1" applyFont="1" applyBorder="1" applyAlignment="1">
      <alignment horizontal="center" wrapText="1"/>
    </xf>
    <xf numFmtId="0" fontId="3" fillId="0" borderId="206" xfId="0" applyFont="1" applyBorder="1" applyAlignment="1">
      <alignment horizontal="center" wrapText="1"/>
    </xf>
    <xf numFmtId="165" fontId="3" fillId="0" borderId="204" xfId="0" applyNumberFormat="1" applyFont="1" applyBorder="1" applyAlignment="1">
      <alignment horizontal="center" wrapText="1"/>
    </xf>
    <xf numFmtId="49" fontId="4" fillId="0" borderId="92" xfId="0" applyNumberFormat="1" applyFont="1" applyBorder="1"/>
    <xf numFmtId="11" fontId="3" fillId="0" borderId="207" xfId="0" applyNumberFormat="1" applyFont="1" applyBorder="1" applyAlignment="1">
      <alignment horizontal="center"/>
    </xf>
    <xf numFmtId="165" fontId="3" fillId="0" borderId="207" xfId="0" applyNumberFormat="1" applyFont="1" applyBorder="1" applyAlignment="1">
      <alignment horizontal="center"/>
    </xf>
    <xf numFmtId="165" fontId="3" fillId="0" borderId="198" xfId="0" applyNumberFormat="1" applyFont="1" applyBorder="1" applyAlignment="1">
      <alignment horizontal="center"/>
    </xf>
    <xf numFmtId="165" fontId="3" fillId="0" borderId="40" xfId="0" applyNumberFormat="1" applyFont="1" applyBorder="1" applyAlignment="1">
      <alignment horizontal="center"/>
    </xf>
    <xf numFmtId="11" fontId="3" fillId="0" borderId="99" xfId="0" applyNumberFormat="1" applyFont="1" applyBorder="1" applyAlignment="1">
      <alignment horizontal="center"/>
    </xf>
    <xf numFmtId="11" fontId="3" fillId="0" borderId="17" xfId="0" applyNumberFormat="1" applyFont="1" applyBorder="1" applyAlignment="1">
      <alignment horizontal="center"/>
    </xf>
    <xf numFmtId="49" fontId="3" fillId="0" borderId="94" xfId="0" applyNumberFormat="1" applyFont="1" applyBorder="1" applyProtection="1">
      <protection hidden="1"/>
    </xf>
    <xf numFmtId="165" fontId="3" fillId="0" borderId="205" xfId="0" applyNumberFormat="1" applyFont="1" applyBorder="1" applyAlignment="1">
      <alignment horizontal="center"/>
    </xf>
    <xf numFmtId="49" fontId="4" fillId="0" borderId="8" xfId="0" applyNumberFormat="1" applyFont="1" applyBorder="1"/>
    <xf numFmtId="165" fontId="2" fillId="0" borderId="0" xfId="0" applyNumberFormat="1" applyFont="1"/>
    <xf numFmtId="11" fontId="4" fillId="0" borderId="0" xfId="0" applyNumberFormat="1" applyFont="1" applyAlignment="1">
      <alignment horizontal="centerContinuous"/>
    </xf>
    <xf numFmtId="165" fontId="4" fillId="0" borderId="4" xfId="0" applyNumberFormat="1" applyFont="1" applyBorder="1" applyAlignment="1">
      <alignment horizontal="center" wrapText="1"/>
    </xf>
    <xf numFmtId="0" fontId="4" fillId="0" borderId="53" xfId="0" applyFont="1" applyBorder="1" applyAlignment="1">
      <alignment horizontal="center" wrapText="1"/>
    </xf>
    <xf numFmtId="49" fontId="4" fillId="0" borderId="63" xfId="0" applyNumberFormat="1" applyFont="1" applyBorder="1" applyAlignment="1">
      <alignment horizontal="center" wrapText="1"/>
    </xf>
    <xf numFmtId="49" fontId="4" fillId="0" borderId="54" xfId="0" applyNumberFormat="1" applyFont="1" applyBorder="1" applyAlignment="1">
      <alignment horizontal="center" wrapText="1"/>
    </xf>
    <xf numFmtId="11" fontId="4" fillId="0" borderId="64" xfId="0" applyNumberFormat="1" applyFont="1" applyBorder="1" applyAlignment="1">
      <alignment horizontal="center" wrapText="1"/>
    </xf>
    <xf numFmtId="11" fontId="3" fillId="0" borderId="37" xfId="0" applyNumberFormat="1" applyFont="1" applyBorder="1" applyAlignment="1">
      <alignment horizontal="center"/>
    </xf>
    <xf numFmtId="11" fontId="3" fillId="0" borderId="36" xfId="0" applyNumberFormat="1" applyFont="1" applyBorder="1" applyAlignment="1">
      <alignment horizontal="center"/>
    </xf>
    <xf numFmtId="11" fontId="3" fillId="0" borderId="65" xfId="0" applyNumberFormat="1" applyFont="1" applyBorder="1" applyAlignment="1">
      <alignment horizontal="center"/>
    </xf>
    <xf numFmtId="11" fontId="3" fillId="0" borderId="114" xfId="0" applyNumberFormat="1" applyFont="1" applyBorder="1" applyAlignment="1">
      <alignment horizontal="center"/>
    </xf>
    <xf numFmtId="11" fontId="3" fillId="0" borderId="113" xfId="0" applyNumberFormat="1" applyFont="1" applyBorder="1" applyAlignment="1">
      <alignment horizontal="center"/>
    </xf>
    <xf numFmtId="49" fontId="3" fillId="0" borderId="8" xfId="0" applyNumberFormat="1" applyFont="1" applyBorder="1" applyAlignment="1">
      <alignment horizontal="center"/>
    </xf>
    <xf numFmtId="11" fontId="3" fillId="0" borderId="8" xfId="0" applyNumberFormat="1" applyFont="1" applyBorder="1" applyAlignment="1">
      <alignment horizontal="center"/>
    </xf>
    <xf numFmtId="11" fontId="3" fillId="0" borderId="29" xfId="0" applyNumberFormat="1" applyFont="1" applyBorder="1" applyAlignment="1">
      <alignment horizontal="center"/>
    </xf>
    <xf numFmtId="11" fontId="3" fillId="0" borderId="12" xfId="0" applyNumberFormat="1" applyFont="1" applyBorder="1" applyAlignment="1">
      <alignment horizontal="center"/>
    </xf>
    <xf numFmtId="0" fontId="3" fillId="0" borderId="11" xfId="0" applyFont="1" applyBorder="1" applyAlignment="1">
      <alignment horizontal="center"/>
    </xf>
    <xf numFmtId="49" fontId="3" fillId="0" borderId="11" xfId="0" applyNumberFormat="1" applyFont="1" applyBorder="1" applyAlignment="1">
      <alignment horizontal="center"/>
    </xf>
    <xf numFmtId="11" fontId="3" fillId="0" borderId="13" xfId="0" applyNumberFormat="1" applyFont="1" applyBorder="1" applyAlignment="1">
      <alignment horizontal="center"/>
    </xf>
    <xf numFmtId="11" fontId="4" fillId="0" borderId="0" xfId="0" applyNumberFormat="1" applyFont="1" applyAlignment="1">
      <alignment horizontal="left"/>
    </xf>
    <xf numFmtId="11" fontId="3" fillId="0" borderId="121" xfId="0" applyNumberFormat="1" applyFont="1" applyBorder="1" applyAlignment="1">
      <alignment horizontal="center"/>
    </xf>
    <xf numFmtId="11" fontId="3" fillId="0" borderId="77" xfId="0" applyNumberFormat="1" applyFont="1" applyBorder="1" applyAlignment="1">
      <alignment horizontal="center"/>
    </xf>
    <xf numFmtId="11" fontId="3" fillId="0" borderId="125" xfId="0" applyNumberFormat="1" applyFont="1" applyBorder="1" applyAlignment="1">
      <alignment horizontal="center"/>
    </xf>
    <xf numFmtId="0" fontId="18" fillId="0" borderId="9" xfId="0" applyFont="1" applyBorder="1"/>
    <xf numFmtId="164" fontId="4" fillId="0" borderId="0" xfId="0" applyNumberFormat="1" applyFont="1" applyAlignment="1">
      <alignment horizontal="center"/>
    </xf>
    <xf numFmtId="165" fontId="4" fillId="0" borderId="15" xfId="0" applyNumberFormat="1" applyFont="1" applyBorder="1" applyAlignment="1">
      <alignment horizontal="center"/>
    </xf>
    <xf numFmtId="165" fontId="4" fillId="0" borderId="54" xfId="0" applyNumberFormat="1" applyFont="1" applyBorder="1" applyAlignment="1">
      <alignment horizontal="center" wrapText="1"/>
    </xf>
    <xf numFmtId="164" fontId="3" fillId="0" borderId="0" xfId="0" applyNumberFormat="1" applyFont="1" applyAlignment="1">
      <alignment horizontal="center"/>
    </xf>
    <xf numFmtId="49" fontId="3" fillId="0" borderId="0" xfId="0" applyNumberFormat="1" applyFont="1" applyAlignment="1">
      <alignment horizontal="centerContinuous"/>
    </xf>
    <xf numFmtId="1" fontId="4" fillId="0" borderId="0" xfId="0" applyNumberFormat="1" applyFont="1" applyAlignment="1">
      <alignment horizontal="centerContinuous"/>
    </xf>
    <xf numFmtId="1" fontId="12" fillId="0" borderId="0" xfId="0" applyNumberFormat="1" applyFont="1" applyAlignment="1">
      <alignment horizontal="centerContinuous"/>
    </xf>
    <xf numFmtId="2" fontId="76" fillId="0" borderId="0" xfId="0" applyNumberFormat="1" applyFont="1" applyAlignment="1">
      <alignment horizontal="centerContinuous"/>
    </xf>
    <xf numFmtId="11" fontId="76" fillId="0" borderId="0" xfId="0" applyNumberFormat="1" applyFont="1" applyAlignment="1">
      <alignment horizontal="centerContinuous" vertical="center"/>
    </xf>
    <xf numFmtId="11" fontId="4" fillId="0" borderId="0" xfId="0" applyNumberFormat="1" applyFont="1" applyAlignment="1">
      <alignment horizontal="centerContinuous" vertical="center"/>
    </xf>
    <xf numFmtId="0" fontId="83" fillId="0" borderId="0" xfId="0" applyFont="1" applyAlignment="1">
      <alignment horizontal="left"/>
    </xf>
    <xf numFmtId="1" fontId="3" fillId="0" borderId="0" xfId="0" applyNumberFormat="1" applyFont="1" applyAlignment="1">
      <alignment horizontal="center"/>
    </xf>
    <xf numFmtId="0" fontId="83" fillId="0" borderId="0" xfId="0" applyFont="1" applyAlignment="1">
      <alignment horizontal="center"/>
    </xf>
    <xf numFmtId="2" fontId="77" fillId="0" borderId="0" xfId="0" applyNumberFormat="1" applyFont="1" applyAlignment="1">
      <alignment horizontal="center"/>
    </xf>
    <xf numFmtId="11" fontId="77" fillId="0" borderId="0" xfId="0" applyNumberFormat="1" applyFont="1" applyAlignment="1">
      <alignment horizontal="center"/>
    </xf>
    <xf numFmtId="11" fontId="3" fillId="0" borderId="0" xfId="0" applyNumberFormat="1" applyFont="1"/>
    <xf numFmtId="1" fontId="3" fillId="0" borderId="2" xfId="0" applyNumberFormat="1" applyFont="1" applyBorder="1" applyAlignment="1">
      <alignment horizontal="left"/>
    </xf>
    <xf numFmtId="1" fontId="3" fillId="0" borderId="8" xfId="0" applyNumberFormat="1" applyFont="1" applyBorder="1" applyAlignment="1">
      <alignment horizontal="left"/>
    </xf>
    <xf numFmtId="1" fontId="3" fillId="0" borderId="31" xfId="0" applyNumberFormat="1" applyFont="1" applyBorder="1" applyAlignment="1">
      <alignment horizontal="center"/>
    </xf>
    <xf numFmtId="1" fontId="57" fillId="0" borderId="22" xfId="0" applyNumberFormat="1" applyFont="1" applyBorder="1" applyAlignment="1">
      <alignment horizontal="center"/>
    </xf>
    <xf numFmtId="11" fontId="3" fillId="0" borderId="22" xfId="0" applyNumberFormat="1" applyFont="1" applyBorder="1" applyAlignment="1">
      <alignment horizontal="center"/>
    </xf>
    <xf numFmtId="2" fontId="3" fillId="0" borderId="22" xfId="0" applyNumberFormat="1" applyFont="1" applyBorder="1" applyAlignment="1">
      <alignment horizontal="center"/>
    </xf>
    <xf numFmtId="2" fontId="77" fillId="0" borderId="22" xfId="0" applyNumberFormat="1" applyFont="1" applyBorder="1" applyAlignment="1">
      <alignment horizontal="center"/>
    </xf>
    <xf numFmtId="11" fontId="77" fillId="0" borderId="22" xfId="0" applyNumberFormat="1" applyFont="1" applyBorder="1" applyAlignment="1">
      <alignment horizontal="center"/>
    </xf>
    <xf numFmtId="11" fontId="77" fillId="0" borderId="109" xfId="0" applyNumberFormat="1" applyFont="1" applyBorder="1" applyAlignment="1">
      <alignment horizontal="center"/>
    </xf>
    <xf numFmtId="11" fontId="77" fillId="0" borderId="26" xfId="0" applyNumberFormat="1" applyFont="1" applyBorder="1" applyAlignment="1">
      <alignment horizontal="center"/>
    </xf>
    <xf numFmtId="1" fontId="3" fillId="0" borderId="32" xfId="0" applyNumberFormat="1" applyFont="1" applyBorder="1" applyAlignment="1">
      <alignment horizontal="center"/>
    </xf>
    <xf numFmtId="1" fontId="57" fillId="0" borderId="23" xfId="0" applyNumberFormat="1" applyFont="1" applyBorder="1" applyAlignment="1">
      <alignment horizontal="center"/>
    </xf>
    <xf numFmtId="11" fontId="4" fillId="0" borderId="23" xfId="0" applyNumberFormat="1" applyFont="1" applyBorder="1" applyAlignment="1">
      <alignment horizontal="center"/>
    </xf>
    <xf numFmtId="2" fontId="4" fillId="0" borderId="23" xfId="0" applyNumberFormat="1" applyFont="1" applyBorder="1" applyAlignment="1">
      <alignment horizontal="center"/>
    </xf>
    <xf numFmtId="2" fontId="76" fillId="0" borderId="23" xfId="0" applyNumberFormat="1" applyFont="1" applyBorder="1" applyAlignment="1">
      <alignment horizontal="center"/>
    </xf>
    <xf numFmtId="11" fontId="76" fillId="0" borderId="23" xfId="0" applyNumberFormat="1" applyFont="1" applyBorder="1" applyAlignment="1">
      <alignment horizontal="center" wrapText="1"/>
    </xf>
    <xf numFmtId="11" fontId="76" fillId="0" borderId="23" xfId="0" applyNumberFormat="1" applyFont="1" applyBorder="1" applyAlignment="1">
      <alignment horizontal="center"/>
    </xf>
    <xf numFmtId="11" fontId="76" fillId="0" borderId="67" xfId="0" applyNumberFormat="1" applyFont="1" applyBorder="1" applyAlignment="1">
      <alignment horizontal="center"/>
    </xf>
    <xf numFmtId="11" fontId="76" fillId="0" borderId="27" xfId="0" applyNumberFormat="1" applyFont="1" applyBorder="1" applyAlignment="1">
      <alignment horizontal="center"/>
    </xf>
    <xf numFmtId="1" fontId="4" fillId="0" borderId="32" xfId="0" applyNumberFormat="1" applyFont="1" applyBorder="1" applyAlignment="1">
      <alignment horizontal="center"/>
    </xf>
    <xf numFmtId="1" fontId="12" fillId="0" borderId="23" xfId="0" applyNumberFormat="1" applyFont="1" applyBorder="1" applyAlignment="1">
      <alignment horizontal="center"/>
    </xf>
    <xf numFmtId="2" fontId="76" fillId="0" borderId="137" xfId="0" applyNumberFormat="1" applyFont="1" applyBorder="1" applyAlignment="1">
      <alignment horizontal="center"/>
    </xf>
    <xf numFmtId="2" fontId="76" fillId="0" borderId="59" xfId="0" applyNumberFormat="1" applyFont="1" applyBorder="1" applyAlignment="1">
      <alignment horizontal="center"/>
    </xf>
    <xf numFmtId="0" fontId="86" fillId="0" borderId="0" xfId="0" applyFont="1" applyAlignment="1">
      <alignment horizontal="left" vertical="center"/>
    </xf>
    <xf numFmtId="0" fontId="4" fillId="0" borderId="170" xfId="0" applyFont="1" applyBorder="1" applyAlignment="1">
      <alignment horizontal="left" vertical="center"/>
    </xf>
    <xf numFmtId="1" fontId="4" fillId="0" borderId="146" xfId="0" applyNumberFormat="1" applyFont="1" applyBorder="1" applyAlignment="1">
      <alignment horizontal="center"/>
    </xf>
    <xf numFmtId="1" fontId="12" fillId="0" borderId="70" xfId="0" applyNumberFormat="1" applyFont="1" applyBorder="1" applyAlignment="1">
      <alignment horizontal="center"/>
    </xf>
    <xf numFmtId="11" fontId="4" fillId="0" borderId="24" xfId="0" applyNumberFormat="1" applyFont="1" applyBorder="1" applyAlignment="1">
      <alignment horizontal="center" vertical="center"/>
    </xf>
    <xf numFmtId="11" fontId="76" fillId="0" borderId="24" xfId="0" applyNumberFormat="1" applyFont="1" applyBorder="1" applyAlignment="1">
      <alignment horizontal="center" vertical="center"/>
    </xf>
    <xf numFmtId="2" fontId="4" fillId="0" borderId="24" xfId="0" applyNumberFormat="1" applyFont="1" applyBorder="1" applyAlignment="1">
      <alignment horizontal="center" vertical="center"/>
    </xf>
    <xf numFmtId="2" fontId="76" fillId="0" borderId="24" xfId="0" applyNumberFormat="1" applyFont="1" applyBorder="1" applyAlignment="1">
      <alignment horizontal="center" vertical="center"/>
    </xf>
    <xf numFmtId="11" fontId="76" fillId="0" borderId="28" xfId="0" applyNumberFormat="1" applyFont="1" applyBorder="1" applyAlignment="1">
      <alignment horizontal="center" vertical="center"/>
    </xf>
    <xf numFmtId="0" fontId="3" fillId="0" borderId="161" xfId="0" applyFont="1" applyBorder="1" applyAlignment="1">
      <alignment horizontal="center"/>
    </xf>
    <xf numFmtId="49" fontId="3" fillId="0" borderId="153" xfId="0" applyNumberFormat="1" applyFont="1" applyBorder="1" applyAlignment="1">
      <alignment horizontal="center"/>
    </xf>
    <xf numFmtId="1" fontId="3" fillId="0" borderId="135" xfId="0" applyNumberFormat="1" applyFont="1" applyBorder="1" applyAlignment="1">
      <alignment horizontal="center"/>
    </xf>
    <xf numFmtId="1" fontId="3" fillId="0" borderId="154" xfId="0" applyNumberFormat="1" applyFont="1" applyBorder="1" applyAlignment="1">
      <alignment horizontal="center"/>
    </xf>
    <xf numFmtId="11" fontId="77" fillId="0" borderId="154" xfId="1" applyNumberFormat="1" applyFont="1" applyBorder="1" applyAlignment="1">
      <alignment horizontal="center"/>
    </xf>
    <xf numFmtId="164" fontId="77" fillId="0" borderId="154" xfId="1" applyNumberFormat="1" applyFont="1" applyBorder="1" applyAlignment="1">
      <alignment horizontal="center"/>
    </xf>
    <xf numFmtId="0" fontId="77" fillId="0" borderId="154" xfId="1" applyFont="1" applyBorder="1" applyAlignment="1">
      <alignment horizontal="center"/>
    </xf>
    <xf numFmtId="165" fontId="90" fillId="0" borderId="59" xfId="0" applyNumberFormat="1" applyFont="1" applyBorder="1" applyAlignment="1">
      <alignment horizontal="center" wrapText="1"/>
    </xf>
    <xf numFmtId="165" fontId="75" fillId="0" borderId="154" xfId="1" applyNumberFormat="1" applyFont="1" applyBorder="1" applyAlignment="1">
      <alignment horizontal="center"/>
    </xf>
    <xf numFmtId="165" fontId="77" fillId="0" borderId="154" xfId="1" applyNumberFormat="1" applyFont="1" applyBorder="1" applyAlignment="1">
      <alignment horizontal="center"/>
    </xf>
    <xf numFmtId="165" fontId="77" fillId="0" borderId="65" xfId="1" applyNumberFormat="1" applyFont="1" applyBorder="1" applyAlignment="1">
      <alignment horizontal="center"/>
    </xf>
    <xf numFmtId="0" fontId="87" fillId="0" borderId="0" xfId="0" applyFont="1" applyAlignment="1">
      <alignment horizontal="left" vertical="center"/>
    </xf>
    <xf numFmtId="49" fontId="3" fillId="0" borderId="50" xfId="0" applyNumberFormat="1" applyFont="1" applyBorder="1" applyAlignment="1">
      <alignment horizontal="center"/>
    </xf>
    <xf numFmtId="1" fontId="3" fillId="0" borderId="59" xfId="0" applyNumberFormat="1" applyFont="1" applyBorder="1" applyAlignment="1">
      <alignment horizontal="center"/>
    </xf>
    <xf numFmtId="11" fontId="77" fillId="0" borderId="59" xfId="1" applyNumberFormat="1" applyFont="1" applyBorder="1" applyAlignment="1">
      <alignment horizontal="center"/>
    </xf>
    <xf numFmtId="164" fontId="77" fillId="0" borderId="59" xfId="1" applyNumberFormat="1" applyFont="1" applyBorder="1" applyAlignment="1">
      <alignment horizontal="center"/>
    </xf>
    <xf numFmtId="0" fontId="77" fillId="0" borderId="59" xfId="1" applyFont="1" applyBorder="1" applyAlignment="1">
      <alignment horizontal="center"/>
    </xf>
    <xf numFmtId="165" fontId="77" fillId="0" borderId="59" xfId="1" applyNumberFormat="1" applyFont="1" applyBorder="1" applyAlignment="1">
      <alignment horizontal="center"/>
    </xf>
    <xf numFmtId="11" fontId="75" fillId="0" borderId="59" xfId="1" applyNumberFormat="1" applyFont="1" applyBorder="1" applyAlignment="1">
      <alignment horizontal="center"/>
    </xf>
    <xf numFmtId="0" fontId="75" fillId="0" borderId="17" xfId="0" applyFont="1" applyBorder="1" applyAlignment="1">
      <alignment horizontal="center"/>
    </xf>
    <xf numFmtId="11" fontId="75" fillId="0" borderId="65" xfId="1" applyNumberFormat="1" applyFont="1" applyBorder="1" applyAlignment="1">
      <alignment horizontal="center"/>
    </xf>
    <xf numFmtId="165" fontId="75" fillId="0" borderId="59" xfId="1" applyNumberFormat="1" applyFont="1" applyBorder="1" applyAlignment="1">
      <alignment horizontal="center"/>
    </xf>
    <xf numFmtId="165" fontId="75" fillId="0" borderId="65" xfId="1" applyNumberFormat="1" applyFont="1" applyBorder="1" applyAlignment="1">
      <alignment horizontal="center"/>
    </xf>
    <xf numFmtId="11" fontId="77" fillId="0" borderId="65" xfId="1" applyNumberFormat="1" applyFont="1" applyBorder="1" applyAlignment="1">
      <alignment horizontal="center"/>
    </xf>
    <xf numFmtId="0" fontId="75" fillId="0" borderId="59" xfId="1" applyFont="1" applyBorder="1" applyAlignment="1">
      <alignment horizontal="center"/>
    </xf>
    <xf numFmtId="49" fontId="3" fillId="0" borderId="49" xfId="0" applyNumberFormat="1" applyFont="1" applyBorder="1" applyAlignment="1">
      <alignment horizontal="center"/>
    </xf>
    <xf numFmtId="1" fontId="3" fillId="0" borderId="48" xfId="0" applyNumberFormat="1" applyFont="1" applyBorder="1" applyAlignment="1">
      <alignment horizontal="center"/>
    </xf>
    <xf numFmtId="164" fontId="75" fillId="0" borderId="59" xfId="1" applyNumberFormat="1" applyFont="1" applyBorder="1" applyAlignment="1">
      <alignment horizontal="center"/>
    </xf>
    <xf numFmtId="2" fontId="77" fillId="0" borderId="59" xfId="1" applyNumberFormat="1" applyFont="1" applyBorder="1" applyAlignment="1">
      <alignment horizontal="center"/>
    </xf>
    <xf numFmtId="165" fontId="75" fillId="0" borderId="0" xfId="0" applyNumberFormat="1" applyFont="1" applyAlignment="1">
      <alignment horizontal="center"/>
    </xf>
    <xf numFmtId="165" fontId="75" fillId="0" borderId="65" xfId="0" applyNumberFormat="1" applyFont="1" applyBorder="1" applyAlignment="1">
      <alignment horizontal="center"/>
    </xf>
    <xf numFmtId="0" fontId="3" fillId="0" borderId="59" xfId="0" applyFont="1" applyBorder="1" applyAlignment="1">
      <alignment horizontal="center"/>
    </xf>
    <xf numFmtId="1" fontId="75" fillId="0" borderId="48" xfId="0" applyNumberFormat="1" applyFont="1" applyBorder="1" applyAlignment="1">
      <alignment horizontal="center"/>
    </xf>
    <xf numFmtId="1" fontId="75" fillId="0" borderId="59" xfId="0" applyNumberFormat="1" applyFont="1" applyBorder="1" applyAlignment="1">
      <alignment horizontal="center"/>
    </xf>
    <xf numFmtId="49" fontId="3" fillId="0" borderId="52" xfId="0" applyNumberFormat="1" applyFont="1" applyBorder="1" applyAlignment="1">
      <alignment horizontal="center"/>
    </xf>
    <xf numFmtId="1" fontId="3" fillId="0" borderId="51" xfId="0" applyNumberFormat="1" applyFont="1" applyBorder="1" applyAlignment="1">
      <alignment horizontal="center"/>
    </xf>
    <xf numFmtId="1" fontId="3" fillId="0" borderId="61" xfId="0" applyNumberFormat="1" applyFont="1" applyBorder="1" applyAlignment="1">
      <alignment horizontal="center"/>
    </xf>
    <xf numFmtId="11" fontId="77" fillId="0" borderId="61" xfId="1" applyNumberFormat="1" applyFont="1" applyBorder="1" applyAlignment="1">
      <alignment horizontal="center"/>
    </xf>
    <xf numFmtId="164" fontId="77" fillId="0" borderId="61" xfId="1" applyNumberFormat="1" applyFont="1" applyBorder="1" applyAlignment="1">
      <alignment horizontal="center"/>
    </xf>
    <xf numFmtId="0" fontId="77" fillId="0" borderId="61" xfId="1" applyFont="1" applyBorder="1" applyAlignment="1">
      <alignment horizontal="center"/>
    </xf>
    <xf numFmtId="165" fontId="90" fillId="0" borderId="61" xfId="0" applyNumberFormat="1" applyFont="1" applyBorder="1" applyAlignment="1">
      <alignment horizontal="center" wrapText="1"/>
    </xf>
    <xf numFmtId="165" fontId="77" fillId="0" borderId="61" xfId="1" applyNumberFormat="1" applyFont="1" applyBorder="1" applyAlignment="1">
      <alignment horizontal="center"/>
    </xf>
    <xf numFmtId="165" fontId="77" fillId="0" borderId="82" xfId="1" applyNumberFormat="1" applyFont="1" applyBorder="1" applyAlignment="1">
      <alignment horizontal="center"/>
    </xf>
    <xf numFmtId="1" fontId="3" fillId="0" borderId="8" xfId="0" applyNumberFormat="1" applyFont="1" applyBorder="1" applyAlignment="1">
      <alignment horizontal="center"/>
    </xf>
    <xf numFmtId="0" fontId="2" fillId="0" borderId="8" xfId="0" applyFont="1" applyBorder="1"/>
    <xf numFmtId="2" fontId="2" fillId="0" borderId="8" xfId="0" applyNumberFormat="1" applyFont="1" applyBorder="1"/>
    <xf numFmtId="165" fontId="2" fillId="0" borderId="8" xfId="0" applyNumberFormat="1" applyFont="1" applyBorder="1"/>
    <xf numFmtId="165" fontId="2" fillId="0" borderId="29" xfId="0" applyNumberFormat="1" applyFont="1" applyBorder="1"/>
    <xf numFmtId="49" fontId="2" fillId="0" borderId="0" xfId="0" applyNumberFormat="1" applyFont="1"/>
    <xf numFmtId="11" fontId="2" fillId="0" borderId="0" xfId="0" applyNumberFormat="1" applyFont="1"/>
    <xf numFmtId="49" fontId="2" fillId="0" borderId="12" xfId="0" applyNumberFormat="1" applyFont="1" applyBorder="1"/>
    <xf numFmtId="0" fontId="3" fillId="0" borderId="12" xfId="0" applyFont="1" applyBorder="1" applyAlignment="1">
      <alignment wrapText="1"/>
    </xf>
    <xf numFmtId="0" fontId="2" fillId="0" borderId="12" xfId="0" applyFont="1" applyBorder="1"/>
    <xf numFmtId="49" fontId="80" fillId="0" borderId="9" xfId="0" applyNumberFormat="1" applyFont="1" applyBorder="1" applyAlignment="1">
      <alignment wrapText="1"/>
    </xf>
    <xf numFmtId="49" fontId="77" fillId="0" borderId="9" xfId="0" applyNumberFormat="1" applyFont="1" applyBorder="1" applyAlignment="1">
      <alignment horizontal="left"/>
    </xf>
    <xf numFmtId="1" fontId="3" fillId="0" borderId="0" xfId="0" applyNumberFormat="1" applyFont="1"/>
    <xf numFmtId="1" fontId="57" fillId="0" borderId="0" xfId="0" applyNumberFormat="1" applyFont="1"/>
    <xf numFmtId="2" fontId="3" fillId="0" borderId="0" xfId="0" applyNumberFormat="1" applyFont="1"/>
    <xf numFmtId="11" fontId="3" fillId="0" borderId="12" xfId="0" applyNumberFormat="1" applyFont="1" applyBorder="1"/>
    <xf numFmtId="2" fontId="2" fillId="0" borderId="0" xfId="0" applyNumberFormat="1" applyFont="1"/>
    <xf numFmtId="165" fontId="2" fillId="0" borderId="12" xfId="0" applyNumberFormat="1" applyFont="1" applyBorder="1"/>
    <xf numFmtId="1" fontId="2" fillId="0" borderId="0" xfId="0" applyNumberFormat="1" applyFont="1"/>
    <xf numFmtId="1" fontId="57" fillId="0" borderId="0" xfId="0" applyNumberFormat="1" applyFont="1" applyAlignment="1">
      <alignment horizontal="center"/>
    </xf>
    <xf numFmtId="2" fontId="3" fillId="0" borderId="0" xfId="0" applyNumberFormat="1" applyFont="1" applyAlignment="1">
      <alignment horizontal="center"/>
    </xf>
    <xf numFmtId="1" fontId="3" fillId="0" borderId="11" xfId="0" applyNumberFormat="1" applyFont="1" applyBorder="1"/>
    <xf numFmtId="1" fontId="57" fillId="0" borderId="11" xfId="0" applyNumberFormat="1" applyFont="1" applyBorder="1"/>
    <xf numFmtId="2" fontId="3" fillId="0" borderId="11" xfId="0" applyNumberFormat="1" applyFont="1" applyBorder="1"/>
    <xf numFmtId="11" fontId="3" fillId="0" borderId="11" xfId="0" applyNumberFormat="1" applyFont="1" applyBorder="1"/>
    <xf numFmtId="11" fontId="3" fillId="0" borderId="13" xfId="0" applyNumberFormat="1" applyFont="1" applyBorder="1"/>
    <xf numFmtId="1" fontId="7" fillId="0" borderId="0" xfId="0" applyNumberFormat="1" applyFont="1"/>
    <xf numFmtId="1" fontId="48" fillId="0" borderId="0" xfId="0" applyNumberFormat="1" applyFont="1"/>
    <xf numFmtId="2" fontId="79" fillId="0" borderId="0" xfId="0" applyNumberFormat="1" applyFont="1"/>
    <xf numFmtId="11" fontId="79" fillId="0" borderId="0" xfId="0" applyNumberFormat="1" applyFont="1"/>
    <xf numFmtId="11" fontId="77" fillId="0" borderId="0" xfId="0" applyNumberFormat="1" applyFont="1"/>
    <xf numFmtId="0" fontId="7" fillId="0" borderId="0" xfId="0" applyFont="1" applyAlignment="1">
      <alignment horizontal="centerContinuous" wrapText="1"/>
    </xf>
    <xf numFmtId="165" fontId="4" fillId="0" borderId="30" xfId="0" applyNumberFormat="1" applyFont="1" applyBorder="1" applyAlignment="1">
      <alignment horizontal="center"/>
    </xf>
    <xf numFmtId="0" fontId="3" fillId="0" borderId="66" xfId="0" applyFont="1" applyBorder="1"/>
    <xf numFmtId="0" fontId="8" fillId="0" borderId="8" xfId="0" applyFont="1" applyBorder="1" applyAlignment="1">
      <alignment horizontal="center"/>
    </xf>
    <xf numFmtId="0" fontId="8" fillId="0" borderId="109" xfId="0" applyFont="1" applyBorder="1" applyAlignment="1">
      <alignment horizontal="center"/>
    </xf>
    <xf numFmtId="0" fontId="8" fillId="0" borderId="22" xfId="0" applyFont="1" applyBorder="1" applyAlignment="1">
      <alignment horizontal="center"/>
    </xf>
    <xf numFmtId="0" fontId="4" fillId="0" borderId="29" xfId="0" applyFont="1" applyBorder="1" applyAlignment="1">
      <alignment horizontal="center"/>
    </xf>
    <xf numFmtId="0" fontId="3" fillId="0" borderId="34" xfId="0" applyFont="1" applyBorder="1"/>
    <xf numFmtId="0" fontId="4" fillId="0" borderId="67" xfId="0" applyFont="1" applyBorder="1" applyAlignment="1">
      <alignment horizontal="center"/>
    </xf>
    <xf numFmtId="0" fontId="4" fillId="0" borderId="23" xfId="0" applyFont="1" applyBorder="1" applyAlignment="1">
      <alignment horizontal="center"/>
    </xf>
    <xf numFmtId="0" fontId="4" fillId="0" borderId="12" xfId="0" applyFont="1" applyBorder="1" applyAlignment="1">
      <alignment horizontal="center"/>
    </xf>
    <xf numFmtId="0" fontId="4" fillId="0" borderId="68" xfId="0" applyFont="1" applyBorder="1" applyAlignment="1">
      <alignment horizontal="center" vertical="center"/>
    </xf>
    <xf numFmtId="165" fontId="4" fillId="0" borderId="44" xfId="0" applyNumberFormat="1" applyFont="1" applyBorder="1" applyAlignment="1">
      <alignment horizontal="center" vertical="center"/>
    </xf>
    <xf numFmtId="0" fontId="4" fillId="0" borderId="45" xfId="0" applyFont="1" applyBorder="1" applyAlignment="1">
      <alignment vertical="center"/>
    </xf>
    <xf numFmtId="0" fontId="4" fillId="0" borderId="46"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5" xfId="0" applyFont="1" applyBorder="1" applyAlignment="1">
      <alignment horizontal="center" vertical="center"/>
    </xf>
    <xf numFmtId="0" fontId="3" fillId="0" borderId="89" xfId="0" applyFont="1" applyBorder="1"/>
    <xf numFmtId="165" fontId="0" fillId="0" borderId="0" xfId="0" applyNumberFormat="1"/>
    <xf numFmtId="0" fontId="3" fillId="0" borderId="49" xfId="0" applyFont="1" applyBorder="1"/>
    <xf numFmtId="0" fontId="3" fillId="0" borderId="52" xfId="0" applyFont="1" applyBorder="1"/>
    <xf numFmtId="0" fontId="4" fillId="0" borderId="9" xfId="0" applyFont="1" applyBorder="1" applyAlignment="1">
      <alignment horizontal="left"/>
    </xf>
    <xf numFmtId="0" fontId="7" fillId="0" borderId="12" xfId="0" applyFont="1" applyBorder="1" applyAlignment="1">
      <alignment horizontal="center"/>
    </xf>
    <xf numFmtId="0" fontId="3" fillId="0" borderId="66" xfId="0" applyFont="1" applyBorder="1" applyAlignment="1">
      <alignment horizontal="left"/>
    </xf>
    <xf numFmtId="0" fontId="4" fillId="0" borderId="26" xfId="0" applyFont="1" applyBorder="1" applyAlignment="1">
      <alignment horizontal="center"/>
    </xf>
    <xf numFmtId="0" fontId="3" fillId="0" borderId="34" xfId="0" applyFont="1" applyBorder="1" applyAlignment="1">
      <alignment horizontal="left"/>
    </xf>
    <xf numFmtId="0" fontId="4" fillId="0" borderId="27" xfId="0" applyFont="1" applyBorder="1" applyAlignment="1">
      <alignment horizontal="center"/>
    </xf>
    <xf numFmtId="0" fontId="4" fillId="0" borderId="45" xfId="0" applyFont="1" applyBorder="1" applyAlignment="1">
      <alignment horizontal="left" vertical="center"/>
    </xf>
    <xf numFmtId="0" fontId="4" fillId="0" borderId="72" xfId="0" applyFont="1" applyBorder="1" applyAlignment="1">
      <alignment horizontal="center" vertical="center"/>
    </xf>
    <xf numFmtId="49" fontId="3" fillId="0" borderId="12" xfId="0" applyNumberFormat="1" applyFont="1" applyBorder="1" applyAlignment="1">
      <alignment horizontal="left"/>
    </xf>
    <xf numFmtId="0" fontId="4" fillId="0" borderId="30" xfId="0" applyFont="1" applyBorder="1" applyAlignment="1">
      <alignment horizontal="center"/>
    </xf>
    <xf numFmtId="0" fontId="8" fillId="0" borderId="96" xfId="0" applyFont="1" applyBorder="1" applyAlignment="1">
      <alignment horizontal="center"/>
    </xf>
    <xf numFmtId="0" fontId="4" fillId="0" borderId="35" xfId="0" applyFont="1" applyBorder="1" applyAlignment="1">
      <alignment horizontal="center"/>
    </xf>
    <xf numFmtId="0" fontId="4" fillId="0" borderId="73" xfId="0" applyFont="1" applyBorder="1" applyAlignment="1">
      <alignment horizontal="center"/>
    </xf>
    <xf numFmtId="0" fontId="4" fillId="0" borderId="44" xfId="0" applyFont="1" applyBorder="1" applyAlignment="1">
      <alignment horizontal="center" vertical="center"/>
    </xf>
    <xf numFmtId="0" fontId="4" fillId="0" borderId="71" xfId="0" applyFont="1" applyBorder="1" applyAlignment="1">
      <alignment horizontal="center" vertical="center"/>
    </xf>
    <xf numFmtId="0" fontId="4" fillId="0" borderId="54" xfId="0" applyFont="1" applyBorder="1" applyAlignment="1">
      <alignment horizontal="center" wrapText="1"/>
    </xf>
    <xf numFmtId="0" fontId="4" fillId="0" borderId="4" xfId="0" applyFont="1" applyBorder="1" applyAlignment="1">
      <alignment horizontal="center" wrapText="1"/>
    </xf>
    <xf numFmtId="49" fontId="3" fillId="0" borderId="134" xfId="0" applyNumberFormat="1" applyFont="1" applyBorder="1"/>
    <xf numFmtId="165" fontId="3" fillId="0" borderId="137" xfId="0" applyNumberFormat="1" applyFont="1" applyBorder="1"/>
    <xf numFmtId="165" fontId="3" fillId="0" borderId="50" xfId="0" applyNumberFormat="1" applyFont="1" applyBorder="1"/>
    <xf numFmtId="49" fontId="3" fillId="0" borderId="134" xfId="0" applyNumberFormat="1" applyFont="1" applyBorder="1" applyAlignment="1">
      <alignment horizontal="center"/>
    </xf>
    <xf numFmtId="0" fontId="3" fillId="0" borderId="134" xfId="0" applyFont="1" applyBorder="1" applyAlignment="1">
      <alignment horizontal="center" vertical="center"/>
    </xf>
    <xf numFmtId="165" fontId="3" fillId="0" borderId="137" xfId="0" applyNumberFormat="1" applyFont="1" applyBorder="1" applyAlignment="1">
      <alignment horizontal="center" vertical="center"/>
    </xf>
    <xf numFmtId="165" fontId="3" fillId="0" borderId="50" xfId="0" applyNumberFormat="1" applyFont="1" applyBorder="1" applyAlignment="1">
      <alignment horizontal="center" vertical="center"/>
    </xf>
    <xf numFmtId="49" fontId="3" fillId="0" borderId="130" xfId="0" applyNumberFormat="1" applyFont="1" applyBorder="1" applyAlignment="1">
      <alignment horizontal="center"/>
    </xf>
    <xf numFmtId="0" fontId="3" fillId="0" borderId="130" xfId="0" applyFont="1" applyBorder="1" applyAlignment="1">
      <alignment horizontal="center" vertical="center"/>
    </xf>
    <xf numFmtId="165" fontId="3" fillId="0" borderId="59" xfId="0" applyNumberFormat="1" applyFont="1" applyBorder="1" applyAlignment="1">
      <alignment horizontal="center" vertical="center"/>
    </xf>
    <xf numFmtId="165" fontId="3" fillId="0" borderId="49" xfId="0" applyNumberFormat="1" applyFont="1" applyBorder="1" applyAlignment="1">
      <alignment horizontal="center" vertical="center"/>
    </xf>
    <xf numFmtId="49" fontId="3" fillId="0" borderId="130" xfId="0" applyNumberFormat="1" applyFont="1" applyBorder="1" applyAlignment="1">
      <alignment horizontal="center" wrapText="1"/>
    </xf>
    <xf numFmtId="49" fontId="3" fillId="0" borderId="131" xfId="0" applyNumberFormat="1" applyFont="1" applyBorder="1" applyAlignment="1">
      <alignment horizontal="center"/>
    </xf>
    <xf numFmtId="49" fontId="4" fillId="0" borderId="0" xfId="0" applyNumberFormat="1" applyFont="1" applyAlignment="1">
      <alignment horizontal="centerContinuous" vertical="center"/>
    </xf>
    <xf numFmtId="0" fontId="4" fillId="0" borderId="31" xfId="0" applyFont="1" applyBorder="1" applyAlignment="1">
      <alignment horizontal="centerContinuous" vertical="center"/>
    </xf>
    <xf numFmtId="0" fontId="4" fillId="0" borderId="8" xfId="0" applyFont="1" applyBorder="1" applyAlignment="1">
      <alignment horizontal="centerContinuous" vertical="center"/>
    </xf>
    <xf numFmtId="11" fontId="4" fillId="0" borderId="8" xfId="0" applyNumberFormat="1" applyFont="1" applyBorder="1" applyAlignment="1">
      <alignment horizontal="centerContinuous"/>
    </xf>
    <xf numFmtId="11" fontId="3" fillId="0" borderId="8" xfId="0" applyNumberFormat="1" applyFont="1" applyBorder="1" applyAlignment="1">
      <alignment horizontal="centerContinuous"/>
    </xf>
    <xf numFmtId="49" fontId="3" fillId="0" borderId="8" xfId="0" applyNumberFormat="1" applyFont="1" applyBorder="1" applyAlignment="1">
      <alignment horizontal="centerContinuous"/>
    </xf>
    <xf numFmtId="49" fontId="3" fillId="0" borderId="29" xfId="0" applyNumberFormat="1" applyFont="1" applyBorder="1" applyAlignment="1">
      <alignment horizontal="centerContinuous"/>
    </xf>
    <xf numFmtId="11" fontId="8" fillId="0" borderId="24" xfId="0" applyNumberFormat="1" applyFont="1" applyBorder="1" applyAlignment="1">
      <alignment horizontal="center" vertical="center" textRotation="90"/>
    </xf>
    <xf numFmtId="11" fontId="8" fillId="0" borderId="103" xfId="0" applyNumberFormat="1" applyFont="1" applyBorder="1" applyAlignment="1">
      <alignment horizontal="center" vertical="center" textRotation="90"/>
    </xf>
    <xf numFmtId="11" fontId="4" fillId="0" borderId="24" xfId="0" applyNumberFormat="1" applyFont="1" applyBorder="1" applyAlignment="1">
      <alignment horizontal="center" vertical="center" textRotation="90"/>
    </xf>
    <xf numFmtId="49" fontId="4" fillId="0" borderId="24" xfId="0" applyNumberFormat="1" applyFont="1" applyBorder="1" applyAlignment="1">
      <alignment horizontal="center" vertical="center" textRotation="90"/>
    </xf>
    <xf numFmtId="165" fontId="4" fillId="0" borderId="24" xfId="0" applyNumberFormat="1" applyFont="1" applyBorder="1" applyAlignment="1">
      <alignment horizontal="center" vertical="center" textRotation="90"/>
    </xf>
    <xf numFmtId="165" fontId="8" fillId="0" borderId="104" xfId="0" applyNumberFormat="1" applyFont="1" applyBorder="1" applyAlignment="1">
      <alignment horizontal="center" vertical="center" textRotation="90"/>
    </xf>
    <xf numFmtId="49" fontId="4" fillId="0" borderId="28" xfId="0" applyNumberFormat="1" applyFont="1" applyBorder="1" applyAlignment="1">
      <alignment horizontal="left"/>
    </xf>
    <xf numFmtId="0" fontId="3" fillId="0" borderId="0" xfId="0" applyFont="1" applyAlignment="1">
      <alignment vertical="center" textRotation="90"/>
    </xf>
    <xf numFmtId="49" fontId="3" fillId="0" borderId="161" xfId="0" applyNumberFormat="1" applyFont="1" applyBorder="1" applyAlignment="1">
      <alignment horizontal="center"/>
    </xf>
    <xf numFmtId="1" fontId="3" fillId="0" borderId="152" xfId="0" applyNumberFormat="1" applyFont="1" applyBorder="1" applyAlignment="1">
      <alignment horizontal="center"/>
    </xf>
    <xf numFmtId="49" fontId="3" fillId="0" borderId="156" xfId="0" applyNumberFormat="1" applyFont="1" applyBorder="1" applyAlignment="1">
      <alignment horizontal="left"/>
    </xf>
    <xf numFmtId="49" fontId="3" fillId="0" borderId="17" xfId="0" applyNumberFormat="1" applyFont="1" applyBorder="1" applyAlignment="1">
      <alignment horizontal="center"/>
    </xf>
    <xf numFmtId="1" fontId="3" fillId="0" borderId="130" xfId="0" applyNumberFormat="1" applyFont="1" applyBorder="1" applyAlignment="1">
      <alignment horizontal="center"/>
    </xf>
    <xf numFmtId="49" fontId="3" fillId="0" borderId="60" xfId="0" applyNumberFormat="1" applyFont="1" applyBorder="1" applyAlignment="1">
      <alignment horizontal="left"/>
    </xf>
    <xf numFmtId="11" fontId="8" fillId="0" borderId="49" xfId="0" applyNumberFormat="1" applyFont="1" applyBorder="1" applyAlignment="1">
      <alignment horizontal="center" vertical="center" textRotation="90"/>
    </xf>
    <xf numFmtId="49" fontId="3" fillId="0" borderId="60" xfId="0" applyNumberFormat="1" applyFont="1" applyBorder="1" applyAlignment="1">
      <alignment horizontal="left" wrapText="1"/>
    </xf>
    <xf numFmtId="165" fontId="3" fillId="0" borderId="60" xfId="0" applyNumberFormat="1" applyFont="1" applyBorder="1" applyAlignment="1">
      <alignment horizontal="left"/>
    </xf>
    <xf numFmtId="1" fontId="3" fillId="0" borderId="37" xfId="0" applyNumberFormat="1" applyFont="1" applyBorder="1" applyAlignment="1">
      <alignment horizontal="center"/>
    </xf>
    <xf numFmtId="1" fontId="3" fillId="0" borderId="89" xfId="0" applyNumberFormat="1" applyFont="1" applyBorder="1" applyAlignment="1">
      <alignment horizontal="center"/>
    </xf>
    <xf numFmtId="49" fontId="3" fillId="0" borderId="60" xfId="0" applyNumberFormat="1" applyFont="1" applyBorder="1" applyAlignment="1">
      <alignment horizontal="center"/>
    </xf>
    <xf numFmtId="49" fontId="3" fillId="0" borderId="18" xfId="0" applyNumberFormat="1" applyFont="1" applyBorder="1" applyAlignment="1">
      <alignment horizontal="center"/>
    </xf>
    <xf numFmtId="1" fontId="3" fillId="0" borderId="131" xfId="0" applyNumberFormat="1" applyFont="1" applyBorder="1" applyAlignment="1">
      <alignment horizontal="center"/>
    </xf>
    <xf numFmtId="49" fontId="3" fillId="0" borderId="62" xfId="0" applyNumberFormat="1" applyFont="1" applyBorder="1" applyAlignment="1">
      <alignment horizontal="left" wrapText="1"/>
    </xf>
    <xf numFmtId="0" fontId="7" fillId="0" borderId="12" xfId="0" applyFont="1" applyBorder="1" applyAlignment="1">
      <alignment horizontal="left"/>
    </xf>
    <xf numFmtId="0" fontId="7" fillId="0" borderId="9" xfId="0" applyFont="1" applyBorder="1" applyAlignment="1">
      <alignment horizontal="left"/>
    </xf>
    <xf numFmtId="0" fontId="7" fillId="0" borderId="13" xfId="0" applyFont="1" applyBorder="1" applyAlignment="1">
      <alignment horizontal="left"/>
    </xf>
    <xf numFmtId="9" fontId="3" fillId="0" borderId="0" xfId="0" applyNumberFormat="1" applyFont="1" applyAlignment="1">
      <alignment horizontal="center" wrapText="1"/>
    </xf>
    <xf numFmtId="165" fontId="3" fillId="0" borderId="102" xfId="0" applyNumberFormat="1" applyFont="1" applyBorder="1" applyAlignment="1">
      <alignment horizontal="center"/>
    </xf>
    <xf numFmtId="165" fontId="3" fillId="0" borderId="85" xfId="0" applyNumberFormat="1" applyFont="1" applyBorder="1" applyAlignment="1">
      <alignment horizontal="center" wrapText="1"/>
    </xf>
    <xf numFmtId="0" fontId="3" fillId="0" borderId="157" xfId="0" applyFont="1" applyBorder="1" applyAlignment="1">
      <alignment horizontal="center"/>
    </xf>
    <xf numFmtId="0" fontId="3" fillId="0" borderId="89" xfId="0" applyFont="1" applyBorder="1" applyAlignment="1">
      <alignment horizontal="center"/>
    </xf>
    <xf numFmtId="0" fontId="3" fillId="0" borderId="132" xfId="0" applyFont="1" applyBorder="1" applyAlignment="1">
      <alignment horizontal="center"/>
    </xf>
    <xf numFmtId="165" fontId="4" fillId="0" borderId="180" xfId="0" applyNumberFormat="1" applyFont="1" applyBorder="1" applyAlignment="1">
      <alignment horizontal="center"/>
    </xf>
    <xf numFmtId="165" fontId="4" fillId="0" borderId="207" xfId="0" applyNumberFormat="1" applyFont="1" applyBorder="1" applyAlignment="1">
      <alignment horizontal="center" vertical="center"/>
    </xf>
    <xf numFmtId="165" fontId="4" fillId="0" borderId="178" xfId="0" applyNumberFormat="1" applyFont="1" applyBorder="1" applyAlignment="1">
      <alignment horizontal="center" vertical="center"/>
    </xf>
    <xf numFmtId="0" fontId="0" fillId="0" borderId="0" xfId="0" applyAlignment="1">
      <alignment horizontal="left" vertical="top"/>
    </xf>
    <xf numFmtId="0" fontId="91" fillId="0" borderId="0" xfId="0" applyFont="1" applyAlignment="1">
      <alignment horizontal="center" vertical="top" wrapText="1"/>
    </xf>
    <xf numFmtId="0" fontId="91" fillId="0" borderId="0" xfId="0" applyFont="1" applyAlignment="1">
      <alignment horizontal="left" vertical="top" wrapText="1"/>
    </xf>
    <xf numFmtId="0" fontId="92" fillId="0" borderId="0" xfId="0" applyFont="1" applyAlignment="1">
      <alignment horizontal="center" vertical="top" wrapText="1"/>
    </xf>
    <xf numFmtId="0" fontId="92" fillId="0" borderId="0" xfId="0" applyFont="1" applyAlignment="1">
      <alignment horizontal="left" vertical="top" wrapText="1"/>
    </xf>
    <xf numFmtId="0" fontId="92" fillId="0" borderId="208" xfId="0" applyFont="1" applyBorder="1" applyAlignment="1">
      <alignment horizontal="center" vertical="top" wrapText="1"/>
    </xf>
    <xf numFmtId="0" fontId="92" fillId="0" borderId="201" xfId="0" applyFont="1" applyBorder="1" applyAlignment="1">
      <alignment horizontal="center" vertical="top" wrapText="1"/>
    </xf>
    <xf numFmtId="0" fontId="92" fillId="0" borderId="209" xfId="0" applyFont="1" applyBorder="1" applyAlignment="1">
      <alignment horizontal="left" vertical="top" wrapText="1"/>
    </xf>
    <xf numFmtId="0" fontId="92" fillId="0" borderId="210" xfId="0" applyFont="1" applyBorder="1" applyAlignment="1">
      <alignment horizontal="center" vertical="top" wrapText="1"/>
    </xf>
    <xf numFmtId="167" fontId="90" fillId="0" borderId="0" xfId="0" applyNumberFormat="1" applyFont="1" applyAlignment="1">
      <alignment horizontal="center" vertical="top" shrinkToFit="1"/>
    </xf>
    <xf numFmtId="0" fontId="92" fillId="0" borderId="0" xfId="0" applyFont="1" applyAlignment="1">
      <alignment vertical="top" wrapText="1"/>
    </xf>
    <xf numFmtId="0" fontId="0" fillId="0" borderId="0" xfId="0" applyAlignment="1">
      <alignment horizontal="center" vertical="top"/>
    </xf>
    <xf numFmtId="165" fontId="90" fillId="0" borderId="89" xfId="0" applyNumberFormat="1" applyFont="1" applyBorder="1" applyAlignment="1">
      <alignment horizontal="center" wrapText="1"/>
    </xf>
    <xf numFmtId="165" fontId="90" fillId="0" borderId="132" xfId="0" applyNumberFormat="1" applyFont="1" applyBorder="1" applyAlignment="1">
      <alignment horizontal="center" wrapText="1"/>
    </xf>
    <xf numFmtId="165" fontId="77" fillId="0" borderId="98" xfId="1" applyNumberFormat="1" applyFont="1" applyBorder="1" applyAlignment="1">
      <alignment horizontal="center"/>
    </xf>
    <xf numFmtId="165" fontId="90" fillId="0" borderId="137" xfId="0" applyNumberFormat="1" applyFont="1" applyBorder="1" applyAlignment="1">
      <alignment horizontal="center" wrapText="1"/>
    </xf>
    <xf numFmtId="165" fontId="90" fillId="0" borderId="125" xfId="0" applyNumberFormat="1" applyFont="1" applyBorder="1" applyAlignment="1">
      <alignment horizontal="center" wrapText="1"/>
    </xf>
    <xf numFmtId="0" fontId="19" fillId="0" borderId="0" xfId="0" applyFont="1" applyAlignment="1" applyProtection="1">
      <alignment wrapText="1"/>
      <protection hidden="1"/>
    </xf>
    <xf numFmtId="0" fontId="19" fillId="0" borderId="0" xfId="0" applyFont="1" applyAlignment="1">
      <alignment wrapText="1"/>
    </xf>
    <xf numFmtId="0" fontId="0" fillId="0" borderId="0" xfId="0" applyAlignment="1">
      <alignment wrapText="1"/>
    </xf>
    <xf numFmtId="0" fontId="20" fillId="0" borderId="0" xfId="0" applyFont="1" applyAlignment="1" applyProtection="1">
      <alignment horizontal="center" vertical="center" wrapText="1"/>
      <protection hidden="1"/>
    </xf>
    <xf numFmtId="0" fontId="28" fillId="0" borderId="0" xfId="0" applyFont="1" applyAlignment="1">
      <alignment wrapText="1"/>
    </xf>
    <xf numFmtId="0" fontId="23" fillId="0" borderId="0" xfId="0" applyFont="1" applyAlignment="1" applyProtection="1">
      <alignment horizontal="center" vertical="center" wrapText="1"/>
      <protection hidden="1"/>
    </xf>
    <xf numFmtId="0" fontId="42" fillId="0" borderId="0" xfId="0" applyFont="1" applyAlignment="1">
      <alignment vertical="center" wrapText="1"/>
    </xf>
    <xf numFmtId="0" fontId="22" fillId="0" borderId="0" xfId="0" applyFont="1" applyAlignment="1">
      <alignment wrapText="1"/>
    </xf>
    <xf numFmtId="0" fontId="71" fillId="0" borderId="0" xfId="0" applyFont="1" applyAlignment="1" applyProtection="1">
      <alignment horizontal="center" wrapText="1"/>
      <protection hidden="1"/>
    </xf>
    <xf numFmtId="0" fontId="21" fillId="0" borderId="0" xfId="0" applyFont="1" applyAlignment="1">
      <alignment wrapText="1"/>
    </xf>
    <xf numFmtId="0" fontId="33" fillId="0" borderId="0" xfId="0" applyFont="1" applyAlignment="1">
      <alignment horizontal="left" wrapText="1"/>
    </xf>
    <xf numFmtId="0" fontId="22" fillId="0" borderId="0" xfId="0" applyFont="1" applyAlignment="1" applyProtection="1">
      <alignment horizontal="center" vertical="center" wrapText="1"/>
      <protection hidden="1"/>
    </xf>
    <xf numFmtId="0" fontId="2" fillId="0" borderId="0" xfId="0" applyFont="1" applyAlignment="1">
      <alignment horizontal="center" vertical="center" wrapText="1"/>
    </xf>
    <xf numFmtId="49" fontId="22" fillId="6" borderId="181" xfId="0" applyNumberFormat="1" applyFont="1" applyFill="1" applyBorder="1" applyAlignment="1" applyProtection="1">
      <alignment horizontal="center" vertical="center" wrapText="1"/>
      <protection locked="0" hidden="1"/>
    </xf>
    <xf numFmtId="0" fontId="2" fillId="0" borderId="129" xfId="0" applyFont="1" applyBorder="1" applyAlignment="1">
      <alignment wrapText="1"/>
    </xf>
    <xf numFmtId="0" fontId="2" fillId="0" borderId="183" xfId="0" applyFont="1" applyBorder="1" applyAlignment="1">
      <alignment wrapText="1"/>
    </xf>
    <xf numFmtId="0" fontId="85" fillId="0" borderId="0" xfId="0" applyFont="1" applyAlignment="1" applyProtection="1">
      <alignment horizontal="center" wrapText="1"/>
      <protection hidden="1"/>
    </xf>
    <xf numFmtId="0" fontId="82" fillId="0" borderId="0" xfId="0" applyFont="1" applyAlignment="1">
      <alignment horizontal="center" wrapText="1"/>
    </xf>
    <xf numFmtId="0" fontId="22" fillId="0" borderId="11" xfId="0" applyFont="1" applyBorder="1" applyAlignment="1" applyProtection="1">
      <alignment horizontal="center" wrapText="1"/>
      <protection hidden="1"/>
    </xf>
    <xf numFmtId="0" fontId="29" fillId="0" borderId="11" xfId="0" applyFont="1" applyBorder="1" applyAlignment="1">
      <alignment horizontal="center" wrapText="1"/>
    </xf>
    <xf numFmtId="0" fontId="21" fillId="3" borderId="2" xfId="0" applyFont="1" applyFill="1" applyBorder="1" applyAlignment="1" applyProtection="1">
      <alignment horizontal="center" wrapText="1"/>
      <protection hidden="1"/>
    </xf>
    <xf numFmtId="0" fontId="21" fillId="3" borderId="8" xfId="0" applyFont="1" applyFill="1" applyBorder="1" applyAlignment="1" applyProtection="1">
      <alignment horizontal="center" wrapText="1"/>
      <protection hidden="1"/>
    </xf>
    <xf numFmtId="0" fontId="21" fillId="3" borderId="9" xfId="0" applyFont="1" applyFill="1" applyBorder="1" applyAlignment="1" applyProtection="1">
      <alignment horizontal="center" wrapText="1"/>
      <protection hidden="1"/>
    </xf>
    <xf numFmtId="0" fontId="21" fillId="3" borderId="0" xfId="0" applyFont="1" applyFill="1" applyAlignment="1" applyProtection="1">
      <alignment horizontal="center" wrapText="1"/>
      <protection hidden="1"/>
    </xf>
    <xf numFmtId="0" fontId="23" fillId="9" borderId="57" xfId="0" applyFont="1" applyFill="1" applyBorder="1" applyAlignment="1">
      <alignment horizontal="center"/>
    </xf>
    <xf numFmtId="0" fontId="0" fillId="0" borderId="145" xfId="0" applyBorder="1" applyAlignment="1">
      <alignment horizontal="center"/>
    </xf>
    <xf numFmtId="0" fontId="26" fillId="0" borderId="129" xfId="0" applyFont="1" applyBorder="1" applyAlignment="1">
      <alignment horizontal="left"/>
    </xf>
    <xf numFmtId="0" fontId="26" fillId="6" borderId="118" xfId="0" applyFont="1" applyFill="1" applyBorder="1" applyAlignment="1" applyProtection="1">
      <alignment horizontal="center" vertical="center" wrapText="1"/>
      <protection locked="0" hidden="1"/>
    </xf>
    <xf numFmtId="0" fontId="0" fillId="0" borderId="119" xfId="0" applyBorder="1" applyAlignment="1">
      <alignment wrapText="1"/>
    </xf>
    <xf numFmtId="165" fontId="42" fillId="9" borderId="12" xfId="0" applyNumberFormat="1" applyFont="1" applyFill="1" applyBorder="1" applyAlignment="1" applyProtection="1">
      <alignment horizontal="left" vertical="center"/>
      <protection hidden="1"/>
    </xf>
    <xf numFmtId="0" fontId="0" fillId="0" borderId="13" xfId="0" applyBorder="1" applyAlignment="1" applyProtection="1">
      <alignment horizontal="left" vertical="center"/>
      <protection hidden="1"/>
    </xf>
    <xf numFmtId="0" fontId="25" fillId="0" borderId="8" xfId="0" applyFont="1" applyBorder="1" applyAlignment="1" applyProtection="1">
      <alignment wrapText="1"/>
      <protection hidden="1"/>
    </xf>
    <xf numFmtId="0" fontId="0" fillId="0" borderId="29" xfId="0" applyBorder="1"/>
    <xf numFmtId="0" fontId="0" fillId="4" borderId="9" xfId="0" applyFill="1" applyBorder="1"/>
    <xf numFmtId="0" fontId="0" fillId="0" borderId="12" xfId="0" applyBorder="1"/>
    <xf numFmtId="0" fontId="42" fillId="9" borderId="149" xfId="0" applyFont="1" applyFill="1" applyBorder="1" applyAlignment="1">
      <alignment horizontal="right" vertical="center"/>
    </xf>
    <xf numFmtId="0" fontId="0" fillId="0" borderId="123" xfId="0" applyBorder="1"/>
    <xf numFmtId="0" fontId="0" fillId="4" borderId="0" xfId="0" applyFill="1"/>
    <xf numFmtId="0" fontId="0" fillId="0" borderId="0" xfId="0"/>
    <xf numFmtId="0" fontId="0" fillId="0" borderId="11" xfId="0" applyBorder="1"/>
    <xf numFmtId="0" fontId="0" fillId="0" borderId="13" xfId="0" applyBorder="1"/>
    <xf numFmtId="165" fontId="42" fillId="9" borderId="12" xfId="0" applyNumberFormat="1" applyFont="1" applyFill="1" applyBorder="1" applyAlignment="1" applyProtection="1">
      <alignment horizontal="left"/>
      <protection hidden="1"/>
    </xf>
    <xf numFmtId="0" fontId="0" fillId="0" borderId="12" xfId="0" applyBorder="1" applyProtection="1">
      <protection hidden="1"/>
    </xf>
    <xf numFmtId="0" fontId="42" fillId="9" borderId="9" xfId="0" applyFont="1" applyFill="1" applyBorder="1" applyAlignment="1">
      <alignment horizontal="right" wrapText="1"/>
    </xf>
    <xf numFmtId="0" fontId="0" fillId="0" borderId="9" xfId="0" applyBorder="1"/>
    <xf numFmtId="0" fontId="42" fillId="9" borderId="9" xfId="0" applyFont="1" applyFill="1" applyBorder="1" applyAlignment="1">
      <alignment horizontal="right" vertical="center" wrapText="1"/>
    </xf>
    <xf numFmtId="0" fontId="0" fillId="0" borderId="0" xfId="0" applyAlignment="1">
      <alignment horizontal="right" vertical="center" wrapText="1"/>
    </xf>
    <xf numFmtId="0" fontId="0" fillId="0" borderId="10" xfId="0" applyBorder="1" applyAlignment="1">
      <alignment horizontal="right" vertical="center" wrapText="1"/>
    </xf>
    <xf numFmtId="0" fontId="0" fillId="0" borderId="11" xfId="0" applyBorder="1" applyAlignment="1">
      <alignment horizontal="right" vertical="center" wrapText="1"/>
    </xf>
    <xf numFmtId="0" fontId="19" fillId="0" borderId="0" xfId="0" applyFont="1" applyAlignment="1" applyProtection="1">
      <alignment horizontal="left" wrapText="1"/>
      <protection hidden="1"/>
    </xf>
    <xf numFmtId="0" fontId="49" fillId="0" borderId="0" xfId="0" applyFont="1" applyAlignment="1">
      <alignment wrapText="1"/>
    </xf>
    <xf numFmtId="0" fontId="29" fillId="0" borderId="0" xfId="0" applyFont="1" applyAlignment="1">
      <alignment horizontal="center" wrapText="1"/>
    </xf>
    <xf numFmtId="0" fontId="21" fillId="0" borderId="0" xfId="0" applyFont="1" applyAlignment="1" applyProtection="1">
      <alignment horizontal="center" wrapText="1"/>
      <protection hidden="1"/>
    </xf>
    <xf numFmtId="0" fontId="29" fillId="0" borderId="0" xfId="0" applyFont="1" applyAlignment="1">
      <alignment wrapText="1"/>
    </xf>
    <xf numFmtId="0" fontId="25" fillId="0" borderId="29" xfId="0" applyFont="1" applyBorder="1" applyAlignment="1" applyProtection="1">
      <alignment wrapText="1"/>
      <protection hidden="1"/>
    </xf>
    <xf numFmtId="0" fontId="74" fillId="0" borderId="0" xfId="0" applyFont="1" applyAlignment="1" applyProtection="1">
      <alignment horizontal="center" vertical="center" wrapText="1"/>
      <protection hidden="1"/>
    </xf>
    <xf numFmtId="0" fontId="25" fillId="0" borderId="0" xfId="0" applyFont="1" applyAlignment="1" applyProtection="1">
      <alignment wrapText="1"/>
      <protection hidden="1"/>
    </xf>
    <xf numFmtId="166" fontId="21" fillId="0" borderId="0" xfId="0" applyNumberFormat="1" applyFont="1" applyAlignment="1" applyProtection="1">
      <alignment horizontal="center" wrapText="1"/>
      <protection hidden="1"/>
    </xf>
    <xf numFmtId="166" fontId="0" fillId="0" borderId="0" xfId="0" applyNumberFormat="1" applyAlignment="1">
      <alignment wrapText="1"/>
    </xf>
    <xf numFmtId="0" fontId="25" fillId="0" borderId="0" xfId="0" applyFont="1" applyAlignment="1">
      <alignment wrapText="1"/>
    </xf>
    <xf numFmtId="0" fontId="2" fillId="4" borderId="29" xfId="0" applyFont="1" applyFill="1" applyBorder="1" applyAlignment="1" applyProtection="1">
      <alignment wrapText="1"/>
      <protection hidden="1"/>
    </xf>
    <xf numFmtId="0" fontId="2" fillId="4" borderId="12" xfId="0" applyFont="1" applyFill="1" applyBorder="1" applyAlignment="1" applyProtection="1">
      <alignment wrapText="1"/>
      <protection hidden="1"/>
    </xf>
    <xf numFmtId="0" fontId="33" fillId="0" borderId="2" xfId="0" applyFont="1" applyBorder="1" applyAlignment="1" applyProtection="1">
      <alignment horizontal="center" vertical="center" wrapText="1"/>
      <protection hidden="1"/>
    </xf>
    <xf numFmtId="0" fontId="0" fillId="0" borderId="8" xfId="0" applyBorder="1" applyAlignment="1" applyProtection="1">
      <alignment vertical="center" wrapText="1"/>
      <protection hidden="1"/>
    </xf>
    <xf numFmtId="0" fontId="0" fillId="0" borderId="29" xfId="0" applyBorder="1" applyAlignment="1" applyProtection="1">
      <alignment vertical="center" wrapText="1"/>
      <protection hidden="1"/>
    </xf>
    <xf numFmtId="0" fontId="0" fillId="0" borderId="9" xfId="0" applyBorder="1" applyAlignment="1" applyProtection="1">
      <alignment vertical="center" wrapText="1"/>
      <protection hidden="1"/>
    </xf>
    <xf numFmtId="0" fontId="0" fillId="0" borderId="0" xfId="0" applyAlignment="1" applyProtection="1">
      <alignment vertical="center" wrapText="1"/>
      <protection hidden="1"/>
    </xf>
    <xf numFmtId="0" fontId="0" fillId="0" borderId="12" xfId="0" applyBorder="1" applyAlignment="1" applyProtection="1">
      <alignment vertical="center" wrapText="1"/>
      <protection hidden="1"/>
    </xf>
    <xf numFmtId="0" fontId="0" fillId="0" borderId="10" xfId="0" applyBorder="1" applyAlignment="1" applyProtection="1">
      <alignment vertical="center" wrapText="1"/>
      <protection hidden="1"/>
    </xf>
    <xf numFmtId="0" fontId="0" fillId="0" borderId="11" xfId="0" applyBorder="1" applyAlignment="1" applyProtection="1">
      <alignment vertical="center" wrapText="1"/>
      <protection hidden="1"/>
    </xf>
    <xf numFmtId="0" fontId="0" fillId="0" borderId="13" xfId="0" applyBorder="1" applyAlignment="1" applyProtection="1">
      <alignment vertical="center" wrapText="1"/>
      <protection hidden="1"/>
    </xf>
    <xf numFmtId="0" fontId="33" fillId="0" borderId="0" xfId="0" applyFont="1" applyAlignment="1" applyProtection="1">
      <alignment wrapText="1"/>
      <protection hidden="1"/>
    </xf>
    <xf numFmtId="0" fontId="26" fillId="0" borderId="0" xfId="0" applyFont="1" applyAlignment="1" applyProtection="1">
      <alignment wrapText="1"/>
      <protection hidden="1"/>
    </xf>
    <xf numFmtId="0" fontId="36" fillId="0" borderId="0" xfId="0" applyFont="1" applyAlignment="1" applyProtection="1">
      <alignment wrapText="1"/>
      <protection hidden="1"/>
    </xf>
    <xf numFmtId="0" fontId="5" fillId="0" borderId="181" xfId="0" applyFont="1" applyBorder="1" applyAlignment="1" applyProtection="1">
      <alignment horizontal="center" wrapText="1"/>
      <protection hidden="1"/>
    </xf>
    <xf numFmtId="0" fontId="25" fillId="0" borderId="129" xfId="0" applyFont="1" applyBorder="1" applyAlignment="1" applyProtection="1">
      <alignment wrapText="1"/>
      <protection hidden="1"/>
    </xf>
    <xf numFmtId="0" fontId="25" fillId="0" borderId="183" xfId="0" applyFont="1" applyBorder="1" applyAlignment="1" applyProtection="1">
      <alignment wrapText="1"/>
      <protection hidden="1"/>
    </xf>
    <xf numFmtId="0" fontId="21" fillId="0" borderId="10" xfId="0" applyFont="1" applyBorder="1" applyAlignment="1" applyProtection="1">
      <alignment horizontal="right" vertical="center" wrapText="1"/>
      <protection hidden="1"/>
    </xf>
    <xf numFmtId="0" fontId="25" fillId="0" borderId="11" xfId="0" applyFont="1" applyBorder="1" applyAlignment="1" applyProtection="1">
      <alignment wrapText="1"/>
      <protection hidden="1"/>
    </xf>
    <xf numFmtId="0" fontId="19" fillId="0" borderId="172" xfId="0" applyFont="1" applyBorder="1" applyAlignment="1" applyProtection="1">
      <alignment horizontal="center" vertical="center" wrapText="1"/>
      <protection hidden="1"/>
    </xf>
    <xf numFmtId="0" fontId="25" fillId="0" borderId="13" xfId="0" applyFont="1" applyBorder="1" applyAlignment="1" applyProtection="1">
      <alignment wrapText="1"/>
      <protection hidden="1"/>
    </xf>
    <xf numFmtId="0" fontId="63" fillId="0" borderId="0" xfId="0" applyFont="1" applyAlignment="1">
      <alignment wrapText="1"/>
    </xf>
    <xf numFmtId="0" fontId="24" fillId="0" borderId="0" xfId="0" applyFont="1" applyAlignment="1" applyProtection="1">
      <alignment horizontal="center" vertical="center" wrapText="1"/>
      <protection hidden="1"/>
    </xf>
    <xf numFmtId="0" fontId="33" fillId="2" borderId="118" xfId="0" applyFont="1" applyFill="1" applyBorder="1" applyAlignment="1" applyProtection="1">
      <alignment horizontal="center" vertical="center" wrapText="1"/>
      <protection hidden="1"/>
    </xf>
    <xf numFmtId="0" fontId="36" fillId="2" borderId="119" xfId="0" applyFont="1" applyFill="1" applyBorder="1" applyAlignment="1" applyProtection="1">
      <alignment horizontal="center" vertical="center" wrapText="1"/>
      <protection hidden="1"/>
    </xf>
    <xf numFmtId="0" fontId="35" fillId="11" borderId="184" xfId="0" applyFont="1" applyFill="1" applyBorder="1" applyAlignment="1" applyProtection="1">
      <alignment horizontal="center" vertical="center" wrapText="1"/>
      <protection hidden="1"/>
    </xf>
    <xf numFmtId="0" fontId="37" fillId="11" borderId="185" xfId="0" applyFont="1" applyFill="1" applyBorder="1" applyAlignment="1" applyProtection="1">
      <alignment wrapText="1"/>
      <protection hidden="1"/>
    </xf>
    <xf numFmtId="0" fontId="37" fillId="11" borderId="186" xfId="0" applyFont="1" applyFill="1" applyBorder="1" applyAlignment="1" applyProtection="1">
      <alignment wrapText="1"/>
      <protection hidden="1"/>
    </xf>
    <xf numFmtId="0" fontId="37" fillId="11" borderId="187" xfId="0" applyFont="1" applyFill="1" applyBorder="1" applyAlignment="1" applyProtection="1">
      <alignment wrapText="1"/>
      <protection hidden="1"/>
    </xf>
    <xf numFmtId="0" fontId="37" fillId="11" borderId="0" xfId="0" applyFont="1" applyFill="1" applyAlignment="1" applyProtection="1">
      <alignment wrapText="1"/>
      <protection hidden="1"/>
    </xf>
    <xf numFmtId="0" fontId="37" fillId="11" borderId="117" xfId="0" applyFont="1" applyFill="1" applyBorder="1" applyAlignment="1" applyProtection="1">
      <alignment wrapText="1"/>
      <protection hidden="1"/>
    </xf>
    <xf numFmtId="0" fontId="35" fillId="7" borderId="184" xfId="0" applyFont="1" applyFill="1" applyBorder="1" applyAlignment="1" applyProtection="1">
      <alignment horizontal="center"/>
      <protection hidden="1"/>
    </xf>
    <xf numFmtId="0" fontId="37" fillId="7" borderId="186" xfId="0" applyFont="1" applyFill="1" applyBorder="1" applyProtection="1">
      <protection hidden="1"/>
    </xf>
    <xf numFmtId="0" fontId="37" fillId="7" borderId="187" xfId="0" applyFont="1" applyFill="1" applyBorder="1" applyProtection="1">
      <protection hidden="1"/>
    </xf>
    <xf numFmtId="0" fontId="37" fillId="7" borderId="117" xfId="0" applyFont="1" applyFill="1" applyBorder="1" applyProtection="1">
      <protection hidden="1"/>
    </xf>
    <xf numFmtId="0" fontId="31" fillId="0" borderId="0" xfId="0" applyFont="1" applyAlignment="1" applyProtection="1">
      <alignment horizontal="center" vertical="center" wrapText="1"/>
      <protection hidden="1"/>
    </xf>
    <xf numFmtId="0" fontId="0" fillId="0" borderId="0" xfId="0" applyAlignment="1" applyProtection="1">
      <alignment horizontal="center" wrapText="1"/>
      <protection hidden="1"/>
    </xf>
    <xf numFmtId="165" fontId="33" fillId="2" borderId="0" xfId="0" applyNumberFormat="1" applyFont="1" applyFill="1" applyAlignment="1" applyProtection="1">
      <alignment horizontal="left"/>
      <protection hidden="1"/>
    </xf>
    <xf numFmtId="0" fontId="14" fillId="2" borderId="0" xfId="0" applyFont="1" applyFill="1" applyAlignment="1" applyProtection="1">
      <alignment horizontal="right"/>
      <protection hidden="1"/>
    </xf>
    <xf numFmtId="0" fontId="0" fillId="0" borderId="0" xfId="0" applyAlignment="1" applyProtection="1">
      <alignment horizontal="right"/>
      <protection hidden="1"/>
    </xf>
    <xf numFmtId="0" fontId="58" fillId="2" borderId="9" xfId="0" applyFont="1" applyFill="1" applyBorder="1" applyProtection="1">
      <protection hidden="1"/>
    </xf>
    <xf numFmtId="0" fontId="14" fillId="2" borderId="0" xfId="0" applyFont="1" applyFill="1" applyProtection="1">
      <protection hidden="1"/>
    </xf>
    <xf numFmtId="0" fontId="14" fillId="2" borderId="9" xfId="0" applyFont="1" applyFill="1" applyBorder="1" applyProtection="1">
      <protection hidden="1"/>
    </xf>
    <xf numFmtId="2" fontId="23" fillId="0" borderId="0" xfId="0" applyNumberFormat="1" applyFont="1" applyAlignment="1" applyProtection="1">
      <alignment horizontal="center"/>
      <protection hidden="1"/>
    </xf>
    <xf numFmtId="0" fontId="67" fillId="0" borderId="0" xfId="0" applyFont="1" applyAlignment="1" applyProtection="1">
      <alignment horizontal="center"/>
      <protection hidden="1"/>
    </xf>
    <xf numFmtId="0" fontId="33" fillId="5" borderId="118" xfId="0" applyFont="1" applyFill="1" applyBorder="1" applyAlignment="1" applyProtection="1">
      <alignment horizontal="center" vertical="center" wrapText="1"/>
      <protection hidden="1"/>
    </xf>
    <xf numFmtId="0" fontId="0" fillId="0" borderId="119" xfId="0" applyBorder="1" applyAlignment="1" applyProtection="1">
      <alignment wrapText="1"/>
      <protection hidden="1"/>
    </xf>
    <xf numFmtId="0" fontId="21" fillId="11" borderId="188" xfId="0" applyFont="1" applyFill="1" applyBorder="1" applyAlignment="1" applyProtection="1">
      <alignment horizontal="right" vertical="center" wrapText="1"/>
      <protection hidden="1"/>
    </xf>
    <xf numFmtId="0" fontId="19" fillId="11" borderId="189" xfId="0" applyFont="1" applyFill="1" applyBorder="1" applyProtection="1">
      <protection hidden="1"/>
    </xf>
    <xf numFmtId="165" fontId="33" fillId="2" borderId="10" xfId="0" applyNumberFormat="1" applyFont="1" applyFill="1" applyBorder="1" applyAlignment="1" applyProtection="1">
      <alignment horizontal="center"/>
      <protection hidden="1"/>
    </xf>
    <xf numFmtId="165" fontId="33" fillId="2" borderId="11" xfId="0" applyNumberFormat="1" applyFont="1" applyFill="1" applyBorder="1" applyAlignment="1" applyProtection="1">
      <alignment horizontal="center"/>
      <protection hidden="1"/>
    </xf>
    <xf numFmtId="0" fontId="36" fillId="2" borderId="11" xfId="0" applyFont="1" applyFill="1" applyBorder="1" applyProtection="1">
      <protection hidden="1"/>
    </xf>
    <xf numFmtId="0" fontId="36" fillId="2" borderId="13" xfId="0" applyFont="1" applyFill="1" applyBorder="1" applyProtection="1">
      <protection hidden="1"/>
    </xf>
    <xf numFmtId="0" fontId="37" fillId="11" borderId="185" xfId="0" applyFont="1" applyFill="1" applyBorder="1" applyAlignment="1" applyProtection="1">
      <alignment vertical="center" wrapText="1"/>
      <protection hidden="1"/>
    </xf>
    <xf numFmtId="0" fontId="37" fillId="11" borderId="186" xfId="0" applyFont="1" applyFill="1" applyBorder="1" applyAlignment="1" applyProtection="1">
      <alignment vertical="center" wrapText="1"/>
      <protection hidden="1"/>
    </xf>
    <xf numFmtId="0" fontId="37" fillId="11" borderId="187" xfId="0" applyFont="1" applyFill="1" applyBorder="1" applyAlignment="1" applyProtection="1">
      <alignment vertical="center" wrapText="1"/>
      <protection hidden="1"/>
    </xf>
    <xf numFmtId="0" fontId="37" fillId="11" borderId="0" xfId="0" applyFont="1" applyFill="1" applyAlignment="1" applyProtection="1">
      <alignment vertical="center" wrapText="1"/>
      <protection hidden="1"/>
    </xf>
    <xf numFmtId="0" fontId="37" fillId="11" borderId="117" xfId="0" applyFont="1" applyFill="1" applyBorder="1" applyAlignment="1" applyProtection="1">
      <alignment vertical="center" wrapText="1"/>
      <protection hidden="1"/>
    </xf>
    <xf numFmtId="0" fontId="19" fillId="0" borderId="67"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2" xfId="0" applyFont="1" applyBorder="1" applyAlignment="1" applyProtection="1">
      <alignment wrapText="1"/>
      <protection hidden="1"/>
    </xf>
    <xf numFmtId="0" fontId="19" fillId="0" borderId="109" xfId="0" applyFont="1" applyBorder="1" applyAlignment="1" applyProtection="1">
      <alignment horizontal="center" vertical="center" wrapText="1"/>
      <protection hidden="1"/>
    </xf>
    <xf numFmtId="0" fontId="21" fillId="0" borderId="9" xfId="0" applyFont="1" applyBorder="1" applyAlignment="1" applyProtection="1">
      <alignment horizontal="right" vertical="center" wrapText="1"/>
      <protection hidden="1"/>
    </xf>
    <xf numFmtId="0" fontId="25" fillId="0" borderId="73" xfId="0" applyFont="1" applyBorder="1" applyAlignment="1" applyProtection="1">
      <alignment wrapText="1"/>
      <protection hidden="1"/>
    </xf>
    <xf numFmtId="165" fontId="33" fillId="7" borderId="188" xfId="0" applyNumberFormat="1" applyFont="1" applyFill="1" applyBorder="1" applyAlignment="1" applyProtection="1">
      <alignment horizontal="center" vertical="center"/>
      <protection hidden="1"/>
    </xf>
    <xf numFmtId="165" fontId="33" fillId="7" borderId="120" xfId="0" applyNumberFormat="1" applyFont="1" applyFill="1" applyBorder="1" applyAlignment="1" applyProtection="1">
      <alignment horizontal="center" vertical="center"/>
      <protection hidden="1"/>
    </xf>
    <xf numFmtId="0" fontId="43" fillId="2" borderId="0" xfId="0" applyFont="1" applyFill="1" applyAlignment="1" applyProtection="1">
      <alignment horizontal="center" wrapText="1"/>
      <protection hidden="1"/>
    </xf>
    <xf numFmtId="0" fontId="55" fillId="0" borderId="0" xfId="0" applyFont="1" applyAlignment="1" applyProtection="1">
      <alignment horizontal="center" wrapText="1"/>
      <protection hidden="1"/>
    </xf>
    <xf numFmtId="0" fontId="33" fillId="2" borderId="2" xfId="0" applyFont="1" applyFill="1" applyBorder="1" applyAlignment="1" applyProtection="1">
      <alignment horizontal="center"/>
      <protection hidden="1"/>
    </xf>
    <xf numFmtId="0" fontId="33" fillId="2" borderId="8" xfId="0" applyFont="1" applyFill="1" applyBorder="1" applyAlignment="1" applyProtection="1">
      <alignment horizontal="center"/>
      <protection hidden="1"/>
    </xf>
    <xf numFmtId="0" fontId="36" fillId="2" borderId="8" xfId="0" applyFont="1" applyFill="1" applyBorder="1" applyProtection="1">
      <protection hidden="1"/>
    </xf>
    <xf numFmtId="0" fontId="36" fillId="2" borderId="29" xfId="0" applyFont="1" applyFill="1" applyBorder="1" applyProtection="1">
      <protection hidden="1"/>
    </xf>
    <xf numFmtId="0" fontId="34" fillId="5" borderId="9" xfId="0" applyFont="1" applyFill="1" applyBorder="1" applyAlignment="1" applyProtection="1">
      <alignment vertical="top"/>
      <protection hidden="1"/>
    </xf>
    <xf numFmtId="0" fontId="34" fillId="5" borderId="12" xfId="0" applyFont="1" applyFill="1" applyBorder="1" applyAlignment="1" applyProtection="1">
      <alignment vertical="top"/>
      <protection hidden="1"/>
    </xf>
    <xf numFmtId="0" fontId="38" fillId="5" borderId="0" xfId="0" applyFont="1" applyFill="1" applyProtection="1">
      <protection hidden="1"/>
    </xf>
    <xf numFmtId="0" fontId="19" fillId="11" borderId="189" xfId="0" applyFont="1" applyFill="1" applyBorder="1" applyAlignment="1" applyProtection="1">
      <alignment horizontal="right"/>
      <protection hidden="1"/>
    </xf>
    <xf numFmtId="0" fontId="34" fillId="2" borderId="0" xfId="0" applyFont="1" applyFill="1" applyAlignment="1" applyProtection="1">
      <alignment horizontal="right" vertical="top"/>
      <protection hidden="1"/>
    </xf>
    <xf numFmtId="0" fontId="0" fillId="0" borderId="0" xfId="0" applyProtection="1">
      <protection hidden="1"/>
    </xf>
    <xf numFmtId="0" fontId="34" fillId="2" borderId="12" xfId="0" applyFont="1" applyFill="1" applyBorder="1" applyAlignment="1" applyProtection="1">
      <alignment horizontal="right" vertical="top"/>
      <protection hidden="1"/>
    </xf>
    <xf numFmtId="0" fontId="0" fillId="0" borderId="12" xfId="0" applyBorder="1" applyAlignment="1" applyProtection="1">
      <alignment vertical="top"/>
      <protection hidden="1"/>
    </xf>
    <xf numFmtId="0" fontId="26" fillId="0" borderId="0" xfId="0" applyFont="1" applyAlignment="1">
      <alignment wrapText="1"/>
    </xf>
    <xf numFmtId="0" fontId="21" fillId="0" borderId="57" xfId="0" applyFont="1" applyBorder="1" applyAlignment="1" applyProtection="1">
      <alignment horizontal="center"/>
      <protection hidden="1"/>
    </xf>
    <xf numFmtId="0" fontId="0" fillId="0" borderId="145" xfId="0" applyBorder="1" applyAlignment="1" applyProtection="1">
      <alignment horizontal="center"/>
      <protection hidden="1"/>
    </xf>
    <xf numFmtId="0" fontId="0" fillId="0" borderId="58" xfId="0" applyBorder="1" applyAlignment="1" applyProtection="1">
      <alignment horizontal="center"/>
      <protection hidden="1"/>
    </xf>
    <xf numFmtId="0" fontId="21" fillId="0" borderId="57" xfId="0" applyFont="1" applyBorder="1" applyAlignment="1" applyProtection="1">
      <alignment horizontal="left" wrapText="1"/>
      <protection hidden="1"/>
    </xf>
    <xf numFmtId="0" fontId="19" fillId="0" borderId="145" xfId="0" applyFont="1" applyBorder="1" applyAlignment="1" applyProtection="1">
      <alignment horizontal="left" wrapText="1"/>
      <protection hidden="1"/>
    </xf>
    <xf numFmtId="0" fontId="19" fillId="0" borderId="144" xfId="0" applyFont="1" applyBorder="1" applyAlignment="1" applyProtection="1">
      <alignment horizontal="left" wrapText="1"/>
      <protection hidden="1"/>
    </xf>
    <xf numFmtId="0" fontId="21" fillId="0" borderId="57" xfId="0" applyFont="1" applyBorder="1" applyAlignment="1" applyProtection="1">
      <alignment horizontal="center" wrapText="1"/>
      <protection hidden="1"/>
    </xf>
    <xf numFmtId="0" fontId="19" fillId="0" borderId="145" xfId="0" applyFont="1" applyBorder="1" applyAlignment="1" applyProtection="1">
      <alignment horizontal="center" wrapText="1"/>
      <protection hidden="1"/>
    </xf>
    <xf numFmtId="0" fontId="19" fillId="0" borderId="144" xfId="0" applyFont="1" applyBorder="1" applyAlignment="1" applyProtection="1">
      <alignment horizontal="center" wrapText="1"/>
      <protection hidden="1"/>
    </xf>
    <xf numFmtId="0" fontId="21" fillId="0" borderId="1" xfId="0" applyFont="1" applyBorder="1" applyAlignment="1" applyProtection="1">
      <alignment horizontal="right" vertical="center" wrapText="1"/>
      <protection hidden="1"/>
    </xf>
    <xf numFmtId="0" fontId="21" fillId="0" borderId="37" xfId="0" applyFont="1" applyBorder="1" applyAlignment="1" applyProtection="1">
      <alignment wrapText="1"/>
      <protection hidden="1"/>
    </xf>
    <xf numFmtId="0" fontId="19" fillId="0" borderId="58" xfId="0" applyFont="1" applyBorder="1" applyAlignment="1" applyProtection="1">
      <alignment horizontal="center" wrapText="1"/>
      <protection hidden="1"/>
    </xf>
    <xf numFmtId="0" fontId="21" fillId="0" borderId="36" xfId="0" applyFont="1" applyBorder="1" applyAlignment="1" applyProtection="1">
      <alignment wrapText="1"/>
      <protection hidden="1"/>
    </xf>
    <xf numFmtId="0" fontId="21" fillId="0" borderId="16" xfId="0" applyFont="1" applyBorder="1" applyAlignment="1" applyProtection="1">
      <alignment horizontal="right" vertical="center" wrapText="1"/>
      <protection hidden="1"/>
    </xf>
    <xf numFmtId="0" fontId="21" fillId="0" borderId="114" xfId="0" applyFont="1" applyBorder="1" applyAlignment="1" applyProtection="1">
      <alignment wrapText="1"/>
      <protection hidden="1"/>
    </xf>
    <xf numFmtId="2" fontId="14" fillId="0" borderId="129" xfId="0" applyNumberFormat="1" applyFont="1" applyBorder="1" applyAlignment="1" applyProtection="1">
      <alignment horizontal="center"/>
      <protection hidden="1"/>
    </xf>
    <xf numFmtId="0" fontId="7" fillId="0" borderId="129" xfId="0" applyFont="1" applyBorder="1" applyAlignment="1" applyProtection="1">
      <alignment horizontal="center"/>
      <protection hidden="1"/>
    </xf>
    <xf numFmtId="0" fontId="7" fillId="0" borderId="183" xfId="0" applyFont="1" applyBorder="1" applyAlignment="1" applyProtection="1">
      <alignment horizontal="center"/>
      <protection hidden="1"/>
    </xf>
    <xf numFmtId="165" fontId="0" fillId="0" borderId="0" xfId="0" applyNumberFormat="1" applyAlignment="1" applyProtection="1">
      <alignment horizontal="center"/>
      <protection hidden="1"/>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4" fontId="0" fillId="0" borderId="77" xfId="0" applyNumberFormat="1" applyBorder="1" applyAlignment="1" applyProtection="1">
      <alignment horizontal="center"/>
      <protection hidden="1"/>
    </xf>
    <xf numFmtId="0" fontId="14" fillId="0" borderId="123" xfId="0" applyFont="1" applyBorder="1" applyAlignment="1" applyProtection="1">
      <alignment horizontal="center"/>
      <protection hidden="1"/>
    </xf>
    <xf numFmtId="2" fontId="21" fillId="0" borderId="0" xfId="0" applyNumberFormat="1" applyFont="1" applyAlignment="1" applyProtection="1">
      <alignment horizontal="center" vertical="center" wrapText="1"/>
      <protection hidden="1"/>
    </xf>
    <xf numFmtId="0" fontId="25" fillId="0" borderId="0" xfId="0" applyFont="1" applyAlignment="1" applyProtection="1">
      <alignment horizontal="center" wrapText="1"/>
      <protection hidden="1"/>
    </xf>
    <xf numFmtId="0" fontId="0" fillId="0" borderId="77" xfId="0" applyBorder="1" applyAlignment="1" applyProtection="1">
      <alignment horizontal="center"/>
      <protection hidden="1"/>
    </xf>
    <xf numFmtId="165" fontId="0" fillId="0" borderId="77" xfId="0" applyNumberFormat="1" applyBorder="1" applyAlignment="1" applyProtection="1">
      <alignment horizontal="center"/>
      <protection hidden="1"/>
    </xf>
    <xf numFmtId="0" fontId="14" fillId="0" borderId="123" xfId="0" applyFont="1" applyBorder="1" applyAlignment="1" applyProtection="1">
      <alignment horizontal="center" wrapText="1"/>
      <protection hidden="1"/>
    </xf>
    <xf numFmtId="0" fontId="0" fillId="0" borderId="124" xfId="0" applyBorder="1" applyAlignment="1" applyProtection="1">
      <alignment horizontal="center" wrapText="1"/>
      <protection hidden="1"/>
    </xf>
    <xf numFmtId="0" fontId="0" fillId="0" borderId="73" xfId="0" applyBorder="1" applyAlignment="1" applyProtection="1">
      <alignment horizontal="center"/>
      <protection hidden="1"/>
    </xf>
    <xf numFmtId="0" fontId="0" fillId="0" borderId="125" xfId="0" applyBorder="1" applyAlignment="1" applyProtection="1">
      <alignment horizontal="left" wrapText="1"/>
      <protection hidden="1"/>
    </xf>
    <xf numFmtId="0" fontId="0" fillId="0" borderId="77" xfId="0" applyBorder="1" applyAlignment="1" applyProtection="1">
      <alignment wrapText="1"/>
      <protection hidden="1"/>
    </xf>
    <xf numFmtId="0" fontId="0" fillId="0" borderId="121" xfId="0" applyBorder="1" applyAlignment="1" applyProtection="1">
      <alignment wrapText="1"/>
      <protection hidden="1"/>
    </xf>
    <xf numFmtId="0" fontId="0" fillId="0" borderId="163" xfId="0" applyBorder="1" applyAlignment="1">
      <alignment wrapText="1"/>
    </xf>
    <xf numFmtId="0" fontId="0" fillId="0" borderId="190" xfId="0" applyBorder="1" applyAlignment="1">
      <alignment wrapText="1"/>
    </xf>
    <xf numFmtId="0" fontId="0" fillId="0" borderId="191" xfId="0" applyBorder="1" applyAlignment="1">
      <alignment wrapText="1"/>
    </xf>
    <xf numFmtId="0" fontId="0" fillId="0" borderId="129" xfId="0" applyBorder="1" applyAlignment="1">
      <alignment wrapText="1"/>
    </xf>
    <xf numFmtId="0" fontId="0" fillId="0" borderId="183" xfId="0" applyBorder="1" applyAlignment="1">
      <alignment wrapText="1"/>
    </xf>
    <xf numFmtId="0" fontId="2" fillId="0" borderId="0" xfId="0" applyFont="1" applyAlignment="1">
      <alignment wrapText="1"/>
    </xf>
    <xf numFmtId="0" fontId="2" fillId="0" borderId="51" xfId="0" applyFont="1" applyBorder="1" applyAlignment="1">
      <alignment wrapText="1"/>
    </xf>
    <xf numFmtId="0" fontId="0" fillId="0" borderId="113" xfId="0" applyBorder="1" applyAlignment="1">
      <alignment wrapText="1"/>
    </xf>
    <xf numFmtId="0" fontId="0" fillId="0" borderId="62" xfId="0" applyBorder="1" applyAlignment="1">
      <alignment wrapText="1"/>
    </xf>
    <xf numFmtId="0" fontId="0" fillId="0" borderId="48" xfId="0" applyBorder="1" applyAlignment="1">
      <alignment wrapText="1"/>
    </xf>
    <xf numFmtId="0" fontId="0" fillId="0" borderId="36" xfId="0" applyBorder="1" applyAlignment="1">
      <alignment wrapText="1"/>
    </xf>
    <xf numFmtId="0" fontId="0" fillId="0" borderId="60" xfId="0" applyBorder="1" applyAlignment="1">
      <alignment wrapText="1"/>
    </xf>
    <xf numFmtId="0" fontId="0" fillId="0" borderId="51" xfId="0" applyBorder="1" applyAlignment="1">
      <alignment wrapText="1"/>
    </xf>
    <xf numFmtId="0" fontId="2" fillId="0" borderId="192" xfId="0" applyFont="1" applyBorder="1" applyAlignment="1">
      <alignment wrapText="1"/>
    </xf>
    <xf numFmtId="0" fontId="0" fillId="0" borderId="145" xfId="0" applyBorder="1" applyAlignment="1">
      <alignment wrapText="1"/>
    </xf>
    <xf numFmtId="0" fontId="0" fillId="0" borderId="58" xfId="0" applyBorder="1" applyAlignment="1">
      <alignment wrapText="1"/>
    </xf>
    <xf numFmtId="0" fontId="59" fillId="0" borderId="0" xfId="0" applyFont="1" applyAlignment="1">
      <alignment horizontal="center" wrapText="1"/>
    </xf>
    <xf numFmtId="0" fontId="60" fillId="0" borderId="0" xfId="0" applyFont="1" applyAlignment="1">
      <alignment horizontal="center" wrapText="1"/>
    </xf>
    <xf numFmtId="0" fontId="59" fillId="0" borderId="0" xfId="0" applyFont="1" applyAlignment="1">
      <alignment horizontal="center" vertical="center" wrapText="1"/>
    </xf>
    <xf numFmtId="0" fontId="0" fillId="0" borderId="0" xfId="0" applyAlignment="1">
      <alignment vertical="center" wrapText="1"/>
    </xf>
    <xf numFmtId="0" fontId="2" fillId="0" borderId="31" xfId="0" applyFont="1" applyBorder="1" applyAlignment="1">
      <alignment wrapText="1"/>
    </xf>
    <xf numFmtId="0" fontId="0" fillId="0" borderId="8" xfId="0" applyBorder="1" applyAlignment="1">
      <alignment wrapText="1"/>
    </xf>
    <xf numFmtId="0" fontId="0" fillId="0" borderId="29" xfId="0" applyBorder="1" applyAlignment="1">
      <alignment wrapText="1"/>
    </xf>
    <xf numFmtId="0" fontId="23" fillId="0" borderId="0" xfId="0" applyFont="1" applyAlignment="1">
      <alignment horizontal="center" wrapText="1"/>
    </xf>
    <xf numFmtId="0" fontId="0" fillId="0" borderId="0" xfId="0" applyAlignment="1">
      <alignment horizontal="center" wrapText="1"/>
    </xf>
    <xf numFmtId="0" fontId="23" fillId="0" borderId="0" xfId="0" applyFont="1" applyAlignment="1">
      <alignment horizontal="center"/>
    </xf>
    <xf numFmtId="0" fontId="40" fillId="0" borderId="0" xfId="0" applyFont="1" applyAlignment="1">
      <alignment wrapText="1"/>
    </xf>
    <xf numFmtId="0" fontId="46" fillId="0" borderId="0" xfId="0" applyFont="1" applyAlignment="1">
      <alignment wrapText="1"/>
    </xf>
    <xf numFmtId="0" fontId="21" fillId="0" borderId="0" xfId="0" applyFont="1" applyAlignment="1">
      <alignment horizontal="left" wrapText="1"/>
    </xf>
    <xf numFmtId="0" fontId="0" fillId="0" borderId="0" xfId="0" applyAlignment="1">
      <alignment horizontal="left" wrapText="1"/>
    </xf>
    <xf numFmtId="0" fontId="3" fillId="0" borderId="10" xfId="0" applyFont="1" applyBorder="1" applyAlignment="1">
      <alignment horizontal="left" wrapText="1"/>
    </xf>
    <xf numFmtId="0" fontId="0" fillId="0" borderId="11" xfId="0" applyBorder="1" applyAlignment="1">
      <alignment wrapText="1"/>
    </xf>
    <xf numFmtId="0" fontId="0" fillId="0" borderId="13" xfId="0" applyBorder="1" applyAlignment="1">
      <alignment wrapText="1"/>
    </xf>
    <xf numFmtId="0" fontId="3" fillId="0" borderId="9" xfId="0" applyFont="1" applyBorder="1" applyAlignment="1">
      <alignment wrapText="1"/>
    </xf>
    <xf numFmtId="0" fontId="0" fillId="0" borderId="12" xfId="0" applyBorder="1" applyAlignment="1">
      <alignment wrapText="1"/>
    </xf>
    <xf numFmtId="0" fontId="3" fillId="0" borderId="9" xfId="0" applyFont="1" applyBorder="1" applyAlignment="1">
      <alignment horizontal="left" wrapText="1"/>
    </xf>
    <xf numFmtId="49" fontId="3" fillId="0" borderId="9" xfId="0" applyNumberFormat="1" applyFont="1" applyBorder="1" applyAlignment="1">
      <alignment wrapText="1"/>
    </xf>
    <xf numFmtId="0" fontId="4" fillId="0" borderId="38" xfId="0" applyFont="1" applyBorder="1" applyAlignment="1">
      <alignment horizontal="center" wrapText="1"/>
    </xf>
    <xf numFmtId="0" fontId="4" fillId="0" borderId="106" xfId="0" applyFont="1" applyBorder="1" applyAlignment="1">
      <alignment horizontal="center"/>
    </xf>
    <xf numFmtId="0" fontId="3" fillId="0" borderId="10" xfId="0" applyFont="1" applyBorder="1" applyAlignment="1">
      <alignment wrapText="1"/>
    </xf>
    <xf numFmtId="0" fontId="0" fillId="0" borderId="9" xfId="0" applyBorder="1" applyAlignment="1">
      <alignment wrapText="1"/>
    </xf>
    <xf numFmtId="49" fontId="3" fillId="0" borderId="10" xfId="0" applyNumberFormat="1" applyFont="1" applyBorder="1" applyAlignment="1">
      <alignment wrapText="1"/>
    </xf>
    <xf numFmtId="0" fontId="16" fillId="0" borderId="0" xfId="0" applyFont="1" applyAlignment="1">
      <alignment horizontal="center" wrapText="1"/>
    </xf>
    <xf numFmtId="0" fontId="2" fillId="0" borderId="0" xfId="0" applyFont="1" applyAlignment="1">
      <alignment horizontal="center" wrapText="1"/>
    </xf>
    <xf numFmtId="0" fontId="3" fillId="0" borderId="11" xfId="0" applyFont="1" applyBorder="1" applyAlignment="1">
      <alignment wrapText="1"/>
    </xf>
    <xf numFmtId="0" fontId="3" fillId="0" borderId="0" xfId="0" applyFont="1" applyAlignment="1">
      <alignment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165" fontId="4" fillId="0" borderId="99" xfId="0" applyNumberFormat="1" applyFont="1" applyBorder="1" applyAlignment="1">
      <alignment horizontal="center" wrapText="1"/>
    </xf>
    <xf numFmtId="165" fontId="4" fillId="0" borderId="79" xfId="0" applyNumberFormat="1" applyFont="1" applyBorder="1" applyAlignment="1">
      <alignment horizontal="center" wrapText="1"/>
    </xf>
    <xf numFmtId="0" fontId="4" fillId="0" borderId="9" xfId="0" applyFont="1" applyBorder="1"/>
    <xf numFmtId="0" fontId="3" fillId="0" borderId="9" xfId="0" applyFont="1" applyBorder="1"/>
    <xf numFmtId="0" fontId="3" fillId="0" borderId="68" xfId="0" applyFont="1" applyBorder="1"/>
    <xf numFmtId="165" fontId="8" fillId="0" borderId="173" xfId="0" applyNumberFormat="1" applyFont="1" applyBorder="1" applyAlignment="1">
      <alignment horizontal="center" wrapText="1"/>
    </xf>
    <xf numFmtId="165" fontId="14" fillId="0" borderId="39" xfId="0" applyNumberFormat="1" applyFont="1" applyBorder="1" applyAlignment="1">
      <alignment horizontal="center"/>
    </xf>
    <xf numFmtId="165" fontId="4" fillId="0" borderId="99" xfId="0" applyNumberFormat="1" applyFont="1" applyBorder="1" applyAlignment="1">
      <alignment horizontal="center"/>
    </xf>
    <xf numFmtId="165" fontId="4" fillId="0" borderId="100" xfId="0" applyNumberFormat="1" applyFont="1" applyBorder="1"/>
    <xf numFmtId="165" fontId="4" fillId="0" borderId="101" xfId="0" applyNumberFormat="1" applyFont="1" applyBorder="1"/>
    <xf numFmtId="0" fontId="4" fillId="0" borderId="68" xfId="0" applyFont="1" applyBorder="1"/>
    <xf numFmtId="0" fontId="4" fillId="0" borderId="31" xfId="0" applyFont="1" applyBorder="1" applyAlignment="1">
      <alignment horizontal="center"/>
    </xf>
    <xf numFmtId="0" fontId="4" fillId="0" borderId="193" xfId="0" applyFont="1" applyBorder="1" applyAlignment="1">
      <alignment horizontal="center"/>
    </xf>
    <xf numFmtId="0" fontId="4" fillId="0" borderId="32" xfId="0" applyFont="1" applyBorder="1" applyAlignment="1">
      <alignment horizontal="center" vertical="center" wrapText="1"/>
    </xf>
    <xf numFmtId="0" fontId="7" fillId="0" borderId="39" xfId="0" applyFont="1" applyBorder="1" applyAlignment="1">
      <alignment horizontal="center" vertical="center" wrapText="1"/>
    </xf>
    <xf numFmtId="0" fontId="4" fillId="0" borderId="32" xfId="0" applyFont="1" applyBorder="1" applyAlignment="1">
      <alignment horizontal="center"/>
    </xf>
    <xf numFmtId="0" fontId="4" fillId="0" borderId="0" xfId="0" applyFont="1" applyAlignment="1">
      <alignment horizontal="center"/>
    </xf>
    <xf numFmtId="0" fontId="4" fillId="0" borderId="146" xfId="0" applyFont="1" applyBorder="1" applyAlignment="1">
      <alignment horizontal="center" vertical="center" wrapText="1"/>
    </xf>
    <xf numFmtId="0" fontId="7" fillId="0" borderId="46" xfId="0" applyFont="1" applyBorder="1" applyAlignment="1">
      <alignment horizontal="center" vertical="center" wrapText="1"/>
    </xf>
    <xf numFmtId="165" fontId="8" fillId="0" borderId="38" xfId="0" applyNumberFormat="1" applyFont="1" applyBorder="1" applyAlignment="1">
      <alignment horizontal="center" wrapText="1"/>
    </xf>
    <xf numFmtId="0" fontId="7" fillId="0" borderId="15" xfId="0" applyFont="1" applyBorder="1" applyAlignment="1">
      <alignment wrapText="1"/>
    </xf>
    <xf numFmtId="0" fontId="7" fillId="0" borderId="64" xfId="0" applyFont="1" applyBorder="1" applyAlignment="1">
      <alignment wrapText="1"/>
    </xf>
    <xf numFmtId="0" fontId="4" fillId="0" borderId="194" xfId="0" applyFont="1" applyBorder="1" applyAlignment="1">
      <alignment horizontal="center" wrapText="1"/>
    </xf>
    <xf numFmtId="0" fontId="4" fillId="0" borderId="195" xfId="0" applyFont="1" applyBorder="1" applyAlignment="1">
      <alignment horizontal="center"/>
    </xf>
    <xf numFmtId="0" fontId="4" fillId="0" borderId="196" xfId="0" applyFont="1" applyBorder="1" applyAlignment="1">
      <alignment horizontal="center"/>
    </xf>
    <xf numFmtId="0" fontId="4" fillId="0" borderId="173" xfId="0" applyFont="1" applyBorder="1" applyAlignment="1">
      <alignment horizontal="center"/>
    </xf>
    <xf numFmtId="0" fontId="4" fillId="0" borderId="174" xfId="0" applyFont="1" applyBorder="1" applyAlignment="1">
      <alignment horizontal="center" vertical="center" wrapText="1"/>
    </xf>
    <xf numFmtId="165" fontId="8" fillId="0" borderId="30" xfId="0" applyNumberFormat="1" applyFont="1" applyBorder="1" applyAlignment="1">
      <alignment horizontal="center" wrapText="1"/>
    </xf>
    <xf numFmtId="165" fontId="7" fillId="0" borderId="44" xfId="0" applyNumberFormat="1" applyFont="1" applyBorder="1" applyAlignment="1">
      <alignment horizontal="center" wrapText="1"/>
    </xf>
    <xf numFmtId="49" fontId="5" fillId="0" borderId="0" xfId="0" applyNumberFormat="1" applyFont="1" applyAlignment="1">
      <alignment horizontal="center" wrapText="1"/>
    </xf>
    <xf numFmtId="0" fontId="7" fillId="0" borderId="0" xfId="0" applyFont="1" applyAlignment="1">
      <alignment wrapText="1"/>
    </xf>
    <xf numFmtId="0" fontId="4" fillId="0" borderId="95" xfId="0" applyFont="1" applyBorder="1" applyAlignment="1">
      <alignment horizontal="left"/>
    </xf>
    <xf numFmtId="0" fontId="0" fillId="0" borderId="170" xfId="0" applyBorder="1"/>
    <xf numFmtId="0" fontId="7" fillId="0" borderId="0" xfId="0" applyFont="1" applyAlignment="1">
      <alignment horizontal="center" wrapText="1"/>
    </xf>
    <xf numFmtId="0" fontId="7" fillId="0" borderId="0" xfId="0" applyFont="1"/>
    <xf numFmtId="165" fontId="8" fillId="0" borderId="31" xfId="0" applyNumberFormat="1" applyFont="1" applyBorder="1" applyAlignment="1">
      <alignment horizontal="center" wrapText="1"/>
    </xf>
    <xf numFmtId="165" fontId="7" fillId="0" borderId="146" xfId="0" applyNumberFormat="1" applyFont="1" applyBorder="1" applyAlignment="1">
      <alignment horizontal="center" wrapText="1"/>
    </xf>
    <xf numFmtId="165" fontId="8" fillId="0" borderId="80" xfId="0" applyNumberFormat="1" applyFont="1" applyBorder="1" applyAlignment="1">
      <alignment horizontal="center" wrapText="1"/>
    </xf>
    <xf numFmtId="165" fontId="7" fillId="0" borderId="84" xfId="0" applyNumberFormat="1" applyFont="1" applyBorder="1" applyAlignment="1">
      <alignment horizontal="center" wrapText="1"/>
    </xf>
    <xf numFmtId="49" fontId="3" fillId="0" borderId="0" xfId="0" applyNumberFormat="1" applyFont="1" applyAlignment="1">
      <alignment wrapText="1"/>
    </xf>
    <xf numFmtId="49" fontId="9" fillId="0" borderId="0" xfId="0" applyNumberFormat="1" applyFont="1" applyAlignment="1">
      <alignment wrapText="1"/>
    </xf>
    <xf numFmtId="0" fontId="7" fillId="0" borderId="12" xfId="0" applyFont="1" applyBorder="1" applyAlignment="1">
      <alignment wrapText="1"/>
    </xf>
    <xf numFmtId="49" fontId="3" fillId="0" borderId="9" xfId="0" applyNumberFormat="1" applyFont="1" applyBorder="1"/>
    <xf numFmtId="49" fontId="3" fillId="0" borderId="0" xfId="0" applyNumberFormat="1" applyFont="1"/>
    <xf numFmtId="0" fontId="7" fillId="0" borderId="12" xfId="0" applyFont="1" applyBorder="1"/>
    <xf numFmtId="0" fontId="3" fillId="0" borderId="38" xfId="0" applyFont="1" applyBorder="1" applyAlignment="1">
      <alignment horizontal="center" wrapText="1"/>
    </xf>
    <xf numFmtId="0" fontId="3" fillId="0" borderId="15" xfId="0" applyFont="1" applyBorder="1" applyAlignment="1">
      <alignment horizontal="center" wrapText="1"/>
    </xf>
    <xf numFmtId="0" fontId="3" fillId="0" borderId="106" xfId="0" applyFont="1" applyBorder="1" applyAlignment="1">
      <alignment horizontal="center" wrapText="1"/>
    </xf>
    <xf numFmtId="165" fontId="4" fillId="0" borderId="15" xfId="0" applyNumberFormat="1" applyFont="1" applyBorder="1" applyAlignment="1">
      <alignment horizontal="center" wrapText="1"/>
    </xf>
    <xf numFmtId="0" fontId="2" fillId="0" borderId="15" xfId="0" applyFont="1" applyBorder="1" applyAlignment="1">
      <alignment horizontal="center" wrapText="1"/>
    </xf>
    <xf numFmtId="0" fontId="2" fillId="0" borderId="64" xfId="0" applyFont="1" applyBorder="1" applyAlignment="1">
      <alignment horizontal="center" wrapText="1"/>
    </xf>
    <xf numFmtId="0" fontId="2" fillId="0" borderId="12" xfId="0" applyFont="1" applyBorder="1" applyAlignment="1">
      <alignment wrapText="1"/>
    </xf>
    <xf numFmtId="49" fontId="9" fillId="0" borderId="9" xfId="0" applyNumberFormat="1" applyFont="1" applyBorder="1" applyAlignment="1">
      <alignment wrapText="1"/>
    </xf>
    <xf numFmtId="0" fontId="4" fillId="0" borderId="31" xfId="0" applyFont="1" applyBorder="1" applyAlignment="1">
      <alignment horizontal="center" wrapText="1"/>
    </xf>
    <xf numFmtId="0" fontId="4" fillId="0" borderId="193" xfId="0" applyFont="1" applyBorder="1" applyAlignment="1">
      <alignment horizontal="center" wrapText="1"/>
    </xf>
    <xf numFmtId="0" fontId="0" fillId="0" borderId="146" xfId="0" applyBorder="1" applyAlignment="1">
      <alignment horizontal="center" wrapText="1"/>
    </xf>
    <xf numFmtId="0" fontId="0" fillId="0" borderId="174" xfId="0" applyBorder="1" applyAlignment="1">
      <alignment horizontal="center" wrapText="1"/>
    </xf>
    <xf numFmtId="0" fontId="8" fillId="0" borderId="31" xfId="0" applyFont="1" applyBorder="1" applyAlignment="1">
      <alignment horizontal="center" wrapText="1"/>
    </xf>
    <xf numFmtId="0" fontId="8" fillId="0" borderId="146" xfId="0" applyFont="1" applyBorder="1" applyAlignment="1">
      <alignment horizontal="center" wrapText="1"/>
    </xf>
    <xf numFmtId="0" fontId="0" fillId="0" borderId="197" xfId="0" applyBorder="1" applyAlignment="1">
      <alignment vertical="center" wrapText="1"/>
    </xf>
    <xf numFmtId="0" fontId="0" fillId="0" borderId="168" xfId="0" applyBorder="1" applyAlignment="1">
      <alignment vertical="center"/>
    </xf>
    <xf numFmtId="0" fontId="0" fillId="0" borderId="147" xfId="0" applyBorder="1" applyAlignment="1">
      <alignment vertical="center"/>
    </xf>
    <xf numFmtId="0" fontId="0" fillId="0" borderId="168" xfId="0" applyBorder="1" applyAlignment="1">
      <alignment vertical="center" wrapText="1"/>
    </xf>
    <xf numFmtId="0" fontId="0" fillId="0" borderId="147" xfId="0" applyBorder="1" applyAlignment="1">
      <alignment vertical="center" wrapText="1"/>
    </xf>
    <xf numFmtId="0" fontId="14" fillId="0" borderId="142" xfId="0" applyFont="1" applyBorder="1"/>
    <xf numFmtId="0" fontId="0" fillId="0" borderId="77" xfId="0" applyBorder="1"/>
    <xf numFmtId="0" fontId="0" fillId="0" borderId="78" xfId="0" applyBorder="1"/>
    <xf numFmtId="0" fontId="14" fillId="0" borderId="9" xfId="0" applyFont="1" applyBorder="1"/>
    <xf numFmtId="0" fontId="3" fillId="0" borderId="174" xfId="0" applyFont="1" applyBorder="1" applyAlignment="1">
      <alignment horizontal="center" vertical="center" wrapText="1"/>
    </xf>
    <xf numFmtId="0" fontId="4" fillId="0" borderId="9" xfId="0" applyFont="1" applyBorder="1" applyAlignment="1">
      <alignment wrapText="1"/>
    </xf>
    <xf numFmtId="0" fontId="3" fillId="0" borderId="12" xfId="0" applyFont="1" applyBorder="1" applyAlignment="1">
      <alignment wrapText="1"/>
    </xf>
    <xf numFmtId="49" fontId="4" fillId="0" borderId="9" xfId="0" applyNumberFormat="1" applyFont="1" applyBorder="1" applyAlignment="1">
      <alignment wrapText="1"/>
    </xf>
    <xf numFmtId="2" fontId="4" fillId="0" borderId="122" xfId="0" applyNumberFormat="1" applyFont="1" applyBorder="1" applyAlignment="1">
      <alignment horizontal="center" vertical="center" wrapText="1"/>
    </xf>
    <xf numFmtId="0" fontId="14" fillId="0" borderId="123" xfId="0" applyFont="1" applyBorder="1" applyAlignment="1">
      <alignment horizontal="center" vertical="center" wrapText="1"/>
    </xf>
    <xf numFmtId="0" fontId="14" fillId="0" borderId="123" xfId="0" applyFont="1" applyBorder="1" applyAlignment="1">
      <alignment horizontal="center" wrapText="1"/>
    </xf>
    <xf numFmtId="0" fontId="14" fillId="0" borderId="151" xfId="0" applyFont="1" applyBorder="1" applyAlignment="1">
      <alignment horizontal="center" wrapText="1"/>
    </xf>
    <xf numFmtId="0" fontId="14" fillId="0" borderId="67" xfId="0" applyFont="1" applyBorder="1" applyAlignment="1">
      <alignment horizontal="center" vertical="center" wrapText="1"/>
    </xf>
    <xf numFmtId="0" fontId="14" fillId="0" borderId="0" xfId="0" applyFont="1" applyAlignment="1">
      <alignment horizontal="center" wrapText="1"/>
    </xf>
    <xf numFmtId="0" fontId="14" fillId="0" borderId="12" xfId="0" applyFont="1" applyBorder="1" applyAlignment="1">
      <alignment horizontal="center" wrapText="1"/>
    </xf>
    <xf numFmtId="0" fontId="14" fillId="0" borderId="125"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77" xfId="0" applyFont="1" applyBorder="1" applyAlignment="1">
      <alignment horizontal="center" wrapText="1"/>
    </xf>
    <xf numFmtId="0" fontId="14" fillId="0" borderId="78" xfId="0" applyFont="1" applyBorder="1" applyAlignment="1">
      <alignment horizontal="center" wrapText="1"/>
    </xf>
    <xf numFmtId="49" fontId="3" fillId="0" borderId="9" xfId="0" applyNumberFormat="1" applyFont="1" applyBorder="1" applyAlignment="1">
      <alignment horizontal="left" wrapText="1"/>
    </xf>
    <xf numFmtId="49" fontId="3" fillId="0" borderId="0" xfId="0" applyNumberFormat="1" applyFont="1" applyAlignment="1">
      <alignment horizontal="left" wrapText="1"/>
    </xf>
    <xf numFmtId="49" fontId="3" fillId="0" borderId="12" xfId="0" applyNumberFormat="1" applyFont="1" applyBorder="1" applyAlignment="1">
      <alignment horizontal="left" wrapText="1"/>
    </xf>
    <xf numFmtId="0" fontId="3" fillId="0" borderId="0" xfId="0" applyFont="1" applyAlignment="1">
      <alignment horizontal="left" wrapText="1"/>
    </xf>
    <xf numFmtId="0" fontId="3" fillId="0" borderId="12" xfId="0" applyFont="1" applyBorder="1" applyAlignment="1">
      <alignment horizontal="left" wrapText="1"/>
    </xf>
    <xf numFmtId="0" fontId="80" fillId="0" borderId="9" xfId="0" applyFont="1" applyBorder="1" applyAlignment="1">
      <alignment horizontal="left" wrapText="1"/>
    </xf>
    <xf numFmtId="0" fontId="81" fillId="0" borderId="0" xfId="0" applyFont="1" applyAlignment="1">
      <alignment wrapText="1"/>
    </xf>
    <xf numFmtId="0" fontId="81" fillId="0" borderId="12" xfId="0" applyFont="1" applyBorder="1" applyAlignment="1">
      <alignment wrapText="1"/>
    </xf>
    <xf numFmtId="0" fontId="7" fillId="0" borderId="170" xfId="0" applyFont="1" applyBorder="1" applyAlignment="1">
      <alignment horizontal="left"/>
    </xf>
  </cellXfs>
  <cellStyles count="2">
    <cellStyle name="Normal" xfId="0" builtinId="0"/>
    <cellStyle name="Normal 2" xfId="1" xr:uid="{9D80FC4A-4FF6-45BA-AA26-76841AEAEA8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FFFF"/>
      <color rgb="FFCC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10</xdr:col>
      <xdr:colOff>76200</xdr:colOff>
      <xdr:row>2</xdr:row>
      <xdr:rowOff>47625</xdr:rowOff>
    </xdr:from>
    <xdr:to>
      <xdr:col>10</xdr:col>
      <xdr:colOff>781050</xdr:colOff>
      <xdr:row>4</xdr:row>
      <xdr:rowOff>142875</xdr:rowOff>
    </xdr:to>
    <xdr:pic>
      <xdr:nvPicPr>
        <xdr:cNvPr id="2" name="Picture 1">
          <a:extLst>
            <a:ext uri="{FF2B5EF4-FFF2-40B4-BE49-F238E27FC236}">
              <a16:creationId xmlns:a16="http://schemas.microsoft.com/office/drawing/2014/main" id="{61BBABC7-960E-4639-BDB4-689EC5BAA9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00725" y="685800"/>
          <a:ext cx="704850" cy="419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76200</xdr:colOff>
      <xdr:row>2</xdr:row>
      <xdr:rowOff>47625</xdr:rowOff>
    </xdr:from>
    <xdr:to>
      <xdr:col>9</xdr:col>
      <xdr:colOff>781050</xdr:colOff>
      <xdr:row>2</xdr:row>
      <xdr:rowOff>466725</xdr:rowOff>
    </xdr:to>
    <xdr:pic>
      <xdr:nvPicPr>
        <xdr:cNvPr id="4105" name="Picture 1">
          <a:extLst>
            <a:ext uri="{FF2B5EF4-FFF2-40B4-BE49-F238E27FC236}">
              <a16:creationId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14975" y="685800"/>
          <a:ext cx="704850" cy="419100"/>
        </a:xfrm>
        <a:prstGeom prst="rect">
          <a:avLst/>
        </a:prstGeom>
        <a:noFill/>
        <a:ln w="9525">
          <a:noFill/>
          <a:miter lim="800000"/>
          <a:headEnd/>
          <a:tailEnd/>
        </a:ln>
      </xdr:spPr>
    </xdr:pic>
    <xdr:clientData/>
  </xdr:twoCellAnchor>
  <xdr:twoCellAnchor editAs="oneCell">
    <xdr:from>
      <xdr:col>9</xdr:col>
      <xdr:colOff>0</xdr:colOff>
      <xdr:row>2</xdr:row>
      <xdr:rowOff>57150</xdr:rowOff>
    </xdr:from>
    <xdr:to>
      <xdr:col>9</xdr:col>
      <xdr:colOff>704850</xdr:colOff>
      <xdr:row>2</xdr:row>
      <xdr:rowOff>476250</xdr:rowOff>
    </xdr:to>
    <xdr:pic>
      <xdr:nvPicPr>
        <xdr:cNvPr id="4106" name="Picture 4">
          <a:extLst>
            <a:ext uri="{FF2B5EF4-FFF2-40B4-BE49-F238E27FC236}">
              <a16:creationId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38775" y="695325"/>
          <a:ext cx="704850" cy="419100"/>
        </a:xfrm>
        <a:prstGeom prst="rect">
          <a:avLst/>
        </a:prstGeom>
        <a:noFill/>
        <a:ln w="9525">
          <a:noFill/>
          <a:miter lim="800000"/>
          <a:headEnd/>
          <a:tailEnd/>
        </a:ln>
      </xdr:spPr>
    </xdr:pic>
    <xdr:clientData/>
  </xdr:twoCellAnchor>
  <xdr:twoCellAnchor editAs="oneCell">
    <xdr:from>
      <xdr:col>9</xdr:col>
      <xdr:colOff>76200</xdr:colOff>
      <xdr:row>2</xdr:row>
      <xdr:rowOff>47625</xdr:rowOff>
    </xdr:from>
    <xdr:to>
      <xdr:col>9</xdr:col>
      <xdr:colOff>781050</xdr:colOff>
      <xdr:row>2</xdr:row>
      <xdr:rowOff>466725</xdr:rowOff>
    </xdr:to>
    <xdr:pic>
      <xdr:nvPicPr>
        <xdr:cNvPr id="4107" name="Picture 5">
          <a:extLst>
            <a:ext uri="{FF2B5EF4-FFF2-40B4-BE49-F238E27FC236}">
              <a16:creationId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14975" y="685800"/>
          <a:ext cx="704850" cy="4191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133350</xdr:colOff>
      <xdr:row>0</xdr:row>
      <xdr:rowOff>219075</xdr:rowOff>
    </xdr:from>
    <xdr:to>
      <xdr:col>9</xdr:col>
      <xdr:colOff>838200</xdr:colOff>
      <xdr:row>0</xdr:row>
      <xdr:rowOff>638175</xdr:rowOff>
    </xdr:to>
    <xdr:pic>
      <xdr:nvPicPr>
        <xdr:cNvPr id="3163" name="Picture 1">
          <a:extLst>
            <a:ext uri="{FF2B5EF4-FFF2-40B4-BE49-F238E27FC236}">
              <a16:creationId xmlns:a16="http://schemas.microsoft.com/office/drawing/2014/main" id="{00000000-0008-0000-0400-00005B0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91125" y="219075"/>
          <a:ext cx="704850" cy="419100"/>
        </a:xfrm>
        <a:prstGeom prst="rect">
          <a:avLst/>
        </a:prstGeom>
        <a:noFill/>
        <a:ln w="9525">
          <a:noFill/>
          <a:miter lim="800000"/>
          <a:headEnd/>
          <a:tailEnd/>
        </a:ln>
      </xdr:spPr>
    </xdr:pic>
    <xdr:clientData/>
  </xdr:twoCellAnchor>
  <xdr:twoCellAnchor>
    <xdr:from>
      <xdr:col>4</xdr:col>
      <xdr:colOff>0</xdr:colOff>
      <xdr:row>4</xdr:row>
      <xdr:rowOff>228600</xdr:rowOff>
    </xdr:from>
    <xdr:to>
      <xdr:col>5</xdr:col>
      <xdr:colOff>104775</xdr:colOff>
      <xdr:row>4</xdr:row>
      <xdr:rowOff>228600</xdr:rowOff>
    </xdr:to>
    <xdr:sp macro="" textlink="">
      <xdr:nvSpPr>
        <xdr:cNvPr id="3164" name="Line 2">
          <a:extLst>
            <a:ext uri="{FF2B5EF4-FFF2-40B4-BE49-F238E27FC236}">
              <a16:creationId xmlns:a16="http://schemas.microsoft.com/office/drawing/2014/main" id="{00000000-0008-0000-0400-00005C0C0000}"/>
            </a:ext>
          </a:extLst>
        </xdr:cNvPr>
        <xdr:cNvSpPr>
          <a:spLocks noChangeShapeType="1"/>
        </xdr:cNvSpPr>
      </xdr:nvSpPr>
      <xdr:spPr bwMode="auto">
        <a:xfrm>
          <a:off x="2724150" y="1990725"/>
          <a:ext cx="276225" cy="0"/>
        </a:xfrm>
        <a:prstGeom prst="line">
          <a:avLst/>
        </a:prstGeom>
        <a:noFill/>
        <a:ln w="9525">
          <a:solidFill>
            <a:srgbClr val="000000"/>
          </a:solidFill>
          <a:round/>
          <a:headEnd type="stealth" w="med" len="med"/>
          <a:tailEnd/>
        </a:ln>
      </xdr:spPr>
    </xdr:sp>
    <xdr:clientData/>
  </xdr:twoCellAnchor>
  <xdr:twoCellAnchor>
    <xdr:from>
      <xdr:col>4</xdr:col>
      <xdr:colOff>0</xdr:colOff>
      <xdr:row>9</xdr:row>
      <xdr:rowOff>209550</xdr:rowOff>
    </xdr:from>
    <xdr:to>
      <xdr:col>5</xdr:col>
      <xdr:colOff>133350</xdr:colOff>
      <xdr:row>9</xdr:row>
      <xdr:rowOff>209550</xdr:rowOff>
    </xdr:to>
    <xdr:sp macro="" textlink="">
      <xdr:nvSpPr>
        <xdr:cNvPr id="3165" name="Line 3">
          <a:extLst>
            <a:ext uri="{FF2B5EF4-FFF2-40B4-BE49-F238E27FC236}">
              <a16:creationId xmlns:a16="http://schemas.microsoft.com/office/drawing/2014/main" id="{00000000-0008-0000-0400-00005D0C0000}"/>
            </a:ext>
          </a:extLst>
        </xdr:cNvPr>
        <xdr:cNvSpPr>
          <a:spLocks noChangeShapeType="1"/>
        </xdr:cNvSpPr>
      </xdr:nvSpPr>
      <xdr:spPr bwMode="auto">
        <a:xfrm>
          <a:off x="2724150" y="2971800"/>
          <a:ext cx="304800" cy="0"/>
        </a:xfrm>
        <a:prstGeom prst="line">
          <a:avLst/>
        </a:prstGeom>
        <a:noFill/>
        <a:ln w="9525">
          <a:solidFill>
            <a:srgbClr val="000000"/>
          </a:solidFill>
          <a:round/>
          <a:headEnd type="stealth" w="med" len="med"/>
          <a:tailEnd/>
        </a:ln>
      </xdr:spPr>
    </xdr:sp>
    <xdr:clientData/>
  </xdr:twoCellAnchor>
  <xdr:twoCellAnchor>
    <xdr:from>
      <xdr:col>5</xdr:col>
      <xdr:colOff>9525</xdr:colOff>
      <xdr:row>15</xdr:row>
      <xdr:rowOff>85725</xdr:rowOff>
    </xdr:from>
    <xdr:to>
      <xdr:col>5</xdr:col>
      <xdr:colOff>133350</xdr:colOff>
      <xdr:row>15</xdr:row>
      <xdr:rowOff>95250</xdr:rowOff>
    </xdr:to>
    <xdr:sp macro="" textlink="">
      <xdr:nvSpPr>
        <xdr:cNvPr id="3166" name="Line 4">
          <a:extLst>
            <a:ext uri="{FF2B5EF4-FFF2-40B4-BE49-F238E27FC236}">
              <a16:creationId xmlns:a16="http://schemas.microsoft.com/office/drawing/2014/main" id="{00000000-0008-0000-0400-00005E0C0000}"/>
            </a:ext>
          </a:extLst>
        </xdr:cNvPr>
        <xdr:cNvSpPr>
          <a:spLocks noChangeShapeType="1"/>
        </xdr:cNvSpPr>
      </xdr:nvSpPr>
      <xdr:spPr bwMode="auto">
        <a:xfrm flipV="1">
          <a:off x="3257550" y="4191000"/>
          <a:ext cx="123825" cy="9525"/>
        </a:xfrm>
        <a:prstGeom prst="line">
          <a:avLst/>
        </a:prstGeom>
        <a:noFill/>
        <a:ln w="9525">
          <a:solidFill>
            <a:srgbClr val="000000"/>
          </a:solidFill>
          <a:round/>
          <a:headEnd type="stealth" w="med" len="med"/>
          <a:tailEnd/>
        </a:ln>
      </xdr:spPr>
    </xdr:sp>
    <xdr:clientData/>
  </xdr:twoCellAnchor>
  <xdr:twoCellAnchor>
    <xdr:from>
      <xdr:col>4</xdr:col>
      <xdr:colOff>38100</xdr:colOff>
      <xdr:row>21</xdr:row>
      <xdr:rowOff>95250</xdr:rowOff>
    </xdr:from>
    <xdr:to>
      <xdr:col>5</xdr:col>
      <xdr:colOff>161925</xdr:colOff>
      <xdr:row>21</xdr:row>
      <xdr:rowOff>95250</xdr:rowOff>
    </xdr:to>
    <xdr:sp macro="" textlink="">
      <xdr:nvSpPr>
        <xdr:cNvPr id="3167" name="Line 5">
          <a:extLst>
            <a:ext uri="{FF2B5EF4-FFF2-40B4-BE49-F238E27FC236}">
              <a16:creationId xmlns:a16="http://schemas.microsoft.com/office/drawing/2014/main" id="{00000000-0008-0000-0400-00005F0C0000}"/>
            </a:ext>
          </a:extLst>
        </xdr:cNvPr>
        <xdr:cNvSpPr>
          <a:spLocks noChangeShapeType="1"/>
        </xdr:cNvSpPr>
      </xdr:nvSpPr>
      <xdr:spPr bwMode="auto">
        <a:xfrm>
          <a:off x="2762250" y="5000625"/>
          <a:ext cx="295275" cy="0"/>
        </a:xfrm>
        <a:prstGeom prst="line">
          <a:avLst/>
        </a:prstGeom>
        <a:noFill/>
        <a:ln w="9525">
          <a:solidFill>
            <a:srgbClr val="000000"/>
          </a:solidFill>
          <a:round/>
          <a:headEnd type="stealth" w="med" len="med"/>
          <a:tailEnd/>
        </a:ln>
      </xdr:spPr>
    </xdr:sp>
    <xdr:clientData/>
  </xdr:twoCellAnchor>
  <xdr:twoCellAnchor>
    <xdr:from>
      <xdr:col>4</xdr:col>
      <xdr:colOff>38100</xdr:colOff>
      <xdr:row>23</xdr:row>
      <xdr:rowOff>104775</xdr:rowOff>
    </xdr:from>
    <xdr:to>
      <xdr:col>5</xdr:col>
      <xdr:colOff>161925</xdr:colOff>
      <xdr:row>23</xdr:row>
      <xdr:rowOff>104775</xdr:rowOff>
    </xdr:to>
    <xdr:sp macro="" textlink="">
      <xdr:nvSpPr>
        <xdr:cNvPr id="3168" name="Line 6">
          <a:extLst>
            <a:ext uri="{FF2B5EF4-FFF2-40B4-BE49-F238E27FC236}">
              <a16:creationId xmlns:a16="http://schemas.microsoft.com/office/drawing/2014/main" id="{00000000-0008-0000-0400-0000600C0000}"/>
            </a:ext>
          </a:extLst>
        </xdr:cNvPr>
        <xdr:cNvSpPr>
          <a:spLocks noChangeShapeType="1"/>
        </xdr:cNvSpPr>
      </xdr:nvSpPr>
      <xdr:spPr bwMode="auto">
        <a:xfrm>
          <a:off x="2762250" y="5314950"/>
          <a:ext cx="295275" cy="0"/>
        </a:xfrm>
        <a:prstGeom prst="line">
          <a:avLst/>
        </a:prstGeom>
        <a:noFill/>
        <a:ln w="9525">
          <a:solidFill>
            <a:srgbClr val="000000"/>
          </a:solidFill>
          <a:round/>
          <a:headEnd type="stealth" w="med" len="med"/>
          <a:tailEnd/>
        </a:ln>
      </xdr:spPr>
    </xdr:sp>
    <xdr:clientData/>
  </xdr:twoCellAnchor>
  <xdr:twoCellAnchor>
    <xdr:from>
      <xdr:col>4</xdr:col>
      <xdr:colOff>0</xdr:colOff>
      <xdr:row>6</xdr:row>
      <xdr:rowOff>180975</xdr:rowOff>
    </xdr:from>
    <xdr:to>
      <xdr:col>5</xdr:col>
      <xdr:colOff>133350</xdr:colOff>
      <xdr:row>6</xdr:row>
      <xdr:rowOff>180975</xdr:rowOff>
    </xdr:to>
    <xdr:sp macro="" textlink="">
      <xdr:nvSpPr>
        <xdr:cNvPr id="3169" name="Line 7">
          <a:extLst>
            <a:ext uri="{FF2B5EF4-FFF2-40B4-BE49-F238E27FC236}">
              <a16:creationId xmlns:a16="http://schemas.microsoft.com/office/drawing/2014/main" id="{00000000-0008-0000-0400-0000610C0000}"/>
            </a:ext>
          </a:extLst>
        </xdr:cNvPr>
        <xdr:cNvSpPr>
          <a:spLocks noChangeShapeType="1"/>
        </xdr:cNvSpPr>
      </xdr:nvSpPr>
      <xdr:spPr bwMode="auto">
        <a:xfrm>
          <a:off x="2724150" y="2476500"/>
          <a:ext cx="304800" cy="0"/>
        </a:xfrm>
        <a:prstGeom prst="line">
          <a:avLst/>
        </a:prstGeom>
        <a:noFill/>
        <a:ln w="9525">
          <a:solidFill>
            <a:srgbClr val="000000"/>
          </a:solidFill>
          <a:round/>
          <a:headEnd type="stealth" w="med" len="med"/>
          <a:tailEnd/>
        </a:ln>
      </xdr:spPr>
    </xdr:sp>
    <xdr:clientData/>
  </xdr:twoCellAnchor>
  <xdr:twoCellAnchor>
    <xdr:from>
      <xdr:col>4</xdr:col>
      <xdr:colOff>47625</xdr:colOff>
      <xdr:row>25</xdr:row>
      <xdr:rowOff>123825</xdr:rowOff>
    </xdr:from>
    <xdr:to>
      <xdr:col>6</xdr:col>
      <xdr:colOff>0</xdr:colOff>
      <xdr:row>25</xdr:row>
      <xdr:rowOff>123825</xdr:rowOff>
    </xdr:to>
    <xdr:sp macro="" textlink="">
      <xdr:nvSpPr>
        <xdr:cNvPr id="3170" name="Line 56">
          <a:extLst>
            <a:ext uri="{FF2B5EF4-FFF2-40B4-BE49-F238E27FC236}">
              <a16:creationId xmlns:a16="http://schemas.microsoft.com/office/drawing/2014/main" id="{00000000-0008-0000-0400-0000620C0000}"/>
            </a:ext>
          </a:extLst>
        </xdr:cNvPr>
        <xdr:cNvSpPr>
          <a:spLocks noChangeShapeType="1"/>
        </xdr:cNvSpPr>
      </xdr:nvSpPr>
      <xdr:spPr bwMode="auto">
        <a:xfrm>
          <a:off x="2771775" y="5638800"/>
          <a:ext cx="295275" cy="0"/>
        </a:xfrm>
        <a:prstGeom prst="line">
          <a:avLst/>
        </a:prstGeom>
        <a:noFill/>
        <a:ln w="9525">
          <a:solidFill>
            <a:srgbClr val="000000"/>
          </a:solidFill>
          <a:round/>
          <a:headEnd type="stealth" w="med" len="med"/>
          <a:tailEnd/>
        </a:ln>
      </xdr:spPr>
    </xdr:sp>
    <xdr:clientData/>
  </xdr:twoCellAnchor>
  <xdr:twoCellAnchor>
    <xdr:from>
      <xdr:col>4</xdr:col>
      <xdr:colOff>4763</xdr:colOff>
      <xdr:row>13</xdr:row>
      <xdr:rowOff>242889</xdr:rowOff>
    </xdr:from>
    <xdr:to>
      <xdr:col>5</xdr:col>
      <xdr:colOff>138113</xdr:colOff>
      <xdr:row>13</xdr:row>
      <xdr:rowOff>242889</xdr:rowOff>
    </xdr:to>
    <xdr:sp macro="" textlink="">
      <xdr:nvSpPr>
        <xdr:cNvPr id="10" name="Line 3">
          <a:extLst>
            <a:ext uri="{FF2B5EF4-FFF2-40B4-BE49-F238E27FC236}">
              <a16:creationId xmlns:a16="http://schemas.microsoft.com/office/drawing/2014/main" id="{00000000-0008-0000-0400-00000A000000}"/>
            </a:ext>
          </a:extLst>
        </xdr:cNvPr>
        <xdr:cNvSpPr>
          <a:spLocks noChangeShapeType="1"/>
        </xdr:cNvSpPr>
      </xdr:nvSpPr>
      <xdr:spPr bwMode="auto">
        <a:xfrm>
          <a:off x="2928938" y="3852864"/>
          <a:ext cx="319088" cy="0"/>
        </a:xfrm>
        <a:prstGeom prst="line">
          <a:avLst/>
        </a:prstGeom>
        <a:noFill/>
        <a:ln w="9525">
          <a:solidFill>
            <a:srgbClr val="000000"/>
          </a:solidFill>
          <a:round/>
          <a:headEnd type="stealth" w="med" len="me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600075</xdr:colOff>
      <xdr:row>7</xdr:row>
      <xdr:rowOff>9525</xdr:rowOff>
    </xdr:from>
    <xdr:to>
      <xdr:col>9</xdr:col>
      <xdr:colOff>762000</xdr:colOff>
      <xdr:row>11</xdr:row>
      <xdr:rowOff>9525</xdr:rowOff>
    </xdr:to>
    <xdr:sp macro="" textlink="">
      <xdr:nvSpPr>
        <xdr:cNvPr id="2107" name="Line 2">
          <a:extLst>
            <a:ext uri="{FF2B5EF4-FFF2-40B4-BE49-F238E27FC236}">
              <a16:creationId xmlns:a16="http://schemas.microsoft.com/office/drawing/2014/main" id="{00000000-0008-0000-0500-00003B080000}"/>
            </a:ext>
          </a:extLst>
        </xdr:cNvPr>
        <xdr:cNvSpPr>
          <a:spLocks noChangeShapeType="1"/>
        </xdr:cNvSpPr>
      </xdr:nvSpPr>
      <xdr:spPr bwMode="auto">
        <a:xfrm flipH="1" flipV="1">
          <a:off x="3362325" y="2238375"/>
          <a:ext cx="161925" cy="695325"/>
        </a:xfrm>
        <a:prstGeom prst="line">
          <a:avLst/>
        </a:prstGeom>
        <a:noFill/>
        <a:ln w="9525">
          <a:solidFill>
            <a:srgbClr val="000000"/>
          </a:solidFill>
          <a:round/>
          <a:headEnd/>
          <a:tailEnd type="triangle" w="med" len="med"/>
        </a:ln>
      </xdr:spPr>
    </xdr:sp>
    <xdr:clientData/>
  </xdr:twoCellAnchor>
  <xdr:twoCellAnchor>
    <xdr:from>
      <xdr:col>6</xdr:col>
      <xdr:colOff>9525</xdr:colOff>
      <xdr:row>8</xdr:row>
      <xdr:rowOff>342900</xdr:rowOff>
    </xdr:from>
    <xdr:to>
      <xdr:col>9</xdr:col>
      <xdr:colOff>781050</xdr:colOff>
      <xdr:row>10</xdr:row>
      <xdr:rowOff>38100</xdr:rowOff>
    </xdr:to>
    <xdr:sp macro="" textlink="">
      <xdr:nvSpPr>
        <xdr:cNvPr id="2108" name="Line 3">
          <a:extLst>
            <a:ext uri="{FF2B5EF4-FFF2-40B4-BE49-F238E27FC236}">
              <a16:creationId xmlns:a16="http://schemas.microsoft.com/office/drawing/2014/main" id="{00000000-0008-0000-0500-00003C080000}"/>
            </a:ext>
          </a:extLst>
        </xdr:cNvPr>
        <xdr:cNvSpPr>
          <a:spLocks noChangeShapeType="1"/>
        </xdr:cNvSpPr>
      </xdr:nvSpPr>
      <xdr:spPr bwMode="auto">
        <a:xfrm flipH="1" flipV="1">
          <a:off x="2390775" y="2676525"/>
          <a:ext cx="1152525" cy="228600"/>
        </a:xfrm>
        <a:prstGeom prst="line">
          <a:avLst/>
        </a:prstGeom>
        <a:noFill/>
        <a:ln w="9525">
          <a:solidFill>
            <a:srgbClr val="000000"/>
          </a:solidFill>
          <a:round/>
          <a:headEnd/>
          <a:tailEnd type="triangle" w="med" len="med"/>
        </a:ln>
      </xdr:spPr>
    </xdr:sp>
    <xdr:clientData/>
  </xdr:twoCellAnchor>
  <xdr:twoCellAnchor>
    <xdr:from>
      <xdr:col>9</xdr:col>
      <xdr:colOff>752475</xdr:colOff>
      <xdr:row>8</xdr:row>
      <xdr:rowOff>304800</xdr:rowOff>
    </xdr:from>
    <xdr:to>
      <xdr:col>11</xdr:col>
      <xdr:colOff>0</xdr:colOff>
      <xdr:row>10</xdr:row>
      <xdr:rowOff>38100</xdr:rowOff>
    </xdr:to>
    <xdr:sp macro="" textlink="">
      <xdr:nvSpPr>
        <xdr:cNvPr id="2109" name="Line 4">
          <a:extLst>
            <a:ext uri="{FF2B5EF4-FFF2-40B4-BE49-F238E27FC236}">
              <a16:creationId xmlns:a16="http://schemas.microsoft.com/office/drawing/2014/main" id="{00000000-0008-0000-0500-00003D080000}"/>
            </a:ext>
          </a:extLst>
        </xdr:cNvPr>
        <xdr:cNvSpPr>
          <a:spLocks noChangeShapeType="1"/>
        </xdr:cNvSpPr>
      </xdr:nvSpPr>
      <xdr:spPr bwMode="auto">
        <a:xfrm flipV="1">
          <a:off x="3514725" y="2638425"/>
          <a:ext cx="942975" cy="266700"/>
        </a:xfrm>
        <a:prstGeom prst="line">
          <a:avLst/>
        </a:prstGeom>
        <a:noFill/>
        <a:ln w="9525">
          <a:solidFill>
            <a:srgbClr val="000000"/>
          </a:solidFill>
          <a:round/>
          <a:headEnd/>
          <a:tailEnd type="triangle" w="med" len="med"/>
        </a:ln>
      </xdr:spPr>
    </xdr:sp>
    <xdr:clientData/>
  </xdr:twoCellAnchor>
  <xdr:twoCellAnchor>
    <xdr:from>
      <xdr:col>12</xdr:col>
      <xdr:colOff>9525</xdr:colOff>
      <xdr:row>5</xdr:row>
      <xdr:rowOff>361950</xdr:rowOff>
    </xdr:from>
    <xdr:to>
      <xdr:col>14</xdr:col>
      <xdr:colOff>0</xdr:colOff>
      <xdr:row>8</xdr:row>
      <xdr:rowOff>295275</xdr:rowOff>
    </xdr:to>
    <xdr:sp macro="" textlink="">
      <xdr:nvSpPr>
        <xdr:cNvPr id="2110" name="Line 5">
          <a:extLst>
            <a:ext uri="{FF2B5EF4-FFF2-40B4-BE49-F238E27FC236}">
              <a16:creationId xmlns:a16="http://schemas.microsoft.com/office/drawing/2014/main" id="{00000000-0008-0000-0500-00003E080000}"/>
            </a:ext>
          </a:extLst>
        </xdr:cNvPr>
        <xdr:cNvSpPr>
          <a:spLocks noChangeShapeType="1"/>
        </xdr:cNvSpPr>
      </xdr:nvSpPr>
      <xdr:spPr bwMode="auto">
        <a:xfrm flipV="1">
          <a:off x="5381625" y="1866900"/>
          <a:ext cx="228600" cy="762000"/>
        </a:xfrm>
        <a:prstGeom prst="line">
          <a:avLst/>
        </a:prstGeom>
        <a:noFill/>
        <a:ln w="9525">
          <a:solidFill>
            <a:srgbClr val="000000"/>
          </a:solidFill>
          <a:round/>
          <a:headEnd/>
          <a:tailEnd type="triangle" w="med" len="med"/>
        </a:ln>
      </xdr:spPr>
    </xdr:sp>
    <xdr:clientData/>
  </xdr:twoCellAnchor>
  <xdr:twoCellAnchor>
    <xdr:from>
      <xdr:col>12</xdr:col>
      <xdr:colOff>9525</xdr:colOff>
      <xdr:row>8</xdr:row>
      <xdr:rowOff>295275</xdr:rowOff>
    </xdr:from>
    <xdr:to>
      <xdr:col>14</xdr:col>
      <xdr:colOff>9525</xdr:colOff>
      <xdr:row>8</xdr:row>
      <xdr:rowOff>295275</xdr:rowOff>
    </xdr:to>
    <xdr:sp macro="" textlink="">
      <xdr:nvSpPr>
        <xdr:cNvPr id="2111" name="Line 6">
          <a:extLst>
            <a:ext uri="{FF2B5EF4-FFF2-40B4-BE49-F238E27FC236}">
              <a16:creationId xmlns:a16="http://schemas.microsoft.com/office/drawing/2014/main" id="{00000000-0008-0000-0500-00003F080000}"/>
            </a:ext>
          </a:extLst>
        </xdr:cNvPr>
        <xdr:cNvSpPr>
          <a:spLocks noChangeShapeType="1"/>
        </xdr:cNvSpPr>
      </xdr:nvSpPr>
      <xdr:spPr bwMode="auto">
        <a:xfrm flipV="1">
          <a:off x="5381625" y="2628900"/>
          <a:ext cx="238125" cy="0"/>
        </a:xfrm>
        <a:prstGeom prst="line">
          <a:avLst/>
        </a:prstGeom>
        <a:noFill/>
        <a:ln w="9525">
          <a:solidFill>
            <a:srgbClr val="000000"/>
          </a:solidFill>
          <a:round/>
          <a:headEnd/>
          <a:tailEnd type="triangle" w="med" len="med"/>
        </a:ln>
      </xdr:spPr>
    </xdr:sp>
    <xdr:clientData/>
  </xdr:twoCellAnchor>
  <xdr:twoCellAnchor>
    <xdr:from>
      <xdr:col>9</xdr:col>
      <xdr:colOff>800100</xdr:colOff>
      <xdr:row>17</xdr:row>
      <xdr:rowOff>0</xdr:rowOff>
    </xdr:from>
    <xdr:to>
      <xdr:col>9</xdr:col>
      <xdr:colOff>800100</xdr:colOff>
      <xdr:row>18</xdr:row>
      <xdr:rowOff>0</xdr:rowOff>
    </xdr:to>
    <xdr:sp macro="" textlink="">
      <xdr:nvSpPr>
        <xdr:cNvPr id="2112" name="Line 7">
          <a:extLst>
            <a:ext uri="{FF2B5EF4-FFF2-40B4-BE49-F238E27FC236}">
              <a16:creationId xmlns:a16="http://schemas.microsoft.com/office/drawing/2014/main" id="{00000000-0008-0000-0500-000040080000}"/>
            </a:ext>
          </a:extLst>
        </xdr:cNvPr>
        <xdr:cNvSpPr>
          <a:spLocks noChangeShapeType="1"/>
        </xdr:cNvSpPr>
      </xdr:nvSpPr>
      <xdr:spPr bwMode="auto">
        <a:xfrm>
          <a:off x="3562350" y="3800475"/>
          <a:ext cx="0" cy="161925"/>
        </a:xfrm>
        <a:prstGeom prst="line">
          <a:avLst/>
        </a:prstGeom>
        <a:noFill/>
        <a:ln w="9525">
          <a:solidFill>
            <a:srgbClr val="000000"/>
          </a:solidFill>
          <a:round/>
          <a:headEnd/>
          <a:tailEnd type="triangle" w="med" len="med"/>
        </a:ln>
      </xdr:spPr>
    </xdr:sp>
    <xdr:clientData/>
  </xdr:twoCellAnchor>
  <xdr:twoCellAnchor>
    <xdr:from>
      <xdr:col>6</xdr:col>
      <xdr:colOff>28575</xdr:colOff>
      <xdr:row>21</xdr:row>
      <xdr:rowOff>0</xdr:rowOff>
    </xdr:from>
    <xdr:to>
      <xdr:col>9</xdr:col>
      <xdr:colOff>685800</xdr:colOff>
      <xdr:row>22</xdr:row>
      <xdr:rowOff>285750</xdr:rowOff>
    </xdr:to>
    <xdr:sp macro="" textlink="">
      <xdr:nvSpPr>
        <xdr:cNvPr id="2113" name="Line 8">
          <a:extLst>
            <a:ext uri="{FF2B5EF4-FFF2-40B4-BE49-F238E27FC236}">
              <a16:creationId xmlns:a16="http://schemas.microsoft.com/office/drawing/2014/main" id="{00000000-0008-0000-0500-000041080000}"/>
            </a:ext>
          </a:extLst>
        </xdr:cNvPr>
        <xdr:cNvSpPr>
          <a:spLocks noChangeShapeType="1"/>
        </xdr:cNvSpPr>
      </xdr:nvSpPr>
      <xdr:spPr bwMode="auto">
        <a:xfrm flipH="1">
          <a:off x="2409825" y="4733925"/>
          <a:ext cx="1038225" cy="390525"/>
        </a:xfrm>
        <a:prstGeom prst="line">
          <a:avLst/>
        </a:prstGeom>
        <a:noFill/>
        <a:ln w="9525">
          <a:solidFill>
            <a:srgbClr val="000000"/>
          </a:solidFill>
          <a:round/>
          <a:headEnd/>
          <a:tailEnd type="triangle" w="med" len="med"/>
        </a:ln>
      </xdr:spPr>
    </xdr:sp>
    <xdr:clientData/>
  </xdr:twoCellAnchor>
  <xdr:twoCellAnchor>
    <xdr:from>
      <xdr:col>5</xdr:col>
      <xdr:colOff>0</xdr:colOff>
      <xdr:row>19</xdr:row>
      <xdr:rowOff>276225</xdr:rowOff>
    </xdr:from>
    <xdr:to>
      <xdr:col>6</xdr:col>
      <xdr:colOff>133350</xdr:colOff>
      <xdr:row>19</xdr:row>
      <xdr:rowOff>276225</xdr:rowOff>
    </xdr:to>
    <xdr:sp macro="" textlink="">
      <xdr:nvSpPr>
        <xdr:cNvPr id="2114" name="Line 9">
          <a:extLst>
            <a:ext uri="{FF2B5EF4-FFF2-40B4-BE49-F238E27FC236}">
              <a16:creationId xmlns:a16="http://schemas.microsoft.com/office/drawing/2014/main" id="{00000000-0008-0000-0500-000042080000}"/>
            </a:ext>
          </a:extLst>
        </xdr:cNvPr>
        <xdr:cNvSpPr>
          <a:spLocks noChangeShapeType="1"/>
        </xdr:cNvSpPr>
      </xdr:nvSpPr>
      <xdr:spPr bwMode="auto">
        <a:xfrm flipH="1" flipV="1">
          <a:off x="1419225" y="4305300"/>
          <a:ext cx="1095375" cy="0"/>
        </a:xfrm>
        <a:prstGeom prst="line">
          <a:avLst/>
        </a:prstGeom>
        <a:noFill/>
        <a:ln w="9525">
          <a:solidFill>
            <a:srgbClr val="000000"/>
          </a:solidFill>
          <a:round/>
          <a:headEnd/>
          <a:tailEnd type="triangle" w="med" len="med"/>
        </a:ln>
      </xdr:spPr>
    </xdr:sp>
    <xdr:clientData/>
  </xdr:twoCellAnchor>
  <xdr:twoCellAnchor>
    <xdr:from>
      <xdr:col>9</xdr:col>
      <xdr:colOff>685800</xdr:colOff>
      <xdr:row>20</xdr:row>
      <xdr:rowOff>209550</xdr:rowOff>
    </xdr:from>
    <xdr:to>
      <xdr:col>11</xdr:col>
      <xdr:colOff>0</xdr:colOff>
      <xdr:row>22</xdr:row>
      <xdr:rowOff>333375</xdr:rowOff>
    </xdr:to>
    <xdr:sp macro="" textlink="">
      <xdr:nvSpPr>
        <xdr:cNvPr id="2115" name="Line 10">
          <a:extLst>
            <a:ext uri="{FF2B5EF4-FFF2-40B4-BE49-F238E27FC236}">
              <a16:creationId xmlns:a16="http://schemas.microsoft.com/office/drawing/2014/main" id="{00000000-0008-0000-0500-000043080000}"/>
            </a:ext>
          </a:extLst>
        </xdr:cNvPr>
        <xdr:cNvSpPr>
          <a:spLocks noChangeShapeType="1"/>
        </xdr:cNvSpPr>
      </xdr:nvSpPr>
      <xdr:spPr bwMode="auto">
        <a:xfrm>
          <a:off x="3448050" y="4724400"/>
          <a:ext cx="1009650" cy="447675"/>
        </a:xfrm>
        <a:prstGeom prst="line">
          <a:avLst/>
        </a:prstGeom>
        <a:noFill/>
        <a:ln w="9525">
          <a:solidFill>
            <a:srgbClr val="000000"/>
          </a:solidFill>
          <a:round/>
          <a:headEnd/>
          <a:tailEnd type="triangle" w="med" len="med"/>
        </a:ln>
      </xdr:spPr>
    </xdr:sp>
    <xdr:clientData/>
  </xdr:twoCellAnchor>
  <xdr:twoCellAnchor>
    <xdr:from>
      <xdr:col>12</xdr:col>
      <xdr:colOff>9525</xdr:colOff>
      <xdr:row>20</xdr:row>
      <xdr:rowOff>0</xdr:rowOff>
    </xdr:from>
    <xdr:to>
      <xdr:col>14</xdr:col>
      <xdr:colOff>0</xdr:colOff>
      <xdr:row>22</xdr:row>
      <xdr:rowOff>361950</xdr:rowOff>
    </xdr:to>
    <xdr:sp macro="" textlink="">
      <xdr:nvSpPr>
        <xdr:cNvPr id="2116" name="Line 11">
          <a:extLst>
            <a:ext uri="{FF2B5EF4-FFF2-40B4-BE49-F238E27FC236}">
              <a16:creationId xmlns:a16="http://schemas.microsoft.com/office/drawing/2014/main" id="{00000000-0008-0000-0500-000044080000}"/>
            </a:ext>
          </a:extLst>
        </xdr:cNvPr>
        <xdr:cNvSpPr>
          <a:spLocks noChangeShapeType="1"/>
        </xdr:cNvSpPr>
      </xdr:nvSpPr>
      <xdr:spPr bwMode="auto">
        <a:xfrm flipV="1">
          <a:off x="5381625" y="4514850"/>
          <a:ext cx="228600" cy="685800"/>
        </a:xfrm>
        <a:prstGeom prst="line">
          <a:avLst/>
        </a:prstGeom>
        <a:noFill/>
        <a:ln w="9525">
          <a:solidFill>
            <a:srgbClr val="000000"/>
          </a:solidFill>
          <a:round/>
          <a:headEnd/>
          <a:tailEnd type="triangle" w="med" len="med"/>
        </a:ln>
      </xdr:spPr>
    </xdr:sp>
    <xdr:clientData/>
  </xdr:twoCellAnchor>
  <xdr:twoCellAnchor>
    <xdr:from>
      <xdr:col>12</xdr:col>
      <xdr:colOff>9525</xdr:colOff>
      <xdr:row>22</xdr:row>
      <xdr:rowOff>352425</xdr:rowOff>
    </xdr:from>
    <xdr:to>
      <xdr:col>14</xdr:col>
      <xdr:colOff>0</xdr:colOff>
      <xdr:row>22</xdr:row>
      <xdr:rowOff>352425</xdr:rowOff>
    </xdr:to>
    <xdr:sp macro="" textlink="">
      <xdr:nvSpPr>
        <xdr:cNvPr id="2117" name="Line 12">
          <a:extLst>
            <a:ext uri="{FF2B5EF4-FFF2-40B4-BE49-F238E27FC236}">
              <a16:creationId xmlns:a16="http://schemas.microsoft.com/office/drawing/2014/main" id="{00000000-0008-0000-0500-000045080000}"/>
            </a:ext>
          </a:extLst>
        </xdr:cNvPr>
        <xdr:cNvSpPr>
          <a:spLocks noChangeShapeType="1"/>
        </xdr:cNvSpPr>
      </xdr:nvSpPr>
      <xdr:spPr bwMode="auto">
        <a:xfrm>
          <a:off x="5381625" y="5191125"/>
          <a:ext cx="228600" cy="0"/>
        </a:xfrm>
        <a:prstGeom prst="line">
          <a:avLst/>
        </a:prstGeom>
        <a:noFill/>
        <a:ln w="9525">
          <a:solidFill>
            <a:srgbClr val="000000"/>
          </a:solidFill>
          <a:round/>
          <a:headEnd/>
          <a:tailEnd type="triangle" w="med" len="med"/>
        </a:ln>
      </xdr:spPr>
    </xdr:sp>
    <xdr:clientData/>
  </xdr:twoCellAnchor>
  <xdr:twoCellAnchor>
    <xdr:from>
      <xdr:col>1</xdr:col>
      <xdr:colOff>9525</xdr:colOff>
      <xdr:row>18</xdr:row>
      <xdr:rowOff>0</xdr:rowOff>
    </xdr:from>
    <xdr:to>
      <xdr:col>16</xdr:col>
      <xdr:colOff>0</xdr:colOff>
      <xdr:row>18</xdr:row>
      <xdr:rowOff>9525</xdr:rowOff>
    </xdr:to>
    <xdr:sp macro="" textlink="">
      <xdr:nvSpPr>
        <xdr:cNvPr id="2118" name="Line 13">
          <a:extLst>
            <a:ext uri="{FF2B5EF4-FFF2-40B4-BE49-F238E27FC236}">
              <a16:creationId xmlns:a16="http://schemas.microsoft.com/office/drawing/2014/main" id="{00000000-0008-0000-0500-000046080000}"/>
            </a:ext>
          </a:extLst>
        </xdr:cNvPr>
        <xdr:cNvSpPr>
          <a:spLocks noChangeShapeType="1"/>
        </xdr:cNvSpPr>
      </xdr:nvSpPr>
      <xdr:spPr bwMode="auto">
        <a:xfrm flipV="1">
          <a:off x="95250" y="3962400"/>
          <a:ext cx="6715125" cy="9525"/>
        </a:xfrm>
        <a:prstGeom prst="line">
          <a:avLst/>
        </a:prstGeom>
        <a:noFill/>
        <a:ln w="28575">
          <a:solidFill>
            <a:srgbClr val="000000"/>
          </a:solidFill>
          <a:prstDash val="sysDot"/>
          <a:round/>
          <a:headEnd/>
          <a:tailEnd/>
        </a:ln>
      </xdr:spPr>
    </xdr:sp>
    <xdr:clientData/>
  </xdr:twoCellAnchor>
  <xdr:twoCellAnchor>
    <xdr:from>
      <xdr:col>0</xdr:col>
      <xdr:colOff>76200</xdr:colOff>
      <xdr:row>11</xdr:row>
      <xdr:rowOff>0</xdr:rowOff>
    </xdr:from>
    <xdr:to>
      <xdr:col>15</xdr:col>
      <xdr:colOff>9525</xdr:colOff>
      <xdr:row>11</xdr:row>
      <xdr:rowOff>0</xdr:rowOff>
    </xdr:to>
    <xdr:sp macro="" textlink="">
      <xdr:nvSpPr>
        <xdr:cNvPr id="2119" name="Line 14">
          <a:extLst>
            <a:ext uri="{FF2B5EF4-FFF2-40B4-BE49-F238E27FC236}">
              <a16:creationId xmlns:a16="http://schemas.microsoft.com/office/drawing/2014/main" id="{00000000-0008-0000-0500-000047080000}"/>
            </a:ext>
          </a:extLst>
        </xdr:cNvPr>
        <xdr:cNvSpPr>
          <a:spLocks noChangeShapeType="1"/>
        </xdr:cNvSpPr>
      </xdr:nvSpPr>
      <xdr:spPr bwMode="auto">
        <a:xfrm flipV="1">
          <a:off x="76200" y="2924175"/>
          <a:ext cx="6686550" cy="0"/>
        </a:xfrm>
        <a:prstGeom prst="line">
          <a:avLst/>
        </a:prstGeom>
        <a:noFill/>
        <a:ln w="28575">
          <a:solidFill>
            <a:srgbClr val="000000"/>
          </a:solidFill>
          <a:prstDash val="sysDot"/>
          <a:round/>
          <a:headEnd/>
          <a:tailEnd/>
        </a:ln>
      </xdr:spPr>
    </xdr:sp>
    <xdr:clientData/>
  </xdr:twoCellAnchor>
  <xdr:twoCellAnchor editAs="oneCell">
    <xdr:from>
      <xdr:col>14</xdr:col>
      <xdr:colOff>219075</xdr:colOff>
      <xdr:row>1</xdr:row>
      <xdr:rowOff>76200</xdr:rowOff>
    </xdr:from>
    <xdr:to>
      <xdr:col>14</xdr:col>
      <xdr:colOff>923925</xdr:colOff>
      <xdr:row>1</xdr:row>
      <xdr:rowOff>495300</xdr:rowOff>
    </xdr:to>
    <xdr:pic>
      <xdr:nvPicPr>
        <xdr:cNvPr id="2120" name="Picture 43">
          <a:extLst>
            <a:ext uri="{FF2B5EF4-FFF2-40B4-BE49-F238E27FC236}">
              <a16:creationId xmlns:a16="http://schemas.microsoft.com/office/drawing/2014/main" id="{00000000-0008-0000-0500-000048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29300" y="676275"/>
          <a:ext cx="704850" cy="4191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571500</xdr:colOff>
      <xdr:row>1</xdr:row>
      <xdr:rowOff>133350</xdr:rowOff>
    </xdr:from>
    <xdr:to>
      <xdr:col>12</xdr:col>
      <xdr:colOff>257175</xdr:colOff>
      <xdr:row>1</xdr:row>
      <xdr:rowOff>552450</xdr:rowOff>
    </xdr:to>
    <xdr:pic>
      <xdr:nvPicPr>
        <xdr:cNvPr id="7173" name="Picture 1">
          <a:extLst>
            <a:ext uri="{FF2B5EF4-FFF2-40B4-BE49-F238E27FC236}">
              <a16:creationId xmlns:a16="http://schemas.microsoft.com/office/drawing/2014/main" id="{00000000-0008-0000-0800-0000051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38775" y="876300"/>
          <a:ext cx="704850" cy="419100"/>
        </a:xfrm>
        <a:prstGeom prst="rect">
          <a:avLst/>
        </a:prstGeom>
        <a:noFill/>
        <a:ln w="9525">
          <a:noFill/>
          <a:miter lim="800000"/>
          <a:headEnd/>
          <a:tailEnd/>
        </a:ln>
      </xdr:spPr>
    </xdr:pic>
    <xdr:clientData/>
  </xdr:twoCellAnchor>
  <xdr:twoCellAnchor editAs="oneCell">
    <xdr:from>
      <xdr:col>10</xdr:col>
      <xdr:colOff>419100</xdr:colOff>
      <xdr:row>1</xdr:row>
      <xdr:rowOff>114300</xdr:rowOff>
    </xdr:from>
    <xdr:to>
      <xdr:col>12</xdr:col>
      <xdr:colOff>228600</xdr:colOff>
      <xdr:row>1</xdr:row>
      <xdr:rowOff>533400</xdr:rowOff>
    </xdr:to>
    <xdr:pic>
      <xdr:nvPicPr>
        <xdr:cNvPr id="7174" name="Picture 2">
          <a:extLst>
            <a:ext uri="{FF2B5EF4-FFF2-40B4-BE49-F238E27FC236}">
              <a16:creationId xmlns:a16="http://schemas.microsoft.com/office/drawing/2014/main" id="{00000000-0008-0000-0800-0000061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857250"/>
          <a:ext cx="704850" cy="419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FF"/>
  </sheetPr>
  <dimension ref="B1:Q18"/>
  <sheetViews>
    <sheetView showGridLines="0" showRowColHeaders="0" workbookViewId="0">
      <selection activeCell="C7" sqref="C7:K7"/>
    </sheetView>
  </sheetViews>
  <sheetFormatPr defaultColWidth="9.1328125" defaultRowHeight="13.15"/>
  <cols>
    <col min="1" max="1" width="2.86328125" style="347" customWidth="1"/>
    <col min="2" max="2" width="2.265625" style="347" customWidth="1"/>
    <col min="3" max="3" width="10.59765625" style="347" customWidth="1"/>
    <col min="4" max="8" width="9.1328125" style="347"/>
    <col min="9" max="9" width="15.265625" style="347" customWidth="1"/>
    <col min="10" max="10" width="9.1328125" style="347"/>
    <col min="11" max="11" width="13.1328125" style="347" customWidth="1"/>
    <col min="12" max="16384" width="9.1328125" style="347"/>
  </cols>
  <sheetData>
    <row r="1" spans="2:17" ht="6" customHeight="1"/>
    <row r="2" spans="2:17" s="24" customFormat="1" ht="44.25" customHeight="1">
      <c r="C2" s="1182" t="s">
        <v>698</v>
      </c>
      <c r="D2" s="1183"/>
      <c r="E2" s="1183"/>
      <c r="F2" s="1183"/>
      <c r="G2" s="1183"/>
      <c r="H2" s="1183"/>
      <c r="I2" s="1183"/>
      <c r="J2" s="1183"/>
      <c r="K2" s="1183"/>
      <c r="M2" s="348"/>
      <c r="N2" s="349"/>
      <c r="O2" s="350"/>
      <c r="P2" s="350"/>
      <c r="Q2" s="350"/>
    </row>
    <row r="3" spans="2:17" s="24" customFormat="1" ht="41.25" customHeight="1">
      <c r="C3" s="1184" t="s">
        <v>1749</v>
      </c>
      <c r="D3" s="1185"/>
      <c r="E3" s="1185"/>
      <c r="F3" s="1185"/>
      <c r="G3" s="1185"/>
      <c r="H3" s="1185"/>
      <c r="I3" s="1185"/>
      <c r="J3" s="1185"/>
      <c r="K3" s="1185"/>
      <c r="M3" s="348"/>
      <c r="N3" s="349"/>
      <c r="O3" s="350"/>
      <c r="P3" s="350"/>
      <c r="Q3" s="350"/>
    </row>
    <row r="4" spans="2:17" ht="6" customHeight="1"/>
    <row r="5" spans="2:17" ht="15">
      <c r="C5" s="351" t="s">
        <v>1380</v>
      </c>
      <c r="D5" s="352"/>
      <c r="E5" s="352"/>
      <c r="F5" s="352"/>
      <c r="G5" s="352"/>
      <c r="H5" s="352"/>
      <c r="I5" s="352"/>
      <c r="J5" s="352"/>
      <c r="K5" s="352"/>
    </row>
    <row r="6" spans="2:17" ht="5.25" customHeight="1">
      <c r="C6" s="353"/>
    </row>
    <row r="7" spans="2:17" ht="25.5" customHeight="1">
      <c r="C7" s="1186" t="s">
        <v>1748</v>
      </c>
      <c r="D7" s="1181"/>
      <c r="E7" s="1181"/>
      <c r="F7" s="1181"/>
      <c r="G7" s="1181"/>
      <c r="H7" s="1181"/>
      <c r="I7" s="1181"/>
      <c r="J7" s="1181"/>
      <c r="K7" s="1181"/>
    </row>
    <row r="8" spans="2:17" ht="80" customHeight="1">
      <c r="C8" s="1186" t="s">
        <v>1746</v>
      </c>
      <c r="D8" s="1181"/>
      <c r="E8" s="1181"/>
      <c r="F8" s="1181"/>
      <c r="G8" s="1181"/>
      <c r="H8" s="1181"/>
      <c r="I8" s="1181"/>
      <c r="J8" s="1181"/>
      <c r="K8" s="1181"/>
    </row>
    <row r="9" spans="2:17" ht="28.5" customHeight="1">
      <c r="C9" s="1186" t="s">
        <v>1743</v>
      </c>
      <c r="D9" s="1181"/>
      <c r="E9" s="1181"/>
      <c r="F9" s="1181"/>
      <c r="G9" s="1181"/>
      <c r="H9" s="1181"/>
      <c r="I9" s="1181"/>
      <c r="J9" s="1181"/>
      <c r="K9" s="1181"/>
    </row>
    <row r="10" spans="2:17" ht="5.25" customHeight="1">
      <c r="C10" s="353"/>
    </row>
    <row r="11" spans="2:17" ht="50.1" customHeight="1">
      <c r="C11" s="1180" t="s">
        <v>1436</v>
      </c>
      <c r="D11" s="1181"/>
      <c r="E11" s="1181"/>
      <c r="F11" s="1181"/>
      <c r="G11" s="1181"/>
      <c r="H11" s="1181"/>
      <c r="I11" s="1181"/>
      <c r="J11" s="1181"/>
      <c r="K11" s="1181"/>
    </row>
    <row r="12" spans="2:17" ht="33.950000000000003" customHeight="1">
      <c r="C12" s="1180" t="s">
        <v>1435</v>
      </c>
      <c r="D12" s="1181"/>
      <c r="E12" s="1181"/>
      <c r="F12" s="1181"/>
      <c r="G12" s="1181"/>
      <c r="H12" s="1181"/>
      <c r="I12" s="1181"/>
      <c r="J12" s="1181"/>
      <c r="K12" s="1181"/>
    </row>
    <row r="13" spans="2:17" ht="18.75" customHeight="1">
      <c r="B13" s="390"/>
      <c r="C13" s="1180"/>
      <c r="D13" s="1181"/>
      <c r="E13" s="1181"/>
      <c r="F13" s="1181"/>
      <c r="G13" s="1181"/>
      <c r="H13" s="1181"/>
      <c r="I13" s="1181"/>
      <c r="J13" s="1181"/>
      <c r="K13" s="1181"/>
    </row>
    <row r="14" spans="2:17" ht="18" customHeight="1">
      <c r="C14" s="78" t="s">
        <v>978</v>
      </c>
      <c r="D14" s="77"/>
      <c r="E14" s="77"/>
      <c r="F14" s="24"/>
      <c r="G14" s="24"/>
      <c r="H14" s="77"/>
      <c r="I14" s="24"/>
      <c r="J14" s="24"/>
      <c r="K14" s="24"/>
    </row>
    <row r="15" spans="2:17" ht="48" customHeight="1">
      <c r="C15" s="1179" t="s">
        <v>1397</v>
      </c>
      <c r="D15" s="1180"/>
      <c r="E15" s="1180"/>
      <c r="F15" s="1180"/>
      <c r="G15" s="1180"/>
      <c r="H15" s="1180"/>
      <c r="I15" s="1180"/>
      <c r="J15" s="1180"/>
      <c r="K15" s="1180"/>
    </row>
    <row r="16" spans="2:17" ht="9.75" customHeight="1">
      <c r="C16" s="342"/>
      <c r="D16" s="269"/>
      <c r="E16" s="269"/>
      <c r="F16" s="269"/>
      <c r="G16" s="269"/>
      <c r="H16" s="269"/>
      <c r="I16" s="269"/>
      <c r="J16" s="269"/>
      <c r="K16" s="269"/>
    </row>
    <row r="17" spans="3:11" ht="45.95" customHeight="1">
      <c r="C17" s="1179" t="s">
        <v>1395</v>
      </c>
      <c r="D17" s="1181"/>
      <c r="E17" s="1181"/>
      <c r="F17" s="1181"/>
      <c r="G17" s="1181"/>
      <c r="H17" s="1181"/>
      <c r="I17" s="1181"/>
      <c r="J17" s="1181"/>
      <c r="K17" s="1181"/>
    </row>
    <row r="18" spans="3:11" ht="9.75" customHeight="1">
      <c r="C18" s="342"/>
      <c r="D18" s="183"/>
      <c r="E18" s="183"/>
      <c r="F18" s="183"/>
      <c r="G18" s="183"/>
      <c r="H18" s="183"/>
      <c r="I18" s="183"/>
      <c r="J18" s="183"/>
      <c r="K18" s="183"/>
    </row>
  </sheetData>
  <sheetProtection algorithmName="SHA-512" hashValue="QoEYCvpb6p6hv1ulth6EROPrBsipqUx1BUjhNFeJCDgOiW++ZYqWzbC2XpC77J6aJOM9Gonp2y542DoOcqUSrQ==" saltValue="HE3nOnhDUJ5HTxeX2l6YoQ==" spinCount="100000" sheet="1" objects="1" scenarios="1"/>
  <mergeCells count="10">
    <mergeCell ref="C15:K15"/>
    <mergeCell ref="C17:K17"/>
    <mergeCell ref="C2:K2"/>
    <mergeCell ref="C3:K3"/>
    <mergeCell ref="C11:K11"/>
    <mergeCell ref="C12:K12"/>
    <mergeCell ref="C13:K13"/>
    <mergeCell ref="C9:K9"/>
    <mergeCell ref="C8:K8"/>
    <mergeCell ref="C7:K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1"/>
  </sheetPr>
  <dimension ref="A1:G176"/>
  <sheetViews>
    <sheetView zoomScaleNormal="100" workbookViewId="0">
      <pane ySplit="1950" topLeftCell="A5" activePane="bottomLeft"/>
      <selection activeCell="E3" sqref="E3:F3"/>
      <selection pane="bottomLeft" activeCell="B27" sqref="B27"/>
    </sheetView>
  </sheetViews>
  <sheetFormatPr defaultColWidth="8.73046875" defaultRowHeight="10.15"/>
  <cols>
    <col min="1" max="1" width="40.73046875" style="3" customWidth="1"/>
    <col min="2" max="3" width="15.73046875" style="481" customWidth="1"/>
    <col min="4" max="4" width="15.73046875" style="475" customWidth="1"/>
    <col min="5" max="5" width="15.73046875" style="3" customWidth="1"/>
    <col min="6" max="16384" width="8.73046875" style="3"/>
  </cols>
  <sheetData>
    <row r="1" spans="1:6" ht="29.25">
      <c r="A1" s="442" t="s">
        <v>655</v>
      </c>
      <c r="B1" s="443"/>
      <c r="C1" s="443"/>
      <c r="D1" s="444"/>
      <c r="E1" s="444"/>
      <c r="F1"/>
    </row>
    <row r="2" spans="1:6" ht="15" thickBot="1">
      <c r="A2" s="442"/>
      <c r="B2" s="3"/>
      <c r="C2" s="3"/>
      <c r="D2" s="444"/>
      <c r="E2" s="444"/>
      <c r="F2"/>
    </row>
    <row r="3" spans="1:6" ht="15.75" customHeight="1" thickTop="1" thickBot="1">
      <c r="B3" s="445" t="s">
        <v>656</v>
      </c>
      <c r="C3" s="446"/>
      <c r="D3" s="447" t="s">
        <v>657</v>
      </c>
      <c r="E3" s="448"/>
      <c r="F3"/>
    </row>
    <row r="4" spans="1:6" ht="25.5" customHeight="1" thickTop="1" thickBot="1">
      <c r="A4" s="449" t="s">
        <v>613</v>
      </c>
      <c r="B4" s="450" t="s">
        <v>658</v>
      </c>
      <c r="C4" s="451" t="s">
        <v>659</v>
      </c>
      <c r="D4" s="452" t="s">
        <v>658</v>
      </c>
      <c r="E4" s="453" t="s">
        <v>659</v>
      </c>
      <c r="F4"/>
    </row>
    <row r="5" spans="1:6">
      <c r="A5" s="454" t="s">
        <v>548</v>
      </c>
      <c r="B5" s="455">
        <v>118.02725999999998</v>
      </c>
      <c r="C5" s="456">
        <v>20</v>
      </c>
      <c r="D5" s="455">
        <v>118.02725999999998</v>
      </c>
      <c r="E5" s="457">
        <v>15</v>
      </c>
    </row>
    <row r="6" spans="1:6">
      <c r="A6" s="458" t="s">
        <v>549</v>
      </c>
      <c r="B6" s="459">
        <v>127.20004500000002</v>
      </c>
      <c r="C6" s="460">
        <v>300</v>
      </c>
      <c r="D6" s="459">
        <v>5.5120019500000001</v>
      </c>
      <c r="E6" s="461">
        <v>13</v>
      </c>
    </row>
    <row r="7" spans="1:6">
      <c r="A7" s="458" t="s">
        <v>550</v>
      </c>
      <c r="B7" s="459">
        <v>3.7214359282282676</v>
      </c>
      <c r="C7" s="460">
        <v>6044.7756876580943</v>
      </c>
      <c r="D7" s="459">
        <v>0.9234675</v>
      </c>
      <c r="E7" s="461">
        <v>1500</v>
      </c>
    </row>
    <row r="8" spans="1:6">
      <c r="A8" s="458" t="s">
        <v>551</v>
      </c>
      <c r="B8" s="459">
        <v>3.910714285714286</v>
      </c>
      <c r="C8" s="460">
        <v>1.2053821078383794E-3</v>
      </c>
      <c r="D8" s="459">
        <v>3.910714285714286</v>
      </c>
      <c r="E8" s="461">
        <v>1.3999999999999999E-4</v>
      </c>
    </row>
    <row r="9" spans="1:6">
      <c r="A9" s="458" t="s">
        <v>161</v>
      </c>
      <c r="B9" s="459">
        <v>10.828215092807262</v>
      </c>
      <c r="C9" s="460">
        <v>152.33581908424497</v>
      </c>
      <c r="D9" s="459">
        <v>10.828215092807262</v>
      </c>
      <c r="E9" s="461">
        <v>152.33581908424497</v>
      </c>
    </row>
    <row r="10" spans="1:6">
      <c r="A10" s="462" t="s">
        <v>162</v>
      </c>
      <c r="B10" s="459">
        <v>9.066944184765767E-2</v>
      </c>
      <c r="C10" s="460">
        <v>1.9300404753783804</v>
      </c>
      <c r="D10" s="459">
        <v>9.066944184765767E-2</v>
      </c>
      <c r="E10" s="461">
        <v>1.9300404753783804</v>
      </c>
    </row>
    <row r="11" spans="1:6">
      <c r="A11" s="462" t="s">
        <v>94</v>
      </c>
      <c r="B11" s="459">
        <v>9.066944184765767E-2</v>
      </c>
      <c r="C11" s="460">
        <v>1.9300404753783804</v>
      </c>
      <c r="D11" s="459">
        <v>9.066944184765767E-2</v>
      </c>
      <c r="E11" s="461">
        <v>1.9300404753783804</v>
      </c>
    </row>
    <row r="12" spans="1:6">
      <c r="A12" s="458" t="s">
        <v>552</v>
      </c>
      <c r="B12" s="459">
        <v>4.2251984613333331</v>
      </c>
      <c r="C12" s="460">
        <v>0.18</v>
      </c>
      <c r="D12" s="459">
        <v>4.2251984613333331</v>
      </c>
      <c r="E12" s="461">
        <v>0.02</v>
      </c>
    </row>
    <row r="13" spans="1:6">
      <c r="A13" s="458" t="s">
        <v>553</v>
      </c>
      <c r="B13" s="459">
        <v>6.2566828069364648</v>
      </c>
      <c r="C13" s="460">
        <v>6</v>
      </c>
      <c r="D13" s="459">
        <v>6.2566828069364648</v>
      </c>
      <c r="E13" s="461">
        <v>6</v>
      </c>
    </row>
    <row r="14" spans="1:6">
      <c r="A14" s="458" t="s">
        <v>686</v>
      </c>
      <c r="B14" s="459">
        <v>24</v>
      </c>
      <c r="C14" s="460">
        <v>10</v>
      </c>
      <c r="D14" s="459">
        <v>24</v>
      </c>
      <c r="E14" s="461">
        <v>10</v>
      </c>
    </row>
    <row r="15" spans="1:6">
      <c r="A15" s="458" t="s">
        <v>95</v>
      </c>
      <c r="B15" s="459">
        <v>0.11180104469040002</v>
      </c>
      <c r="C15" s="460">
        <v>3</v>
      </c>
      <c r="D15" s="459">
        <v>0.11180104469040002</v>
      </c>
      <c r="E15" s="461">
        <v>3</v>
      </c>
    </row>
    <row r="16" spans="1:6">
      <c r="A16" s="458" t="s">
        <v>687</v>
      </c>
      <c r="B16" s="459">
        <v>1000</v>
      </c>
      <c r="C16" s="460">
        <v>2000</v>
      </c>
      <c r="D16" s="459">
        <v>1000</v>
      </c>
      <c r="E16" s="461">
        <v>220</v>
      </c>
    </row>
    <row r="17" spans="1:5">
      <c r="A17" s="458" t="s">
        <v>1156</v>
      </c>
      <c r="B17" s="459">
        <v>0.15626576008516002</v>
      </c>
      <c r="C17" s="460">
        <v>2.8</v>
      </c>
      <c r="D17" s="459">
        <v>7.8132880042580035E-3</v>
      </c>
      <c r="E17" s="461">
        <v>0.14000000000000001</v>
      </c>
    </row>
    <row r="18" spans="1:5">
      <c r="A18" s="458" t="s">
        <v>688</v>
      </c>
      <c r="B18" s="459">
        <v>0.29829600000000001</v>
      </c>
      <c r="C18" s="460">
        <v>5</v>
      </c>
      <c r="D18" s="459">
        <v>0.29829600000000001</v>
      </c>
      <c r="E18" s="461">
        <v>5</v>
      </c>
    </row>
    <row r="19" spans="1:5">
      <c r="A19" s="458" t="s">
        <v>689</v>
      </c>
      <c r="B19" s="459">
        <v>9.9781008719534601</v>
      </c>
      <c r="C19" s="460">
        <v>5.1725078228107436E-2</v>
      </c>
      <c r="D19" s="459">
        <v>9.9781008719534601</v>
      </c>
      <c r="E19" s="461">
        <v>2.7E-2</v>
      </c>
    </row>
    <row r="20" spans="1:5">
      <c r="A20" s="458" t="s">
        <v>690</v>
      </c>
      <c r="B20" s="459">
        <v>3.5639370920589939</v>
      </c>
      <c r="C20" s="460">
        <v>0.2</v>
      </c>
      <c r="D20" s="459">
        <v>3.5639370920589939</v>
      </c>
      <c r="E20" s="461">
        <v>0.06</v>
      </c>
    </row>
    <row r="21" spans="1:5">
      <c r="A21" s="458" t="s">
        <v>691</v>
      </c>
      <c r="B21" s="459">
        <v>5.7840402228293977</v>
      </c>
      <c r="C21" s="460">
        <v>5.8130821430763209E-2</v>
      </c>
      <c r="D21" s="459">
        <v>5.7840402228293977</v>
      </c>
      <c r="E21" s="461">
        <v>5.8130821430763209E-2</v>
      </c>
    </row>
    <row r="22" spans="1:5">
      <c r="A22" s="458" t="s">
        <v>692</v>
      </c>
      <c r="B22" s="459">
        <v>34.528000116195038</v>
      </c>
      <c r="C22" s="460">
        <v>0.12999999999999998</v>
      </c>
      <c r="D22" s="459">
        <v>34.528000116195038</v>
      </c>
      <c r="E22" s="461">
        <v>0.12999999999999998</v>
      </c>
    </row>
    <row r="23" spans="1:5">
      <c r="A23" s="458" t="s">
        <v>693</v>
      </c>
      <c r="B23" s="459">
        <v>35.249239258001005</v>
      </c>
      <c r="C23" s="460">
        <v>0.36149950113611862</v>
      </c>
      <c r="D23" s="459">
        <v>35.249239258001005</v>
      </c>
      <c r="E23" s="461">
        <v>0.36149950113611862</v>
      </c>
    </row>
    <row r="24" spans="1:5">
      <c r="A24" s="458" t="s">
        <v>126</v>
      </c>
      <c r="B24" s="459">
        <v>31.114129015408725</v>
      </c>
      <c r="C24" s="460">
        <v>4</v>
      </c>
      <c r="D24" s="459">
        <v>31.114129015408725</v>
      </c>
      <c r="E24" s="461">
        <v>0.66</v>
      </c>
    </row>
    <row r="25" spans="1:5">
      <c r="A25" s="458" t="s">
        <v>233</v>
      </c>
      <c r="B25" s="459">
        <v>10.157103856679932</v>
      </c>
      <c r="C25" s="460">
        <v>0.5</v>
      </c>
      <c r="D25" s="459">
        <v>10.157103856679932</v>
      </c>
      <c r="E25" s="461">
        <v>0.5</v>
      </c>
    </row>
    <row r="26" spans="1:5">
      <c r="A26" s="458" t="s">
        <v>127</v>
      </c>
      <c r="B26" s="459">
        <v>7.4429390845260929E-5</v>
      </c>
      <c r="C26" s="460">
        <v>1.3650810195927489E-2</v>
      </c>
      <c r="D26" s="459">
        <v>7.4429390845260929E-5</v>
      </c>
      <c r="E26" s="461">
        <v>1.3650810195927489E-2</v>
      </c>
    </row>
    <row r="27" spans="1:5">
      <c r="A27" s="463" t="s">
        <v>1103</v>
      </c>
      <c r="B27" s="459">
        <v>3.8666109556463671E-3</v>
      </c>
      <c r="C27" s="460">
        <v>0.35711381953846194</v>
      </c>
      <c r="D27" s="459">
        <v>3.8666109556463671E-3</v>
      </c>
      <c r="E27" s="461">
        <v>0.35711381953846194</v>
      </c>
    </row>
    <row r="28" spans="1:5">
      <c r="A28" s="458" t="s">
        <v>128</v>
      </c>
      <c r="B28" s="459">
        <v>37.34554262742413</v>
      </c>
      <c r="C28" s="460">
        <v>6</v>
      </c>
      <c r="D28" s="459">
        <v>37.34554262742413</v>
      </c>
      <c r="E28" s="461">
        <v>3</v>
      </c>
    </row>
    <row r="29" spans="1:5">
      <c r="A29" s="458" t="s">
        <v>129</v>
      </c>
      <c r="B29" s="459">
        <v>1000</v>
      </c>
      <c r="C29" s="460">
        <v>982.67243959237351</v>
      </c>
      <c r="D29" s="459">
        <v>1000</v>
      </c>
      <c r="E29" s="461">
        <v>982.67243959237351</v>
      </c>
    </row>
    <row r="30" spans="1:5">
      <c r="A30" s="458" t="s">
        <v>130</v>
      </c>
      <c r="B30" s="459">
        <v>2.4623916130112316E-3</v>
      </c>
      <c r="C30" s="460">
        <v>0.13443335759216019</v>
      </c>
      <c r="D30" s="459">
        <v>2.4623916130112316E-3</v>
      </c>
      <c r="E30" s="461">
        <v>0.13443335759216019</v>
      </c>
    </row>
    <row r="31" spans="1:5">
      <c r="A31" s="458" t="s">
        <v>131</v>
      </c>
      <c r="B31" s="459">
        <v>0.69071199999999999</v>
      </c>
      <c r="C31" s="460">
        <v>80</v>
      </c>
      <c r="D31" s="459">
        <v>0.69071199999999999</v>
      </c>
      <c r="E31" s="461">
        <v>80</v>
      </c>
    </row>
    <row r="32" spans="1:5">
      <c r="A32" s="458" t="s">
        <v>132</v>
      </c>
      <c r="B32" s="459">
        <v>0.22290445714285717</v>
      </c>
      <c r="C32" s="460">
        <v>18.72653049057315</v>
      </c>
      <c r="D32" s="459">
        <v>0.22290445714285717</v>
      </c>
      <c r="E32" s="461">
        <v>16</v>
      </c>
    </row>
    <row r="33" spans="1:5">
      <c r="A33" s="458" t="s">
        <v>133</v>
      </c>
      <c r="B33" s="459">
        <v>17</v>
      </c>
      <c r="C33" s="460">
        <v>3</v>
      </c>
      <c r="D33" s="459">
        <v>17</v>
      </c>
      <c r="E33" s="461">
        <v>3</v>
      </c>
    </row>
    <row r="34" spans="1:5">
      <c r="A34" s="458" t="s">
        <v>134</v>
      </c>
      <c r="B34" s="459">
        <v>0.10002123076923075</v>
      </c>
      <c r="C34" s="460">
        <v>5</v>
      </c>
      <c r="D34" s="459">
        <v>0.10002123076923075</v>
      </c>
      <c r="E34" s="461">
        <v>5</v>
      </c>
    </row>
    <row r="35" spans="1:5">
      <c r="A35" s="458" t="s">
        <v>614</v>
      </c>
      <c r="B35" s="459">
        <v>16.627770348612255</v>
      </c>
      <c r="C35" s="460">
        <v>0.09</v>
      </c>
      <c r="D35" s="459">
        <v>16.627770348612255</v>
      </c>
      <c r="E35" s="461">
        <v>4.0000000000000001E-3</v>
      </c>
    </row>
    <row r="36" spans="1:5">
      <c r="A36" s="458" t="s">
        <v>135</v>
      </c>
      <c r="B36" s="459">
        <v>6.839130220938904E-3</v>
      </c>
      <c r="C36" s="460">
        <v>0.36542309808186513</v>
      </c>
      <c r="D36" s="459">
        <v>6.839130220938904E-3</v>
      </c>
      <c r="E36" s="461">
        <v>0.36542309808186513</v>
      </c>
    </row>
    <row r="37" spans="1:5">
      <c r="A37" s="458" t="s">
        <v>136</v>
      </c>
      <c r="B37" s="459">
        <v>2.229044571428572</v>
      </c>
      <c r="C37" s="460">
        <v>50</v>
      </c>
      <c r="D37" s="459">
        <v>1.4517275000000003</v>
      </c>
      <c r="E37" s="461">
        <v>25</v>
      </c>
    </row>
    <row r="38" spans="1:5">
      <c r="A38" s="458" t="s">
        <v>781</v>
      </c>
      <c r="B38" s="459">
        <v>1.1501468800000001</v>
      </c>
      <c r="C38" s="460">
        <v>16</v>
      </c>
      <c r="D38" s="459">
        <v>1.1501468800000001</v>
      </c>
      <c r="E38" s="461">
        <v>16</v>
      </c>
    </row>
    <row r="39" spans="1:5" ht="12.75" customHeight="1">
      <c r="A39" s="464" t="s">
        <v>137</v>
      </c>
      <c r="B39" s="459">
        <v>2.6092494983277589E-2</v>
      </c>
      <c r="C39" s="460">
        <v>70</v>
      </c>
      <c r="D39" s="459">
        <v>2.6092494983277589E-2</v>
      </c>
      <c r="E39" s="461">
        <v>28</v>
      </c>
    </row>
    <row r="40" spans="1:5" ht="12.75" customHeight="1">
      <c r="A40" s="458" t="s">
        <v>782</v>
      </c>
      <c r="B40" s="459">
        <v>4.012280228571429</v>
      </c>
      <c r="C40" s="460">
        <v>1072.6530612244896</v>
      </c>
      <c r="D40" s="459">
        <v>4.012280228571429</v>
      </c>
      <c r="E40" s="461">
        <v>1072.6530612244896</v>
      </c>
    </row>
    <row r="41" spans="1:5" ht="12.75" customHeight="1">
      <c r="A41" s="458" t="s">
        <v>138</v>
      </c>
      <c r="B41" s="459">
        <v>1.1605729859999999E-2</v>
      </c>
      <c r="C41" s="460">
        <v>0.18</v>
      </c>
      <c r="D41" s="459">
        <v>1.1605729859999999E-2</v>
      </c>
      <c r="E41" s="461">
        <v>0.18</v>
      </c>
    </row>
    <row r="42" spans="1:5" ht="12.75" customHeight="1">
      <c r="A42" s="458" t="s">
        <v>612</v>
      </c>
      <c r="B42" s="459">
        <v>1145</v>
      </c>
      <c r="C42" s="460">
        <v>16</v>
      </c>
      <c r="D42" s="459">
        <v>1145</v>
      </c>
      <c r="E42" s="461">
        <v>11</v>
      </c>
    </row>
    <row r="43" spans="1:5" ht="12.75" customHeight="1">
      <c r="A43" s="458" t="s">
        <v>779</v>
      </c>
      <c r="B43" s="459">
        <v>1000</v>
      </c>
      <c r="C43" s="460">
        <v>570</v>
      </c>
      <c r="D43" s="459">
        <v>1000</v>
      </c>
      <c r="E43" s="461">
        <v>20</v>
      </c>
    </row>
    <row r="44" spans="1:5" ht="12.75" customHeight="1">
      <c r="A44" s="458" t="s">
        <v>780</v>
      </c>
      <c r="B44" s="459">
        <v>29.632417484956957</v>
      </c>
      <c r="C44" s="460">
        <v>0.19900033728897804</v>
      </c>
      <c r="D44" s="459">
        <v>29.632417484956957</v>
      </c>
      <c r="E44" s="461">
        <v>0.19900033728897804</v>
      </c>
    </row>
    <row r="45" spans="1:5" ht="12.75" customHeight="1">
      <c r="A45" s="458" t="s">
        <v>139</v>
      </c>
      <c r="B45" s="459">
        <v>7.3218203526607688</v>
      </c>
      <c r="C45" s="460">
        <v>0.24436179506530475</v>
      </c>
      <c r="D45" s="459">
        <v>7.3218203526607688</v>
      </c>
      <c r="E45" s="461">
        <v>0.24436179506530475</v>
      </c>
    </row>
    <row r="46" spans="1:5" ht="12.75" customHeight="1">
      <c r="A46" s="458" t="s">
        <v>140</v>
      </c>
      <c r="B46" s="459">
        <v>80</v>
      </c>
      <c r="C46" s="460">
        <v>2.4124513715922085</v>
      </c>
      <c r="D46" s="459">
        <v>80</v>
      </c>
      <c r="E46" s="461">
        <v>2.4124513715922085</v>
      </c>
    </row>
    <row r="47" spans="1:5" ht="12.75" customHeight="1">
      <c r="A47" s="458" t="s">
        <v>141</v>
      </c>
      <c r="B47" s="459">
        <v>625.71428571428567</v>
      </c>
      <c r="C47" s="460">
        <v>2.9</v>
      </c>
      <c r="D47" s="459">
        <v>625.71428571428567</v>
      </c>
      <c r="E47" s="461">
        <v>2.9</v>
      </c>
    </row>
    <row r="48" spans="1:5" ht="12.75" customHeight="1">
      <c r="A48" s="458" t="s">
        <v>142</v>
      </c>
      <c r="B48" s="459">
        <v>4.7522674398767206</v>
      </c>
      <c r="C48" s="460">
        <v>1</v>
      </c>
      <c r="D48" s="459">
        <v>4.7522674398767206</v>
      </c>
      <c r="E48" s="461">
        <v>1</v>
      </c>
    </row>
    <row r="49" spans="1:5" ht="12.75" customHeight="1">
      <c r="A49" s="462" t="s">
        <v>96</v>
      </c>
      <c r="B49" s="459">
        <v>1.4281548812941221E-2</v>
      </c>
      <c r="C49" s="460">
        <v>0.96590800338662852</v>
      </c>
      <c r="D49" s="459">
        <v>1.4281548812941221E-2</v>
      </c>
      <c r="E49" s="461">
        <v>0.96590800338662852</v>
      </c>
    </row>
    <row r="50" spans="1:5" ht="12.75" customHeight="1">
      <c r="A50" s="458" t="s">
        <v>97</v>
      </c>
      <c r="B50" s="459">
        <v>0.1063107598</v>
      </c>
      <c r="C50" s="460">
        <v>200</v>
      </c>
      <c r="D50" s="459">
        <v>0.1063107598</v>
      </c>
      <c r="E50" s="461">
        <v>200</v>
      </c>
    </row>
    <row r="51" spans="1:5" ht="12.75" customHeight="1">
      <c r="A51" s="458" t="s">
        <v>143</v>
      </c>
      <c r="B51" s="459">
        <v>1.1285807709958025</v>
      </c>
      <c r="C51" s="460">
        <v>4.814241578730157E-3</v>
      </c>
      <c r="D51" s="459">
        <v>1.1285807709958025</v>
      </c>
      <c r="E51" s="461">
        <v>4.814241578730157E-3</v>
      </c>
    </row>
    <row r="52" spans="1:5" ht="12.75" customHeight="1">
      <c r="A52" s="458" t="s">
        <v>381</v>
      </c>
      <c r="B52" s="459">
        <v>8.061539999999999E-4</v>
      </c>
      <c r="C52" s="460">
        <v>0.04</v>
      </c>
      <c r="D52" s="459">
        <v>8.061539999999999E-4</v>
      </c>
      <c r="E52" s="461">
        <v>0.04</v>
      </c>
    </row>
    <row r="53" spans="1:5" ht="12.75" customHeight="1">
      <c r="A53" s="458" t="s">
        <v>144</v>
      </c>
      <c r="B53" s="459">
        <v>8.8187719678234893E-3</v>
      </c>
      <c r="C53" s="460">
        <v>0.87111199475121337</v>
      </c>
      <c r="D53" s="459">
        <v>8.8187719678234893E-3</v>
      </c>
      <c r="E53" s="461">
        <v>0.87111199475121337</v>
      </c>
    </row>
    <row r="54" spans="1:5" ht="12.75" customHeight="1">
      <c r="A54" s="458" t="s">
        <v>487</v>
      </c>
      <c r="B54" s="459">
        <v>4.2432600000000004E-4</v>
      </c>
      <c r="C54" s="460">
        <v>0.04</v>
      </c>
      <c r="D54" s="459">
        <v>4.2432600000000004E-4</v>
      </c>
      <c r="E54" s="461">
        <v>0.04</v>
      </c>
    </row>
    <row r="55" spans="1:5" ht="12.75" customHeight="1">
      <c r="A55" s="458" t="s">
        <v>145</v>
      </c>
      <c r="B55" s="459">
        <v>0.75354699999999997</v>
      </c>
      <c r="C55" s="460">
        <v>10</v>
      </c>
      <c r="D55" s="459">
        <v>0.75354699999999997</v>
      </c>
      <c r="E55" s="461">
        <v>10</v>
      </c>
    </row>
    <row r="56" spans="1:5" ht="12.75" customHeight="1">
      <c r="A56" s="458" t="s">
        <v>225</v>
      </c>
      <c r="B56" s="459">
        <v>0.5710765000000001</v>
      </c>
      <c r="C56" s="460">
        <v>5</v>
      </c>
      <c r="D56" s="459">
        <v>0.5710765000000001</v>
      </c>
      <c r="E56" s="461">
        <v>5</v>
      </c>
    </row>
    <row r="57" spans="1:5" ht="12.75" customHeight="1">
      <c r="A57" s="458" t="s">
        <v>226</v>
      </c>
      <c r="B57" s="459">
        <v>5.4557034965034959E-2</v>
      </c>
      <c r="C57" s="460">
        <v>5</v>
      </c>
      <c r="D57" s="459">
        <v>5.4557034965034959E-2</v>
      </c>
      <c r="E57" s="461">
        <v>5</v>
      </c>
    </row>
    <row r="58" spans="1:5" ht="12.75" customHeight="1">
      <c r="A58" s="458" t="s">
        <v>227</v>
      </c>
      <c r="B58" s="459">
        <v>6.6305000297962491E-2</v>
      </c>
      <c r="C58" s="460">
        <v>0.12521244906182924</v>
      </c>
      <c r="D58" s="459">
        <v>6.6305000297962491E-2</v>
      </c>
      <c r="E58" s="461">
        <v>0.12521244906182924</v>
      </c>
    </row>
    <row r="59" spans="1:5" ht="12.75" customHeight="1">
      <c r="A59" s="458" t="s">
        <v>361</v>
      </c>
      <c r="B59" s="459">
        <v>2.1784553645811879</v>
      </c>
      <c r="C59" s="460">
        <v>2.5860506035294707E-2</v>
      </c>
      <c r="D59" s="459">
        <v>2.1784553645811879</v>
      </c>
      <c r="E59" s="461">
        <v>1.0999999999999999E-2</v>
      </c>
    </row>
    <row r="60" spans="1:5" ht="12.75" customHeight="1">
      <c r="A60" s="458" t="s">
        <v>362</v>
      </c>
      <c r="B60" s="459">
        <v>1.9200322290192162</v>
      </c>
      <c r="C60" s="460">
        <v>8.8953098238132352E-3</v>
      </c>
      <c r="D60" s="459">
        <v>1.9200322290192162</v>
      </c>
      <c r="E60" s="461">
        <v>8.8953098238132352E-3</v>
      </c>
    </row>
    <row r="61" spans="1:5" ht="12.75" customHeight="1">
      <c r="A61" s="458" t="s">
        <v>363</v>
      </c>
      <c r="B61" s="459">
        <v>1.8212193250639632</v>
      </c>
      <c r="C61" s="460">
        <v>6.177825520156369E-3</v>
      </c>
      <c r="D61" s="459">
        <v>1.8212193250639632</v>
      </c>
      <c r="E61" s="461">
        <v>1E-3</v>
      </c>
    </row>
    <row r="62" spans="1:5" ht="12.75" customHeight="1">
      <c r="A62" s="458" t="s">
        <v>234</v>
      </c>
      <c r="B62" s="459">
        <v>0.11013705399820803</v>
      </c>
      <c r="C62" s="460">
        <v>2.7505849956546897</v>
      </c>
      <c r="D62" s="459">
        <v>0.11013705399820803</v>
      </c>
      <c r="E62" s="461">
        <v>2.7505849956546897</v>
      </c>
    </row>
    <row r="63" spans="1:5" ht="12.75" customHeight="1">
      <c r="A63" s="458" t="s">
        <v>235</v>
      </c>
      <c r="B63" s="459">
        <v>2.3081822485207102E-2</v>
      </c>
      <c r="C63" s="460">
        <v>5</v>
      </c>
      <c r="D63" s="459">
        <v>2.3081822485207102E-2</v>
      </c>
      <c r="E63" s="461">
        <v>5</v>
      </c>
    </row>
    <row r="64" spans="1:5" ht="12.75" customHeight="1">
      <c r="A64" s="458" t="s">
        <v>294</v>
      </c>
      <c r="B64" s="459">
        <v>1.1666488400000001</v>
      </c>
      <c r="C64" s="460">
        <v>7</v>
      </c>
      <c r="D64" s="459">
        <v>1.1666488400000001</v>
      </c>
      <c r="E64" s="461">
        <v>7</v>
      </c>
    </row>
    <row r="65" spans="1:5" ht="12.75" customHeight="1">
      <c r="A65" s="458" t="s">
        <v>295</v>
      </c>
      <c r="B65" s="459">
        <v>1.7832356571428574</v>
      </c>
      <c r="C65" s="460">
        <v>70</v>
      </c>
      <c r="D65" s="459">
        <v>1.7832356571428574</v>
      </c>
      <c r="E65" s="461">
        <v>70</v>
      </c>
    </row>
    <row r="66" spans="1:5" ht="12.75" customHeight="1">
      <c r="A66" s="458" t="s">
        <v>228</v>
      </c>
      <c r="B66" s="459">
        <v>1.7832356571428574</v>
      </c>
      <c r="C66" s="460">
        <v>100</v>
      </c>
      <c r="D66" s="459">
        <v>1.7832356571428574</v>
      </c>
      <c r="E66" s="461">
        <v>100</v>
      </c>
    </row>
    <row r="67" spans="1:5" ht="12.75" customHeight="1">
      <c r="A67" s="458" t="s">
        <v>942</v>
      </c>
      <c r="B67" s="459">
        <v>7.3286070299999999E-3</v>
      </c>
      <c r="C67" s="460">
        <v>0.3</v>
      </c>
      <c r="D67" s="459">
        <v>7.3286070299999999E-3</v>
      </c>
      <c r="E67" s="461">
        <v>0.3</v>
      </c>
    </row>
    <row r="68" spans="1:5" ht="12.75" customHeight="1">
      <c r="A68" s="458" t="s">
        <v>98</v>
      </c>
      <c r="B68" s="459">
        <v>0.34431580715000004</v>
      </c>
      <c r="C68" s="460">
        <v>70</v>
      </c>
      <c r="D68" s="459">
        <v>0.34431580715000004</v>
      </c>
      <c r="E68" s="461">
        <v>70</v>
      </c>
    </row>
    <row r="69" spans="1:5" ht="12.75" customHeight="1">
      <c r="A69" s="458" t="s">
        <v>943</v>
      </c>
      <c r="B69" s="459">
        <v>0.13727900000000004</v>
      </c>
      <c r="C69" s="460">
        <v>5</v>
      </c>
      <c r="D69" s="459">
        <v>0.13727900000000004</v>
      </c>
      <c r="E69" s="461">
        <v>5</v>
      </c>
    </row>
    <row r="70" spans="1:5" ht="12.75" customHeight="1">
      <c r="A70" s="458" t="s">
        <v>296</v>
      </c>
      <c r="B70" s="459">
        <v>1.6217721282692027E-2</v>
      </c>
      <c r="C70" s="460">
        <v>0.47246971144685262</v>
      </c>
      <c r="D70" s="459">
        <v>2.0595252000000001E-3</v>
      </c>
      <c r="E70" s="461">
        <v>0.06</v>
      </c>
    </row>
    <row r="71" spans="1:5" ht="12.75" customHeight="1">
      <c r="A71" s="458" t="s">
        <v>944</v>
      </c>
      <c r="B71" s="459">
        <v>2.5285471822285857</v>
      </c>
      <c r="C71" s="460">
        <v>3.4549060656200404E-3</v>
      </c>
      <c r="D71" s="459">
        <v>2.5285471822285857</v>
      </c>
      <c r="E71" s="461">
        <v>1.9E-3</v>
      </c>
    </row>
    <row r="72" spans="1:5" ht="12.75" customHeight="1">
      <c r="A72" s="458" t="s">
        <v>945</v>
      </c>
      <c r="B72" s="459">
        <v>17.068842544600002</v>
      </c>
      <c r="C72" s="460">
        <v>980</v>
      </c>
      <c r="D72" s="459">
        <v>3.6576091167000007</v>
      </c>
      <c r="E72" s="461">
        <v>210</v>
      </c>
    </row>
    <row r="73" spans="1:5" ht="12.75" customHeight="1">
      <c r="A73" s="458" t="s">
        <v>947</v>
      </c>
      <c r="B73" s="459">
        <v>29.010583321578657</v>
      </c>
      <c r="C73" s="460">
        <v>355.32722285616643</v>
      </c>
      <c r="D73" s="459">
        <v>9.7973635980000005</v>
      </c>
      <c r="E73" s="461">
        <v>120</v>
      </c>
    </row>
    <row r="74" spans="1:5" ht="12.75" customHeight="1">
      <c r="A74" s="458" t="s">
        <v>946</v>
      </c>
      <c r="B74" s="459">
        <v>74.37008555200002</v>
      </c>
      <c r="C74" s="460">
        <v>3200</v>
      </c>
      <c r="D74" s="459">
        <v>25.564716908500003</v>
      </c>
      <c r="E74" s="461">
        <v>1100</v>
      </c>
    </row>
    <row r="75" spans="1:5" ht="12.75" customHeight="1">
      <c r="A75" s="462" t="s">
        <v>99</v>
      </c>
      <c r="B75" s="459">
        <v>0.11390288252958661</v>
      </c>
      <c r="C75" s="460">
        <v>1.9515311927751111</v>
      </c>
      <c r="D75" s="459">
        <v>0.11390288252958661</v>
      </c>
      <c r="E75" s="461">
        <v>1.9515311927751111</v>
      </c>
    </row>
    <row r="76" spans="1:5" ht="12.75" customHeight="1">
      <c r="A76" s="458" t="s">
        <v>297</v>
      </c>
      <c r="B76" s="459">
        <v>2.9702775707701026</v>
      </c>
      <c r="C76" s="460">
        <v>38.830541475137551</v>
      </c>
      <c r="D76" s="459">
        <v>1.0938546733686003</v>
      </c>
      <c r="E76" s="461">
        <v>14.3</v>
      </c>
    </row>
    <row r="77" spans="1:5" ht="12.75" customHeight="1">
      <c r="A77" s="462" t="s">
        <v>100</v>
      </c>
      <c r="B77" s="459">
        <v>2.269119700264436E-2</v>
      </c>
      <c r="C77" s="460">
        <v>0.2374799832189621</v>
      </c>
      <c r="D77" s="459">
        <v>2.269119700264436E-2</v>
      </c>
      <c r="E77" s="461">
        <v>0.2374799832189621</v>
      </c>
    </row>
    <row r="78" spans="1:5" ht="12.75" customHeight="1">
      <c r="A78" s="462" t="s">
        <v>101</v>
      </c>
      <c r="B78" s="459">
        <v>4.7334021984730048E-3</v>
      </c>
      <c r="C78" s="460">
        <v>4.8541215187419794E-2</v>
      </c>
      <c r="D78" s="459">
        <v>4.7334021984730048E-3</v>
      </c>
      <c r="E78" s="461">
        <v>4.8541215187419794E-2</v>
      </c>
    </row>
    <row r="79" spans="1:5" ht="12.75" customHeight="1">
      <c r="A79" s="458" t="s">
        <v>382</v>
      </c>
      <c r="B79" s="459">
        <v>2.1180688236784579E-4</v>
      </c>
      <c r="C79" s="460">
        <v>0.45905899511359882</v>
      </c>
      <c r="D79" s="459">
        <v>2.1180688236784579E-4</v>
      </c>
      <c r="E79" s="461">
        <v>0.45905899511359882</v>
      </c>
    </row>
    <row r="80" spans="1:5" ht="12.75" customHeight="1">
      <c r="A80" s="458" t="s">
        <v>594</v>
      </c>
      <c r="B80" s="459">
        <v>2.4000000000000001E-4</v>
      </c>
      <c r="C80" s="460">
        <v>3.0000000000000001E-5</v>
      </c>
      <c r="D80" s="459">
        <v>2.4000000000000001E-4</v>
      </c>
      <c r="E80" s="461">
        <v>3.1E-9</v>
      </c>
    </row>
    <row r="81" spans="1:5" ht="12.75" customHeight="1">
      <c r="A81" s="458" t="s">
        <v>102</v>
      </c>
      <c r="B81" s="459">
        <v>0.65289899371375337</v>
      </c>
      <c r="C81" s="460">
        <v>36.050648892392552</v>
      </c>
      <c r="D81" s="459">
        <v>0.65289899371375337</v>
      </c>
      <c r="E81" s="461">
        <v>36.050648892392552</v>
      </c>
    </row>
    <row r="82" spans="1:5" ht="12.75" customHeight="1">
      <c r="A82" s="458" t="s">
        <v>370</v>
      </c>
      <c r="B82" s="459">
        <v>13.216616117924531</v>
      </c>
      <c r="C82" s="460">
        <v>3.4000000000000002E-2</v>
      </c>
      <c r="D82" s="459">
        <v>13.216616117924531</v>
      </c>
      <c r="E82" s="461">
        <v>8.6999999999999994E-3</v>
      </c>
    </row>
    <row r="83" spans="1:5" ht="12.75" customHeight="1">
      <c r="A83" s="458" t="s">
        <v>337</v>
      </c>
      <c r="B83" s="459">
        <v>3.7928207733428785</v>
      </c>
      <c r="C83" s="460">
        <v>3.6999999999999998E-2</v>
      </c>
      <c r="D83" s="459">
        <v>3.7928207733428785</v>
      </c>
      <c r="E83" s="461">
        <v>2.3E-3</v>
      </c>
    </row>
    <row r="84" spans="1:5" ht="12.75" customHeight="1">
      <c r="A84" s="458" t="s">
        <v>28</v>
      </c>
      <c r="B84" s="459">
        <v>0</v>
      </c>
      <c r="C84" s="460">
        <v>0</v>
      </c>
      <c r="D84" s="459">
        <v>0</v>
      </c>
      <c r="E84" s="461">
        <v>0</v>
      </c>
    </row>
    <row r="85" spans="1:5" ht="12.75" customHeight="1">
      <c r="A85" s="458" t="s">
        <v>338</v>
      </c>
      <c r="B85" s="459">
        <v>3.6926370000000008</v>
      </c>
      <c r="C85" s="460">
        <v>30</v>
      </c>
      <c r="D85" s="459">
        <v>0.89854167000000007</v>
      </c>
      <c r="E85" s="461">
        <v>7.3</v>
      </c>
    </row>
    <row r="86" spans="1:5" ht="12.75" customHeight="1">
      <c r="A86" s="458" t="s">
        <v>339</v>
      </c>
      <c r="B86" s="459">
        <v>119.66181814990003</v>
      </c>
      <c r="C86" s="460">
        <v>13</v>
      </c>
      <c r="D86" s="459">
        <v>86.52801771924527</v>
      </c>
      <c r="E86" s="461">
        <v>0.8</v>
      </c>
    </row>
    <row r="87" spans="1:5" ht="12.75" customHeight="1">
      <c r="A87" s="458" t="s">
        <v>340</v>
      </c>
      <c r="B87" s="459">
        <v>93.052630320000006</v>
      </c>
      <c r="C87" s="460">
        <v>250.08516556490937</v>
      </c>
      <c r="D87" s="459">
        <v>93.052630320000006</v>
      </c>
      <c r="E87" s="461">
        <v>3.9</v>
      </c>
    </row>
    <row r="88" spans="1:5" ht="12.75" customHeight="1">
      <c r="A88" s="458" t="s">
        <v>103</v>
      </c>
      <c r="B88" s="459">
        <v>244.02000000912432</v>
      </c>
      <c r="C88" s="460">
        <v>700</v>
      </c>
      <c r="D88" s="459">
        <v>244.02000000912432</v>
      </c>
      <c r="E88" s="461">
        <v>700</v>
      </c>
    </row>
    <row r="89" spans="1:5" ht="12.75" customHeight="1">
      <c r="A89" s="458" t="s">
        <v>341</v>
      </c>
      <c r="B89" s="459">
        <v>1.3201258135444218</v>
      </c>
      <c r="C89" s="460">
        <v>5.2999999999999999E-2</v>
      </c>
      <c r="D89" s="459">
        <v>1.3201258135444218</v>
      </c>
      <c r="E89" s="461">
        <v>3.5999999999999999E-3</v>
      </c>
    </row>
    <row r="90" spans="1:5" ht="12.75" customHeight="1">
      <c r="A90" s="458" t="s">
        <v>342</v>
      </c>
      <c r="B90" s="459">
        <v>0.20335714285714288</v>
      </c>
      <c r="C90" s="460">
        <v>5.2999999999999999E-2</v>
      </c>
      <c r="D90" s="459">
        <v>0.20335714285714288</v>
      </c>
      <c r="E90" s="461">
        <v>3.5999999999999999E-3</v>
      </c>
    </row>
    <row r="91" spans="1:5" ht="12.75" customHeight="1">
      <c r="A91" s="458" t="s">
        <v>371</v>
      </c>
      <c r="B91" s="459">
        <v>0.15642857142857144</v>
      </c>
      <c r="C91" s="460">
        <v>2.9999999999999997E-4</v>
      </c>
      <c r="D91" s="459">
        <v>0.15642857142857144</v>
      </c>
      <c r="E91" s="461">
        <v>2.9999999999999997E-4</v>
      </c>
    </row>
    <row r="92" spans="1:5" ht="12.75" customHeight="1">
      <c r="A92" s="458" t="s">
        <v>343</v>
      </c>
      <c r="B92" s="459">
        <v>5.7039308714951532E-2</v>
      </c>
      <c r="C92" s="460">
        <v>0.28185208671381157</v>
      </c>
      <c r="D92" s="459">
        <v>5.7039308714951532E-2</v>
      </c>
      <c r="E92" s="461">
        <v>0.28185208671381157</v>
      </c>
    </row>
    <row r="93" spans="1:5" ht="12.75" customHeight="1">
      <c r="A93" s="458" t="s">
        <v>364</v>
      </c>
      <c r="B93" s="459">
        <v>7.4558984912000012E-2</v>
      </c>
      <c r="C93" s="460">
        <v>0.16</v>
      </c>
      <c r="D93" s="459">
        <v>2.9357600309100004E-2</v>
      </c>
      <c r="E93" s="461">
        <v>6.3E-2</v>
      </c>
    </row>
    <row r="94" spans="1:5" ht="12.75" customHeight="1">
      <c r="A94" s="458" t="s">
        <v>344</v>
      </c>
      <c r="B94" s="459">
        <v>5.234465758665742E-2</v>
      </c>
      <c r="C94" s="460">
        <v>0.92032782815026715</v>
      </c>
      <c r="D94" s="459">
        <v>5.234465758665742E-2</v>
      </c>
      <c r="E94" s="461">
        <v>0.92032782815026715</v>
      </c>
    </row>
    <row r="95" spans="1:5" ht="12.75" customHeight="1">
      <c r="A95" s="458" t="s">
        <v>104</v>
      </c>
      <c r="B95" s="459">
        <v>13.830187233223306</v>
      </c>
      <c r="C95" s="460">
        <v>643.85147502055895</v>
      </c>
      <c r="D95" s="459">
        <v>13.830187233223306</v>
      </c>
      <c r="E95" s="461">
        <v>643.85147502055895</v>
      </c>
    </row>
    <row r="96" spans="1:5" ht="12.75" customHeight="1">
      <c r="A96" s="458" t="s">
        <v>345</v>
      </c>
      <c r="B96" s="459">
        <v>5.7271199946873086</v>
      </c>
      <c r="C96" s="460">
        <v>1.7683609753016836E-2</v>
      </c>
      <c r="D96" s="459">
        <v>5.7271199946873086</v>
      </c>
      <c r="E96" s="461">
        <v>1.7683609753016836E-2</v>
      </c>
    </row>
    <row r="97" spans="1:5" ht="12.75" customHeight="1">
      <c r="A97" s="458" t="s">
        <v>105</v>
      </c>
      <c r="B97" s="459">
        <v>0.84557395441387007</v>
      </c>
      <c r="C97" s="460">
        <v>78.070039071294488</v>
      </c>
      <c r="D97" s="459">
        <v>0.84557395441387007</v>
      </c>
      <c r="E97" s="461">
        <v>78.070039071294488</v>
      </c>
    </row>
    <row r="98" spans="1:5" ht="12.75" customHeight="1">
      <c r="A98" s="458" t="s">
        <v>346</v>
      </c>
      <c r="B98" s="459">
        <v>200</v>
      </c>
      <c r="C98" s="460">
        <v>15</v>
      </c>
      <c r="D98" s="459">
        <v>200</v>
      </c>
      <c r="E98" s="461">
        <v>5.6</v>
      </c>
    </row>
    <row r="99" spans="1:5" ht="12.75" customHeight="1">
      <c r="A99" s="458" t="s">
        <v>347</v>
      </c>
      <c r="B99" s="459">
        <v>4.6925983598593568</v>
      </c>
      <c r="C99" s="460">
        <v>2</v>
      </c>
      <c r="D99" s="459">
        <v>4.6925983598593568</v>
      </c>
      <c r="E99" s="461">
        <v>2.5000000000000001E-2</v>
      </c>
    </row>
    <row r="100" spans="1:5" ht="12.75" customHeight="1">
      <c r="A100" s="458" t="s">
        <v>348</v>
      </c>
      <c r="B100" s="459">
        <v>16.144000157125785</v>
      </c>
      <c r="C100" s="460">
        <v>0.7</v>
      </c>
      <c r="D100" s="459">
        <v>16.144000157125785</v>
      </c>
      <c r="E100" s="461">
        <v>0.03</v>
      </c>
    </row>
    <row r="101" spans="1:5" ht="12.75" customHeight="1">
      <c r="A101" s="458" t="s">
        <v>350</v>
      </c>
      <c r="B101" s="459">
        <v>9.2606555999999998</v>
      </c>
      <c r="C101" s="460">
        <v>8400</v>
      </c>
      <c r="D101" s="459">
        <v>9.2606555999999998</v>
      </c>
      <c r="E101" s="461">
        <v>8400</v>
      </c>
    </row>
    <row r="102" spans="1:5" ht="12.75" customHeight="1">
      <c r="A102" s="458" t="s">
        <v>351</v>
      </c>
      <c r="B102" s="459">
        <v>3.8487540000000005</v>
      </c>
      <c r="C102" s="460">
        <v>1300</v>
      </c>
      <c r="D102" s="459">
        <v>0.50329860000000004</v>
      </c>
      <c r="E102" s="461">
        <v>170</v>
      </c>
    </row>
    <row r="103" spans="1:5" ht="12.75" customHeight="1">
      <c r="A103" s="458" t="s">
        <v>352</v>
      </c>
      <c r="B103" s="459">
        <v>1.5642857142857143</v>
      </c>
      <c r="C103" s="460">
        <v>9.9000000000000005E-2</v>
      </c>
      <c r="D103" s="459">
        <v>1.5642857142857143</v>
      </c>
      <c r="E103" s="461">
        <v>2.8E-3</v>
      </c>
    </row>
    <row r="104" spans="1:5" ht="12.75" customHeight="1">
      <c r="A104" s="458" t="s">
        <v>353</v>
      </c>
      <c r="B104" s="459">
        <v>2.7905450000000002E-2</v>
      </c>
      <c r="C104" s="460">
        <v>5</v>
      </c>
      <c r="D104" s="459">
        <v>2.7905450000000002E-2</v>
      </c>
      <c r="E104" s="461">
        <v>5</v>
      </c>
    </row>
    <row r="105" spans="1:5" ht="12.75" customHeight="1">
      <c r="A105" s="458" t="s">
        <v>349</v>
      </c>
      <c r="B105" s="459">
        <v>0.12045140000000001</v>
      </c>
      <c r="C105" s="460">
        <v>5</v>
      </c>
      <c r="D105" s="459">
        <v>0.12045140000000001</v>
      </c>
      <c r="E105" s="461">
        <v>5</v>
      </c>
    </row>
    <row r="106" spans="1:5" ht="12.75" customHeight="1">
      <c r="A106" s="458" t="s">
        <v>590</v>
      </c>
      <c r="B106" s="459">
        <v>4.2281357000000011</v>
      </c>
      <c r="C106" s="460">
        <v>10</v>
      </c>
      <c r="D106" s="459">
        <v>0.88790849700000019</v>
      </c>
      <c r="E106" s="461">
        <v>2.1</v>
      </c>
    </row>
    <row r="107" spans="1:5" ht="12.75" customHeight="1">
      <c r="A107" s="458" t="s">
        <v>591</v>
      </c>
      <c r="B107" s="459">
        <v>4.1457564000000007</v>
      </c>
      <c r="C107" s="460">
        <v>10</v>
      </c>
      <c r="D107" s="459">
        <v>1.9485055080000002</v>
      </c>
      <c r="E107" s="461">
        <v>4.7</v>
      </c>
    </row>
    <row r="108" spans="1:5" ht="12.75" customHeight="1">
      <c r="A108" s="458" t="s">
        <v>465</v>
      </c>
      <c r="B108" s="459">
        <v>78.203503981200072</v>
      </c>
      <c r="C108" s="460">
        <v>99.283946060627287</v>
      </c>
      <c r="D108" s="459">
        <v>78.203503981200072</v>
      </c>
      <c r="E108" s="461">
        <v>99.283946060627287</v>
      </c>
    </row>
    <row r="109" spans="1:5" ht="12.75" customHeight="1">
      <c r="A109" s="458" t="s">
        <v>466</v>
      </c>
      <c r="B109" s="459">
        <v>4.4035963600000008</v>
      </c>
      <c r="C109" s="460">
        <v>17</v>
      </c>
      <c r="D109" s="459">
        <v>3.1084209600000006</v>
      </c>
      <c r="E109" s="461">
        <v>12</v>
      </c>
    </row>
    <row r="110" spans="1:5" ht="12.75" customHeight="1">
      <c r="A110" s="458" t="s">
        <v>812</v>
      </c>
      <c r="B110" s="459">
        <v>410</v>
      </c>
      <c r="C110" s="460">
        <v>5</v>
      </c>
      <c r="D110" s="459">
        <v>410</v>
      </c>
      <c r="E110" s="461">
        <v>5</v>
      </c>
    </row>
    <row r="111" spans="1:5" ht="12.75" customHeight="1">
      <c r="A111" s="462" t="s">
        <v>106</v>
      </c>
      <c r="B111" s="459">
        <v>5.2969035846153843E-3</v>
      </c>
      <c r="C111" s="460">
        <v>0.14038461538461536</v>
      </c>
      <c r="D111" s="459">
        <v>5.2969035846153843E-3</v>
      </c>
      <c r="E111" s="461">
        <v>0.14038461538461536</v>
      </c>
    </row>
    <row r="112" spans="1:5" ht="12.75" customHeight="1">
      <c r="A112" s="462" t="s">
        <v>107</v>
      </c>
      <c r="B112" s="459">
        <v>3.7681671223082684E-2</v>
      </c>
      <c r="C112" s="460">
        <v>1.9602041687573981</v>
      </c>
      <c r="D112" s="459">
        <v>3.7681671223082684E-2</v>
      </c>
      <c r="E112" s="461">
        <v>1.9602041687573981</v>
      </c>
    </row>
    <row r="113" spans="1:5" ht="12.75" customHeight="1">
      <c r="A113" s="462" t="s">
        <v>108</v>
      </c>
      <c r="B113" s="459">
        <v>1.9352072001757988E-2</v>
      </c>
      <c r="C113" s="460">
        <v>0.31415552893667309</v>
      </c>
      <c r="D113" s="459">
        <v>1.9352072001757988E-2</v>
      </c>
      <c r="E113" s="461">
        <v>0.31415552893667309</v>
      </c>
    </row>
    <row r="114" spans="1:5" ht="12.75" customHeight="1">
      <c r="A114" s="462" t="s">
        <v>109</v>
      </c>
      <c r="B114" s="459">
        <v>0.10551143478583302</v>
      </c>
      <c r="C114" s="460">
        <v>1.7483564887195151</v>
      </c>
      <c r="D114" s="459">
        <v>0.10551143478583302</v>
      </c>
      <c r="E114" s="461">
        <v>1.7483564887195151</v>
      </c>
    </row>
    <row r="115" spans="1:5" ht="12.75" customHeight="1">
      <c r="A115" s="462" t="s">
        <v>110</v>
      </c>
      <c r="B115" s="459">
        <v>0.25732313665072937</v>
      </c>
      <c r="C115" s="460">
        <v>4.2655457130423766</v>
      </c>
      <c r="D115" s="459">
        <v>0.25732313665072937</v>
      </c>
      <c r="E115" s="461">
        <v>4.2655457130423766</v>
      </c>
    </row>
    <row r="116" spans="1:5" ht="12.75" customHeight="1">
      <c r="A116" s="458" t="s">
        <v>467</v>
      </c>
      <c r="B116" s="459">
        <v>9.8272155175000014E-2</v>
      </c>
      <c r="C116" s="460">
        <v>1</v>
      </c>
      <c r="D116" s="459">
        <v>9.8272155175000014E-2</v>
      </c>
      <c r="E116" s="461">
        <v>1</v>
      </c>
    </row>
    <row r="117" spans="1:5" ht="12.75" customHeight="1">
      <c r="A117" s="462" t="s">
        <v>111</v>
      </c>
      <c r="B117" s="459">
        <v>1.8641365089917386</v>
      </c>
      <c r="C117" s="460">
        <v>17.332516072630696</v>
      </c>
      <c r="D117" s="459">
        <v>1.8641365089917386</v>
      </c>
      <c r="E117" s="461">
        <v>17.332516072630696</v>
      </c>
    </row>
    <row r="118" spans="1:5" ht="12.75" customHeight="1">
      <c r="A118" s="458" t="s">
        <v>231</v>
      </c>
      <c r="B118" s="459">
        <v>7.0000000000000001E-3</v>
      </c>
      <c r="C118" s="460">
        <v>15</v>
      </c>
      <c r="D118" s="459">
        <v>7.0000000000000001E-3</v>
      </c>
      <c r="E118" s="461">
        <v>15</v>
      </c>
    </row>
    <row r="119" spans="1:5" ht="12.75" customHeight="1">
      <c r="A119" s="458" t="s">
        <v>468</v>
      </c>
      <c r="B119" s="459">
        <v>463.04414452751359</v>
      </c>
      <c r="C119" s="460">
        <v>250.08516556490937</v>
      </c>
      <c r="D119" s="459">
        <v>68.625848705509426</v>
      </c>
      <c r="E119" s="461">
        <v>2.2999999999999998</v>
      </c>
    </row>
    <row r="120" spans="1:5" ht="12.75" customHeight="1">
      <c r="A120" s="458" t="s">
        <v>469</v>
      </c>
      <c r="B120" s="459">
        <v>9.323174492999998</v>
      </c>
      <c r="C120" s="460">
        <v>300</v>
      </c>
      <c r="D120" s="459">
        <v>1.80248040198</v>
      </c>
      <c r="E120" s="461">
        <v>58</v>
      </c>
    </row>
    <row r="121" spans="1:5" ht="12.75" customHeight="1">
      <c r="A121" s="458" t="s">
        <v>365</v>
      </c>
      <c r="B121" s="459">
        <v>1.1741947383207836</v>
      </c>
      <c r="C121" s="460">
        <v>0.5</v>
      </c>
      <c r="D121" s="459">
        <v>1.1741947383207836</v>
      </c>
      <c r="E121" s="461">
        <v>1.4E-2</v>
      </c>
    </row>
    <row r="122" spans="1:5" ht="12.75" customHeight="1">
      <c r="A122" s="458" t="s">
        <v>112</v>
      </c>
      <c r="B122" s="459">
        <v>109.7758044845575</v>
      </c>
      <c r="C122" s="460">
        <v>425</v>
      </c>
      <c r="D122" s="459">
        <v>24.538121002430501</v>
      </c>
      <c r="E122" s="461">
        <v>95</v>
      </c>
    </row>
    <row r="123" spans="1:5" ht="12.75" customHeight="1">
      <c r="A123" s="458" t="s">
        <v>470</v>
      </c>
      <c r="B123" s="459">
        <v>44.028912348000006</v>
      </c>
      <c r="C123" s="460">
        <v>67.5</v>
      </c>
      <c r="D123" s="459">
        <v>44.028912348000006</v>
      </c>
      <c r="E123" s="461">
        <v>4.5999999999999996</v>
      </c>
    </row>
    <row r="124" spans="1:5" ht="12.75" customHeight="1">
      <c r="A124" s="458" t="s">
        <v>471</v>
      </c>
      <c r="B124" s="459">
        <v>78.213207407198283</v>
      </c>
      <c r="C124" s="460">
        <v>20</v>
      </c>
      <c r="D124" s="459">
        <v>78.213207407198283</v>
      </c>
      <c r="E124" s="461">
        <v>5</v>
      </c>
    </row>
    <row r="125" spans="1:5" ht="12.75" customHeight="1">
      <c r="A125" s="458" t="s">
        <v>813</v>
      </c>
      <c r="B125" s="459">
        <v>78.214285714285708</v>
      </c>
      <c r="C125" s="460">
        <v>1</v>
      </c>
      <c r="D125" s="459">
        <v>78.214285714285708</v>
      </c>
      <c r="E125" s="461">
        <v>0.1</v>
      </c>
    </row>
    <row r="126" spans="1:5" ht="12.75" customHeight="1">
      <c r="A126" s="458" t="s">
        <v>113</v>
      </c>
      <c r="B126" s="459">
        <v>9.7276023338320014E-2</v>
      </c>
      <c r="C126" s="460">
        <v>4</v>
      </c>
      <c r="D126" s="459">
        <v>9.7276023338320014E-2</v>
      </c>
      <c r="E126" s="461">
        <v>4</v>
      </c>
    </row>
    <row r="127" spans="1:5" ht="12.75" customHeight="1">
      <c r="A127" s="458" t="s">
        <v>472</v>
      </c>
      <c r="B127" s="459">
        <v>0.91432200000000019</v>
      </c>
      <c r="C127" s="460">
        <v>10</v>
      </c>
      <c r="D127" s="459">
        <v>0.91432200000000019</v>
      </c>
      <c r="E127" s="461">
        <v>10</v>
      </c>
    </row>
    <row r="128" spans="1:5" ht="12.75" customHeight="1">
      <c r="A128" s="458" t="s">
        <v>114</v>
      </c>
      <c r="B128" s="459">
        <v>2.0901222739155294</v>
      </c>
      <c r="C128" s="460">
        <v>251.31929956026045</v>
      </c>
      <c r="D128" s="459">
        <v>2.0901222739155294</v>
      </c>
      <c r="E128" s="461">
        <v>251.31929956026045</v>
      </c>
    </row>
    <row r="129" spans="1:5" ht="12.75" customHeight="1">
      <c r="A129" s="458" t="s">
        <v>19</v>
      </c>
      <c r="B129" s="459">
        <v>2.4113324940447382E-2</v>
      </c>
      <c r="C129" s="460">
        <v>59.526771727540208</v>
      </c>
      <c r="D129" s="459">
        <v>2.4113324940447382E-2</v>
      </c>
      <c r="E129" s="461">
        <v>59.526771727540208</v>
      </c>
    </row>
    <row r="130" spans="1:5" ht="12.75" customHeight="1">
      <c r="A130" s="458" t="s">
        <v>473</v>
      </c>
      <c r="B130" s="459">
        <v>1.7095309911576071E-2</v>
      </c>
      <c r="C130" s="460">
        <v>0.57369738025483408</v>
      </c>
      <c r="D130" s="459">
        <v>1.7095309911576071E-2</v>
      </c>
      <c r="E130" s="461">
        <v>0.57369738025483408</v>
      </c>
    </row>
    <row r="131" spans="1:5" ht="12.75" customHeight="1">
      <c r="A131" s="458" t="s">
        <v>474</v>
      </c>
      <c r="B131" s="459">
        <v>1.3675892937646469E-3</v>
      </c>
      <c r="C131" s="460">
        <v>7.5738899992116304E-2</v>
      </c>
      <c r="D131" s="459">
        <v>1.3675892937646469E-3</v>
      </c>
      <c r="E131" s="461">
        <v>7.5738899992116304E-2</v>
      </c>
    </row>
    <row r="132" spans="1:5" ht="12.75" customHeight="1">
      <c r="A132" s="458" t="s">
        <v>475</v>
      </c>
      <c r="B132" s="459">
        <v>9.8381538461538437E-2</v>
      </c>
      <c r="C132" s="460">
        <v>5</v>
      </c>
      <c r="D132" s="459">
        <v>9.8381538461538437E-2</v>
      </c>
      <c r="E132" s="461">
        <v>5</v>
      </c>
    </row>
    <row r="133" spans="1:5" ht="12.75" customHeight="1">
      <c r="A133" s="458" t="s">
        <v>115</v>
      </c>
      <c r="B133" s="459">
        <v>0.51188083760000003</v>
      </c>
      <c r="C133" s="460">
        <v>11</v>
      </c>
      <c r="D133" s="459">
        <v>5.5841545920000006E-2</v>
      </c>
      <c r="E133" s="461">
        <v>1.2</v>
      </c>
    </row>
    <row r="134" spans="1:5" ht="12.75" customHeight="1">
      <c r="A134" s="462" t="s">
        <v>116</v>
      </c>
      <c r="B134" s="459">
        <v>88.348273387218399</v>
      </c>
      <c r="C134" s="460">
        <v>1001.1634345604283</v>
      </c>
      <c r="D134" s="459">
        <v>19.414033188019804</v>
      </c>
      <c r="E134" s="461">
        <v>220</v>
      </c>
    </row>
    <row r="135" spans="1:5" ht="12.75" customHeight="1">
      <c r="A135" s="458" t="s">
        <v>476</v>
      </c>
      <c r="B135" s="459">
        <v>0.78214285714285714</v>
      </c>
      <c r="C135" s="460">
        <v>2</v>
      </c>
      <c r="D135" s="459">
        <v>0.78214285714285714</v>
      </c>
      <c r="E135" s="461">
        <v>2</v>
      </c>
    </row>
    <row r="136" spans="1:5" ht="12.75" customHeight="1">
      <c r="A136" s="458" t="s">
        <v>366</v>
      </c>
      <c r="B136" s="459">
        <v>3.1917439999999999</v>
      </c>
      <c r="C136" s="460">
        <v>40</v>
      </c>
      <c r="D136" s="459">
        <v>0.78197728000000011</v>
      </c>
      <c r="E136" s="461">
        <v>9.8000000000000007</v>
      </c>
    </row>
    <row r="137" spans="1:5" ht="12.75" customHeight="1">
      <c r="A137" s="458" t="s">
        <v>20</v>
      </c>
      <c r="B137" s="459">
        <v>0.47529913041323968</v>
      </c>
      <c r="C137" s="460">
        <v>0.21</v>
      </c>
      <c r="D137" s="459">
        <v>0.47529913041323968</v>
      </c>
      <c r="E137" s="461">
        <v>2.0000000000000001E-4</v>
      </c>
    </row>
    <row r="138" spans="1:5" ht="12.75" customHeight="1">
      <c r="A138" s="458" t="s">
        <v>57</v>
      </c>
      <c r="B138" s="459">
        <v>100</v>
      </c>
      <c r="C138" s="460">
        <v>73.986001486842099</v>
      </c>
      <c r="D138" s="459">
        <v>100</v>
      </c>
      <c r="E138" s="461">
        <v>73.986001486842099</v>
      </c>
    </row>
    <row r="139" spans="1:5" ht="12.75" customHeight="1">
      <c r="A139" s="458" t="s">
        <v>56</v>
      </c>
      <c r="B139" s="459">
        <v>183.39493451041466</v>
      </c>
      <c r="C139" s="460">
        <v>91.174062952030283</v>
      </c>
      <c r="D139" s="459">
        <v>183.39493451041466</v>
      </c>
      <c r="E139" s="461">
        <v>91.174062952030283</v>
      </c>
    </row>
    <row r="140" spans="1:5" ht="12.75" customHeight="1">
      <c r="A140" s="458" t="s">
        <v>777</v>
      </c>
      <c r="B140" s="459">
        <v>500</v>
      </c>
      <c r="C140" s="460">
        <v>90.983894715319366</v>
      </c>
      <c r="D140" s="459">
        <v>500</v>
      </c>
      <c r="E140" s="461">
        <v>90.983894715319366</v>
      </c>
    </row>
    <row r="141" spans="1:5" ht="12.75" customHeight="1">
      <c r="A141" s="458" t="s">
        <v>814</v>
      </c>
      <c r="B141" s="459">
        <v>0.17652248407169688</v>
      </c>
      <c r="C141" s="460">
        <v>70</v>
      </c>
      <c r="D141" s="459">
        <v>0.17652248407169688</v>
      </c>
      <c r="E141" s="461">
        <v>70</v>
      </c>
    </row>
    <row r="142" spans="1:5" ht="12.75" customHeight="1">
      <c r="A142" s="458" t="s">
        <v>815</v>
      </c>
      <c r="B142" s="459">
        <v>22.560948</v>
      </c>
      <c r="C142" s="460">
        <v>200</v>
      </c>
      <c r="D142" s="459">
        <v>1.2408521400000003</v>
      </c>
      <c r="E142" s="461">
        <v>11</v>
      </c>
    </row>
    <row r="143" spans="1:5" ht="12.75" customHeight="1">
      <c r="A143" s="458" t="s">
        <v>477</v>
      </c>
      <c r="B143" s="459">
        <v>8.9161782857142876E-3</v>
      </c>
      <c r="C143" s="460">
        <v>5</v>
      </c>
      <c r="D143" s="459">
        <v>8.9161782857142876E-3</v>
      </c>
      <c r="E143" s="461">
        <v>5</v>
      </c>
    </row>
    <row r="144" spans="1:5" ht="12.75" customHeight="1">
      <c r="A144" s="458" t="s">
        <v>478</v>
      </c>
      <c r="B144" s="459">
        <v>8.9161782857142866E-2</v>
      </c>
      <c r="C144" s="460">
        <v>5</v>
      </c>
      <c r="D144" s="459">
        <v>8.9161782857142866E-2</v>
      </c>
      <c r="E144" s="461">
        <v>5</v>
      </c>
    </row>
    <row r="145" spans="1:5" ht="12.75" customHeight="1">
      <c r="A145" s="458" t="s">
        <v>479</v>
      </c>
      <c r="B145" s="459">
        <v>4.5069028304000005</v>
      </c>
      <c r="C145" s="460">
        <v>17</v>
      </c>
      <c r="D145" s="459">
        <v>0.50371266928000002</v>
      </c>
      <c r="E145" s="461">
        <v>1.9</v>
      </c>
    </row>
    <row r="146" spans="1:5" ht="12.75" customHeight="1">
      <c r="A146" s="458" t="s">
        <v>480</v>
      </c>
      <c r="B146" s="459">
        <v>0.26012950155235531</v>
      </c>
      <c r="C146" s="460">
        <v>4.111930278580993</v>
      </c>
      <c r="D146" s="459">
        <v>0.26012950155235531</v>
      </c>
      <c r="E146" s="461">
        <v>4.111930278580993</v>
      </c>
    </row>
    <row r="147" spans="1:5" ht="12.75" customHeight="1">
      <c r="A147" s="462" t="s">
        <v>117</v>
      </c>
      <c r="B147" s="459">
        <v>2.8380587009897851</v>
      </c>
      <c r="C147" s="460">
        <v>159.78212321874378</v>
      </c>
      <c r="D147" s="459">
        <v>2.8380587009897851</v>
      </c>
      <c r="E147" s="461">
        <v>159.78212321874378</v>
      </c>
    </row>
    <row r="148" spans="1:5" ht="12.75" customHeight="1">
      <c r="A148" s="458" t="s">
        <v>118</v>
      </c>
      <c r="B148" s="459">
        <v>1.4549928241850001</v>
      </c>
      <c r="C148" s="460">
        <v>50</v>
      </c>
      <c r="D148" s="459">
        <v>0.87299569451100001</v>
      </c>
      <c r="E148" s="461">
        <v>30</v>
      </c>
    </row>
    <row r="149" spans="1:5" ht="12.75" customHeight="1">
      <c r="A149" s="458" t="s">
        <v>119</v>
      </c>
      <c r="B149" s="459">
        <v>5.029527559055118E-3</v>
      </c>
      <c r="C149" s="460">
        <v>0.6</v>
      </c>
      <c r="D149" s="459">
        <v>5.029527559055118E-3</v>
      </c>
      <c r="E149" s="461">
        <v>0.6</v>
      </c>
    </row>
    <row r="150" spans="1:5" ht="12.75" customHeight="1">
      <c r="A150" s="458" t="s">
        <v>120</v>
      </c>
      <c r="B150" s="459">
        <v>0.15845058605710996</v>
      </c>
      <c r="C150" s="460">
        <v>3.3315808860737541</v>
      </c>
      <c r="D150" s="459">
        <v>0.15845058605710996</v>
      </c>
      <c r="E150" s="461">
        <v>3.3315808860737541</v>
      </c>
    </row>
    <row r="151" spans="1:5" ht="12.75" customHeight="1">
      <c r="A151" s="458" t="s">
        <v>602</v>
      </c>
      <c r="B151" s="459">
        <v>17.719343116981133</v>
      </c>
      <c r="C151" s="460">
        <v>2.1542811625289486</v>
      </c>
      <c r="D151" s="459">
        <v>17.719343116981133</v>
      </c>
      <c r="E151" s="461">
        <v>1.1399999999999999</v>
      </c>
    </row>
    <row r="152" spans="1:5" ht="12.75" customHeight="1">
      <c r="A152" s="462" t="s">
        <v>939</v>
      </c>
      <c r="B152" s="459">
        <v>7.5432070893285008</v>
      </c>
      <c r="C152" s="460">
        <v>27</v>
      </c>
      <c r="D152" s="459">
        <v>2.7937804034550004</v>
      </c>
      <c r="E152" s="461">
        <v>10</v>
      </c>
    </row>
    <row r="153" spans="1:5" ht="12.75" customHeight="1">
      <c r="A153" s="462" t="s">
        <v>603</v>
      </c>
      <c r="B153" s="459">
        <v>30.171580463643995</v>
      </c>
      <c r="C153" s="460">
        <v>39.469382156875795</v>
      </c>
      <c r="D153" s="459">
        <v>30.171580463643995</v>
      </c>
      <c r="E153" s="461">
        <v>39.469382156875795</v>
      </c>
    </row>
    <row r="154" spans="1:5" ht="12.75" customHeight="1">
      <c r="A154" s="462" t="s">
        <v>605</v>
      </c>
      <c r="B154" s="459">
        <v>1.1834179394023117</v>
      </c>
      <c r="C154" s="460">
        <v>2.5352139902671289</v>
      </c>
      <c r="D154" s="459">
        <v>1.1834179394023117</v>
      </c>
      <c r="E154" s="461">
        <v>2.5352139902671289</v>
      </c>
    </row>
    <row r="155" spans="1:5" ht="12.75" customHeight="1">
      <c r="A155" s="458" t="s">
        <v>481</v>
      </c>
      <c r="B155" s="459">
        <v>770</v>
      </c>
      <c r="C155" s="460">
        <v>90</v>
      </c>
      <c r="D155" s="459">
        <v>770</v>
      </c>
      <c r="E155" s="461">
        <v>27</v>
      </c>
    </row>
    <row r="156" spans="1:5" ht="12.75" customHeight="1">
      <c r="A156" s="458" t="s">
        <v>482</v>
      </c>
      <c r="B156" s="459">
        <v>3.6336480000000004E-2</v>
      </c>
      <c r="C156" s="460">
        <v>2</v>
      </c>
      <c r="D156" s="459">
        <v>3.6336480000000004E-2</v>
      </c>
      <c r="E156" s="461">
        <v>2</v>
      </c>
    </row>
    <row r="157" spans="1:5" ht="12.75" customHeight="1">
      <c r="A157" s="458" t="s">
        <v>483</v>
      </c>
      <c r="B157" s="459">
        <v>2.0905520000000002</v>
      </c>
      <c r="C157" s="460">
        <v>20</v>
      </c>
      <c r="D157" s="459">
        <v>1.3588587999999999</v>
      </c>
      <c r="E157" s="461">
        <v>13</v>
      </c>
    </row>
    <row r="158" spans="1:5" ht="12.75" customHeight="1">
      <c r="A158" s="458" t="s">
        <v>484</v>
      </c>
      <c r="B158" s="459">
        <v>1000</v>
      </c>
      <c r="C158" s="460">
        <v>22</v>
      </c>
      <c r="D158" s="459">
        <v>1000</v>
      </c>
      <c r="E158" s="461">
        <v>22</v>
      </c>
    </row>
    <row r="159" spans="1:5" ht="25.5" customHeight="1">
      <c r="A159" s="465" t="s">
        <v>615</v>
      </c>
      <c r="B159" s="459" t="s">
        <v>486</v>
      </c>
      <c r="C159" s="460" t="s">
        <v>367</v>
      </c>
      <c r="D159" s="459" t="s">
        <v>486</v>
      </c>
      <c r="E159" s="461" t="s">
        <v>367</v>
      </c>
    </row>
    <row r="160" spans="1:5" ht="12.75" customHeight="1" thickBot="1">
      <c r="A160" s="466" t="s">
        <v>616</v>
      </c>
      <c r="B160" s="467" t="s">
        <v>368</v>
      </c>
      <c r="C160" s="468" t="s">
        <v>367</v>
      </c>
      <c r="D160" s="467" t="s">
        <v>368</v>
      </c>
      <c r="E160" s="469" t="s">
        <v>367</v>
      </c>
    </row>
    <row r="161" spans="1:7" ht="13.15" thickTop="1">
      <c r="A161" s="470"/>
      <c r="B161" s="471"/>
      <c r="C161" s="471"/>
      <c r="D161" s="472"/>
      <c r="E161" s="473"/>
      <c r="F161"/>
    </row>
    <row r="162" spans="1:7" ht="12.75">
      <c r="A162" s="474" t="s">
        <v>488</v>
      </c>
      <c r="B162" s="3"/>
      <c r="C162" s="3"/>
      <c r="E162" s="476"/>
      <c r="F162"/>
    </row>
    <row r="163" spans="1:7" ht="25.5" customHeight="1">
      <c r="A163" s="1386" t="s">
        <v>492</v>
      </c>
      <c r="B163" s="1181"/>
      <c r="C163" s="1181"/>
      <c r="D163" s="1181"/>
      <c r="E163" s="1387"/>
      <c r="F163"/>
    </row>
    <row r="164" spans="1:7" ht="21" customHeight="1">
      <c r="A164" s="1389" t="s">
        <v>1154</v>
      </c>
      <c r="B164" s="1181"/>
      <c r="C164" s="1181"/>
      <c r="D164" s="1181"/>
      <c r="E164" s="1387"/>
      <c r="F164"/>
    </row>
    <row r="165" spans="1:7" ht="12.75" customHeight="1">
      <c r="A165" s="479"/>
      <c r="B165" s="1"/>
      <c r="C165" s="1"/>
      <c r="D165" s="1"/>
      <c r="E165" s="480"/>
      <c r="F165"/>
    </row>
    <row r="166" spans="1:7" ht="12.75">
      <c r="A166" s="479" t="s">
        <v>287</v>
      </c>
      <c r="B166" s="3"/>
      <c r="C166" s="3"/>
      <c r="E166" s="476"/>
      <c r="F166"/>
    </row>
    <row r="167" spans="1:7" ht="12.75">
      <c r="A167" s="479" t="s">
        <v>288</v>
      </c>
      <c r="B167" s="3"/>
      <c r="C167" s="3"/>
      <c r="E167" s="476"/>
      <c r="F167"/>
    </row>
    <row r="168" spans="1:7" ht="12.75">
      <c r="A168" s="4" t="s">
        <v>948</v>
      </c>
      <c r="B168" s="3"/>
      <c r="C168" s="3"/>
      <c r="D168" s="481"/>
      <c r="E168" s="476"/>
      <c r="F168"/>
    </row>
    <row r="169" spans="1:7" ht="48" customHeight="1">
      <c r="A169" s="1388" t="s">
        <v>990</v>
      </c>
      <c r="B169" s="1181"/>
      <c r="C169" s="1181"/>
      <c r="D169" s="1181"/>
      <c r="E169" s="1387"/>
      <c r="F169"/>
    </row>
    <row r="170" spans="1:7" ht="36" customHeight="1">
      <c r="A170" s="1388" t="s">
        <v>991</v>
      </c>
      <c r="B170" s="1181"/>
      <c r="C170" s="1181"/>
      <c r="D170" s="1181"/>
      <c r="E170" s="1387"/>
      <c r="F170"/>
    </row>
    <row r="171" spans="1:7" ht="12.75">
      <c r="A171" s="482" t="s">
        <v>1088</v>
      </c>
      <c r="B171" s="3"/>
      <c r="C171" s="3"/>
      <c r="D171" s="481"/>
      <c r="E171" s="483"/>
      <c r="F171"/>
    </row>
    <row r="172" spans="1:7" ht="12.75">
      <c r="A172" s="482" t="s">
        <v>533</v>
      </c>
      <c r="B172" s="3"/>
      <c r="C172" s="3"/>
      <c r="D172" s="481"/>
      <c r="E172" s="483"/>
      <c r="F172"/>
    </row>
    <row r="173" spans="1:7" ht="12.75">
      <c r="A173" s="482" t="s">
        <v>534</v>
      </c>
      <c r="B173" s="3"/>
      <c r="C173" s="3"/>
      <c r="D173" s="481"/>
      <c r="E173" s="483"/>
      <c r="F173"/>
    </row>
    <row r="174" spans="1:7" ht="24" customHeight="1">
      <c r="A174" s="1388" t="s">
        <v>992</v>
      </c>
      <c r="B174" s="1181"/>
      <c r="C174" s="1181"/>
      <c r="D174" s="1181"/>
      <c r="E174" s="1387"/>
      <c r="F174"/>
      <c r="G174"/>
    </row>
    <row r="175" spans="1:7" ht="48" customHeight="1" thickBot="1">
      <c r="A175" s="1383" t="s">
        <v>846</v>
      </c>
      <c r="B175" s="1384"/>
      <c r="C175" s="1384"/>
      <c r="D175" s="1384"/>
      <c r="E175" s="1385"/>
      <c r="F175"/>
      <c r="G175"/>
    </row>
    <row r="176" spans="1:7" ht="10.5" thickTop="1"/>
  </sheetData>
  <sheetProtection algorithmName="SHA-512" hashValue="Keh/Eooxi+b4WdM43QGy2diRMjo4NhJ3DTrjHzfj/IlGAJaHAvQ9KZOhOqY0QhGUij+qeQclTsvSzlN5cb3KLA==" saltValue="qCj8/Cke/dfCUiQjv0PITA==" spinCount="100000" sheet="1" objects="1" scenarios="1"/>
  <mergeCells count="6">
    <mergeCell ref="A175:E175"/>
    <mergeCell ref="A163:E163"/>
    <mergeCell ref="A169:E169"/>
    <mergeCell ref="A170:E170"/>
    <mergeCell ref="A174:E174"/>
    <mergeCell ref="A164:E164"/>
  </mergeCells>
  <phoneticPr fontId="0" type="noConversion"/>
  <printOptions horizontalCentered="1"/>
  <pageMargins left="0.92" right="0.41" top="0.53" bottom="1" header="0.5" footer="0.5"/>
  <pageSetup scale="89" fitToHeight="4" orientation="portrait" r:id="rId1"/>
  <headerFooter alignWithMargins="0">
    <oddFooter>&amp;LHawai'i DOH
Spring 2024&amp;C&amp;8Page &amp;P of &amp;N&amp;R&amp;A</oddFooter>
  </headerFooter>
  <rowBreaks count="1" manualBreakCount="1">
    <brk id="15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1"/>
  </sheetPr>
  <dimension ref="A1:G177"/>
  <sheetViews>
    <sheetView zoomScaleNormal="100" workbookViewId="0">
      <pane ySplit="1950" topLeftCell="A5" activePane="bottomLeft"/>
      <selection sqref="A1:XFD1048576"/>
      <selection pane="bottomLeft" activeCell="A5" sqref="A5"/>
    </sheetView>
  </sheetViews>
  <sheetFormatPr defaultColWidth="8.73046875" defaultRowHeight="10.15"/>
  <cols>
    <col min="1" max="1" width="40.73046875" style="3" customWidth="1"/>
    <col min="2" max="3" width="15.73046875" style="481" customWidth="1"/>
    <col min="4" max="4" width="15.73046875" style="475" customWidth="1"/>
    <col min="5" max="5" width="15.73046875" style="3" customWidth="1"/>
    <col min="6" max="16384" width="8.73046875" style="3"/>
  </cols>
  <sheetData>
    <row r="1" spans="1:7" ht="30" customHeight="1">
      <c r="A1" s="442" t="s">
        <v>660</v>
      </c>
      <c r="B1" s="443"/>
      <c r="C1" s="443"/>
      <c r="D1" s="444"/>
      <c r="E1" s="444"/>
      <c r="F1"/>
      <c r="G1"/>
    </row>
    <row r="2" spans="1:7" ht="15.75" customHeight="1" thickBot="1">
      <c r="A2" s="442"/>
      <c r="B2" s="3"/>
      <c r="C2" s="3"/>
      <c r="D2" s="444"/>
      <c r="E2" s="444"/>
      <c r="F2"/>
      <c r="G2"/>
    </row>
    <row r="3" spans="1:7" ht="15.75" customHeight="1" thickTop="1" thickBot="1">
      <c r="B3" s="445" t="s">
        <v>656</v>
      </c>
      <c r="C3" s="446"/>
      <c r="D3" s="447" t="s">
        <v>657</v>
      </c>
      <c r="E3" s="484"/>
      <c r="F3"/>
      <c r="G3"/>
    </row>
    <row r="4" spans="1:7" ht="22.9" thickTop="1" thickBot="1">
      <c r="A4" s="449" t="s">
        <v>613</v>
      </c>
      <c r="B4" s="452" t="s">
        <v>658</v>
      </c>
      <c r="C4" s="485" t="s">
        <v>659</v>
      </c>
      <c r="D4" s="486" t="s">
        <v>658</v>
      </c>
      <c r="E4" s="485" t="s">
        <v>659</v>
      </c>
      <c r="F4"/>
      <c r="G4"/>
    </row>
    <row r="5" spans="1:7">
      <c r="A5" s="454" t="s">
        <v>548</v>
      </c>
      <c r="B5" s="455">
        <v>118.02725999999998</v>
      </c>
      <c r="C5" s="456">
        <v>200</v>
      </c>
      <c r="D5" s="455">
        <v>118.02725999999998</v>
      </c>
      <c r="E5" s="457">
        <v>15</v>
      </c>
    </row>
    <row r="6" spans="1:7">
      <c r="A6" s="458" t="s">
        <v>549</v>
      </c>
      <c r="B6" s="459">
        <v>127.20004500000002</v>
      </c>
      <c r="C6" s="460">
        <v>300</v>
      </c>
      <c r="D6" s="459">
        <v>5.5120019500000001</v>
      </c>
      <c r="E6" s="461">
        <v>13</v>
      </c>
    </row>
    <row r="7" spans="1:7">
      <c r="A7" s="458" t="s">
        <v>550</v>
      </c>
      <c r="B7" s="459">
        <v>9.2346749999999993</v>
      </c>
      <c r="C7" s="460">
        <v>15000</v>
      </c>
      <c r="D7" s="459">
        <v>0.9234675</v>
      </c>
      <c r="E7" s="461">
        <v>1500</v>
      </c>
    </row>
    <row r="8" spans="1:7">
      <c r="A8" s="458" t="s">
        <v>551</v>
      </c>
      <c r="B8" s="459">
        <v>3.910714285714286</v>
      </c>
      <c r="C8" s="460">
        <v>1.3</v>
      </c>
      <c r="D8" s="459">
        <v>3.910714285714286</v>
      </c>
      <c r="E8" s="461">
        <v>1.3999999999999999E-4</v>
      </c>
    </row>
    <row r="9" spans="1:7">
      <c r="A9" s="458" t="s">
        <v>161</v>
      </c>
      <c r="B9" s="459">
        <v>113.78462320028632</v>
      </c>
      <c r="C9" s="460">
        <v>1800</v>
      </c>
      <c r="D9" s="459">
        <v>49.756850427759993</v>
      </c>
      <c r="E9" s="461">
        <v>700</v>
      </c>
    </row>
    <row r="10" spans="1:7">
      <c r="A10" s="462" t="s">
        <v>162</v>
      </c>
      <c r="B10" s="459">
        <v>1.5423260756210222</v>
      </c>
      <c r="C10" s="460">
        <v>160</v>
      </c>
      <c r="D10" s="459">
        <v>0.84560400368695798</v>
      </c>
      <c r="E10" s="461">
        <v>18</v>
      </c>
    </row>
    <row r="11" spans="1:7">
      <c r="A11" s="462" t="s">
        <v>94</v>
      </c>
      <c r="B11" s="459">
        <v>1.5315758488811595</v>
      </c>
      <c r="C11" s="460">
        <v>98</v>
      </c>
      <c r="D11" s="459">
        <v>0.51675800225314095</v>
      </c>
      <c r="E11" s="461">
        <v>11</v>
      </c>
    </row>
    <row r="12" spans="1:7">
      <c r="A12" s="458" t="s">
        <v>552</v>
      </c>
      <c r="B12" s="459">
        <v>4.2251984613333331</v>
      </c>
      <c r="C12" s="460">
        <v>0.18</v>
      </c>
      <c r="D12" s="459">
        <v>4.2251984613333331</v>
      </c>
      <c r="E12" s="461">
        <v>0.02</v>
      </c>
    </row>
    <row r="13" spans="1:7">
      <c r="A13" s="458" t="s">
        <v>553</v>
      </c>
      <c r="B13" s="459">
        <v>6.2566828069364648</v>
      </c>
      <c r="C13" s="460">
        <v>180</v>
      </c>
      <c r="D13" s="459">
        <v>6.2566828069364648</v>
      </c>
      <c r="E13" s="461">
        <v>30</v>
      </c>
    </row>
    <row r="14" spans="1:7">
      <c r="A14" s="458" t="s">
        <v>686</v>
      </c>
      <c r="B14" s="459">
        <v>24</v>
      </c>
      <c r="C14" s="460">
        <v>69</v>
      </c>
      <c r="D14" s="459">
        <v>24</v>
      </c>
      <c r="E14" s="461">
        <v>36</v>
      </c>
    </row>
    <row r="15" spans="1:7">
      <c r="A15" s="458" t="s">
        <v>95</v>
      </c>
      <c r="B15" s="459">
        <v>2.2732603019174396</v>
      </c>
      <c r="C15" s="460">
        <v>330</v>
      </c>
      <c r="D15" s="459">
        <v>0.44720417876160007</v>
      </c>
      <c r="E15" s="461">
        <v>12</v>
      </c>
    </row>
    <row r="16" spans="1:7">
      <c r="A16" s="458" t="s">
        <v>687</v>
      </c>
      <c r="B16" s="459">
        <v>1000</v>
      </c>
      <c r="C16" s="460">
        <v>2000</v>
      </c>
      <c r="D16" s="459">
        <v>1000</v>
      </c>
      <c r="E16" s="461">
        <v>220</v>
      </c>
    </row>
    <row r="17" spans="1:5">
      <c r="A17" s="458" t="s">
        <v>1156</v>
      </c>
      <c r="B17" s="459">
        <v>0.15626576008516002</v>
      </c>
      <c r="C17" s="460">
        <v>2.8</v>
      </c>
      <c r="D17" s="459">
        <v>7.8132880042580035E-3</v>
      </c>
      <c r="E17" s="461">
        <v>0.14000000000000001</v>
      </c>
    </row>
    <row r="18" spans="1:5">
      <c r="A18" s="458" t="s">
        <v>688</v>
      </c>
      <c r="B18" s="459">
        <v>0.76939408284023669</v>
      </c>
      <c r="C18" s="460">
        <v>1700</v>
      </c>
      <c r="D18" s="459">
        <v>0.76939408284023669</v>
      </c>
      <c r="E18" s="461">
        <v>71.3</v>
      </c>
    </row>
    <row r="19" spans="1:5">
      <c r="A19" s="458" t="s">
        <v>689</v>
      </c>
      <c r="B19" s="459">
        <v>11.131115733318255</v>
      </c>
      <c r="C19" s="460">
        <v>4.7</v>
      </c>
      <c r="D19" s="459">
        <v>9.9781008719534601</v>
      </c>
      <c r="E19" s="461">
        <v>2.7E-2</v>
      </c>
    </row>
    <row r="20" spans="1:5">
      <c r="A20" s="458" t="s">
        <v>690</v>
      </c>
      <c r="B20" s="459">
        <v>3.5639370920589939</v>
      </c>
      <c r="C20" s="460">
        <v>0.8</v>
      </c>
      <c r="D20" s="459">
        <v>3.5639370920589939</v>
      </c>
      <c r="E20" s="461">
        <v>0.06</v>
      </c>
    </row>
    <row r="21" spans="1:5">
      <c r="A21" s="458" t="s">
        <v>691</v>
      </c>
      <c r="B21" s="459">
        <v>11.285807709958021</v>
      </c>
      <c r="C21" s="460">
        <v>0.75</v>
      </c>
      <c r="D21" s="459">
        <v>11.285807709958021</v>
      </c>
      <c r="E21" s="461">
        <v>0.68</v>
      </c>
    </row>
    <row r="22" spans="1:5">
      <c r="A22" s="458" t="s">
        <v>692</v>
      </c>
      <c r="B22" s="459">
        <v>34.528000116195038</v>
      </c>
      <c r="C22" s="460">
        <v>0.12999999999999998</v>
      </c>
      <c r="D22" s="459">
        <v>34.528000116195038</v>
      </c>
      <c r="E22" s="461">
        <v>0.12999999999999998</v>
      </c>
    </row>
    <row r="23" spans="1:5">
      <c r="A23" s="458" t="s">
        <v>693</v>
      </c>
      <c r="B23" s="459">
        <v>39.003361440024008</v>
      </c>
      <c r="C23" s="460">
        <v>0.4</v>
      </c>
      <c r="D23" s="459">
        <v>39.003361440024008</v>
      </c>
      <c r="E23" s="461">
        <v>0.4</v>
      </c>
    </row>
    <row r="24" spans="1:5">
      <c r="A24" s="458" t="s">
        <v>126</v>
      </c>
      <c r="B24" s="459">
        <v>31.114129015408725</v>
      </c>
      <c r="C24" s="460">
        <v>35</v>
      </c>
      <c r="D24" s="459">
        <v>31.114129015408725</v>
      </c>
      <c r="E24" s="461">
        <v>0.66</v>
      </c>
    </row>
    <row r="25" spans="1:5">
      <c r="A25" s="458" t="s">
        <v>233</v>
      </c>
      <c r="B25" s="459">
        <v>10.157103856679932</v>
      </c>
      <c r="C25" s="460">
        <v>5</v>
      </c>
      <c r="D25" s="459">
        <v>10.157103856679932</v>
      </c>
      <c r="E25" s="461">
        <v>5</v>
      </c>
    </row>
    <row r="26" spans="1:5">
      <c r="A26" s="458" t="s">
        <v>127</v>
      </c>
      <c r="B26" s="459">
        <v>7.8962365734984701E-3</v>
      </c>
      <c r="C26" s="460">
        <v>175.65607394552634</v>
      </c>
      <c r="D26" s="459">
        <v>7.8962365734984701E-3</v>
      </c>
      <c r="E26" s="461">
        <v>175.65607394552634</v>
      </c>
    </row>
    <row r="27" spans="1:5">
      <c r="A27" s="463" t="s">
        <v>1103</v>
      </c>
      <c r="B27" s="459">
        <v>3.8666109556463671E-3</v>
      </c>
      <c r="C27" s="460">
        <v>0.35711381953846194</v>
      </c>
      <c r="D27" s="459">
        <v>3.8666109556463671E-3</v>
      </c>
      <c r="E27" s="461">
        <v>0.35711381953846194</v>
      </c>
    </row>
    <row r="28" spans="1:5">
      <c r="A28" s="458" t="s">
        <v>128</v>
      </c>
      <c r="B28" s="459">
        <v>37.34554262742413</v>
      </c>
      <c r="C28" s="460">
        <v>27</v>
      </c>
      <c r="D28" s="459">
        <v>37.34554262742413</v>
      </c>
      <c r="E28" s="461">
        <v>3</v>
      </c>
    </row>
    <row r="29" spans="1:5">
      <c r="A29" s="458" t="s">
        <v>129</v>
      </c>
      <c r="B29" s="459">
        <v>1000</v>
      </c>
      <c r="C29" s="460">
        <v>34000</v>
      </c>
      <c r="D29" s="459">
        <v>1000</v>
      </c>
      <c r="E29" s="461">
        <v>1000</v>
      </c>
    </row>
    <row r="30" spans="1:5">
      <c r="A30" s="458" t="s">
        <v>130</v>
      </c>
      <c r="B30" s="459">
        <v>1.6219659043659043E-2</v>
      </c>
      <c r="C30" s="460">
        <v>114.99301190674856</v>
      </c>
      <c r="D30" s="459">
        <v>1.6219659043659043E-2</v>
      </c>
      <c r="E30" s="461">
        <v>114.99301190674856</v>
      </c>
    </row>
    <row r="31" spans="1:5">
      <c r="A31" s="458" t="s">
        <v>131</v>
      </c>
      <c r="B31" s="459">
        <v>9.4972900000000013</v>
      </c>
      <c r="C31" s="460">
        <v>1100</v>
      </c>
      <c r="D31" s="459">
        <v>1.985797</v>
      </c>
      <c r="E31" s="461">
        <v>230</v>
      </c>
    </row>
    <row r="32" spans="1:5">
      <c r="A32" s="458" t="s">
        <v>132</v>
      </c>
      <c r="B32" s="459">
        <v>0.22290445714285717</v>
      </c>
      <c r="C32" s="460">
        <v>38</v>
      </c>
      <c r="D32" s="459">
        <v>0.22290445714285717</v>
      </c>
      <c r="E32" s="461">
        <v>16</v>
      </c>
    </row>
    <row r="33" spans="1:5">
      <c r="A33" s="458" t="s">
        <v>133</v>
      </c>
      <c r="B33" s="459">
        <v>17</v>
      </c>
      <c r="C33" s="460">
        <v>3</v>
      </c>
      <c r="D33" s="459">
        <v>17</v>
      </c>
      <c r="E33" s="461">
        <v>3</v>
      </c>
    </row>
    <row r="34" spans="1:5">
      <c r="A34" s="458" t="s">
        <v>134</v>
      </c>
      <c r="B34" s="459">
        <v>0.10002123076923075</v>
      </c>
      <c r="C34" s="460">
        <v>109.78360683200988</v>
      </c>
      <c r="D34" s="459">
        <v>0.10002123076923075</v>
      </c>
      <c r="E34" s="461">
        <v>9.8000000000000007</v>
      </c>
    </row>
    <row r="35" spans="1:5">
      <c r="A35" s="458" t="s">
        <v>614</v>
      </c>
      <c r="B35" s="459">
        <v>16.627770348612255</v>
      </c>
      <c r="C35" s="460">
        <v>0.09</v>
      </c>
      <c r="D35" s="459">
        <v>16.627770348612255</v>
      </c>
      <c r="E35" s="461">
        <v>4.0000000000000001E-3</v>
      </c>
    </row>
    <row r="36" spans="1:5">
      <c r="A36" s="458" t="s">
        <v>135</v>
      </c>
      <c r="B36" s="459">
        <v>2.6142493472050554</v>
      </c>
      <c r="C36" s="460">
        <v>459</v>
      </c>
      <c r="D36" s="459">
        <v>0.35559731960000007</v>
      </c>
      <c r="E36" s="461">
        <v>19</v>
      </c>
    </row>
    <row r="37" spans="1:5">
      <c r="A37" s="458" t="s">
        <v>136</v>
      </c>
      <c r="B37" s="459">
        <v>2.229044571428572</v>
      </c>
      <c r="C37" s="460">
        <v>220</v>
      </c>
      <c r="D37" s="459">
        <v>1.4517275000000003</v>
      </c>
      <c r="E37" s="461">
        <v>25</v>
      </c>
    </row>
    <row r="38" spans="1:5">
      <c r="A38" s="458" t="s">
        <v>781</v>
      </c>
      <c r="B38" s="459">
        <v>11.501468800000001</v>
      </c>
      <c r="C38" s="460">
        <v>160</v>
      </c>
      <c r="D38" s="459">
        <v>11.501468800000001</v>
      </c>
      <c r="E38" s="461">
        <v>160</v>
      </c>
    </row>
    <row r="39" spans="1:5" ht="12.75" customHeight="1">
      <c r="A39" s="464" t="s">
        <v>137</v>
      </c>
      <c r="B39" s="459">
        <v>2.6092494983277589E-2</v>
      </c>
      <c r="C39" s="460">
        <v>108.3094022043858</v>
      </c>
      <c r="D39" s="459">
        <v>2.6092494983277589E-2</v>
      </c>
      <c r="E39" s="461">
        <v>28</v>
      </c>
    </row>
    <row r="40" spans="1:5" ht="12.75" customHeight="1">
      <c r="A40" s="458" t="s">
        <v>782</v>
      </c>
      <c r="B40" s="459">
        <v>4.012280228571429</v>
      </c>
      <c r="C40" s="460">
        <v>1072.6530612244896</v>
      </c>
      <c r="D40" s="459">
        <v>4.012280228571429</v>
      </c>
      <c r="E40" s="461">
        <v>1072.6530612244896</v>
      </c>
    </row>
    <row r="41" spans="1:5" ht="12.75" customHeight="1">
      <c r="A41" s="458" t="s">
        <v>138</v>
      </c>
      <c r="B41" s="459">
        <v>0.1160572986</v>
      </c>
      <c r="C41" s="460">
        <v>1.8</v>
      </c>
      <c r="D41" s="459">
        <v>0.1160572986</v>
      </c>
      <c r="E41" s="461">
        <v>1.8</v>
      </c>
    </row>
    <row r="42" spans="1:5" ht="12.75" customHeight="1">
      <c r="A42" s="458" t="s">
        <v>612</v>
      </c>
      <c r="B42" s="459">
        <v>1145</v>
      </c>
      <c r="C42" s="460">
        <v>16</v>
      </c>
      <c r="D42" s="459">
        <v>1145</v>
      </c>
      <c r="E42" s="461">
        <v>11</v>
      </c>
    </row>
    <row r="43" spans="1:5" ht="12.75" customHeight="1">
      <c r="A43" s="458" t="s">
        <v>779</v>
      </c>
      <c r="B43" s="459">
        <v>1000</v>
      </c>
      <c r="C43" s="460">
        <v>570</v>
      </c>
      <c r="D43" s="459">
        <v>1000</v>
      </c>
      <c r="E43" s="461">
        <v>20</v>
      </c>
    </row>
    <row r="44" spans="1:5" ht="12.75" customHeight="1">
      <c r="A44" s="458" t="s">
        <v>780</v>
      </c>
      <c r="B44" s="459">
        <v>29.632417484956957</v>
      </c>
      <c r="C44" s="460">
        <v>16</v>
      </c>
      <c r="D44" s="459">
        <v>29.632417484956957</v>
      </c>
      <c r="E44" s="461">
        <v>11</v>
      </c>
    </row>
    <row r="45" spans="1:5" ht="12.75" customHeight="1">
      <c r="A45" s="458" t="s">
        <v>139</v>
      </c>
      <c r="B45" s="459">
        <v>29.963032276400003</v>
      </c>
      <c r="C45" s="460">
        <v>1</v>
      </c>
      <c r="D45" s="459">
        <v>29.963032276400003</v>
      </c>
      <c r="E45" s="461">
        <v>1</v>
      </c>
    </row>
    <row r="46" spans="1:5" ht="12.75" customHeight="1">
      <c r="A46" s="458" t="s">
        <v>140</v>
      </c>
      <c r="B46" s="459">
        <v>80</v>
      </c>
      <c r="C46" s="460">
        <v>120</v>
      </c>
      <c r="D46" s="459">
        <v>80</v>
      </c>
      <c r="E46" s="461">
        <v>19</v>
      </c>
    </row>
    <row r="47" spans="1:5" ht="12.75" customHeight="1">
      <c r="A47" s="458" t="s">
        <v>141</v>
      </c>
      <c r="B47" s="459">
        <v>625.71428571428567</v>
      </c>
      <c r="C47" s="460">
        <v>2.9</v>
      </c>
      <c r="D47" s="459">
        <v>625.71428571428567</v>
      </c>
      <c r="E47" s="461">
        <v>2.9</v>
      </c>
    </row>
    <row r="48" spans="1:5" ht="12.75" customHeight="1">
      <c r="A48" s="458" t="s">
        <v>142</v>
      </c>
      <c r="B48" s="459">
        <v>4.7522674398767206</v>
      </c>
      <c r="C48" s="460">
        <v>1</v>
      </c>
      <c r="D48" s="459">
        <v>4.7522674398767206</v>
      </c>
      <c r="E48" s="461">
        <v>1</v>
      </c>
    </row>
    <row r="49" spans="1:5" ht="12.75" customHeight="1">
      <c r="A49" s="462" t="s">
        <v>96</v>
      </c>
      <c r="B49" s="459">
        <v>7.6885224645527996</v>
      </c>
      <c r="C49" s="460">
        <v>520</v>
      </c>
      <c r="D49" s="459">
        <v>1.1680639898070599</v>
      </c>
      <c r="E49" s="461">
        <v>79</v>
      </c>
    </row>
    <row r="50" spans="1:5" ht="12.75" customHeight="1">
      <c r="A50" s="458" t="s">
        <v>97</v>
      </c>
      <c r="B50" s="459">
        <v>1.5946613970000001</v>
      </c>
      <c r="C50" s="460">
        <v>3000</v>
      </c>
      <c r="D50" s="459">
        <v>0.15946613969999998</v>
      </c>
      <c r="E50" s="461">
        <v>300</v>
      </c>
    </row>
    <row r="51" spans="1:5" ht="12.75" customHeight="1">
      <c r="A51" s="458" t="s">
        <v>143</v>
      </c>
      <c r="B51" s="459">
        <v>1.1285807709958025</v>
      </c>
      <c r="C51" s="460">
        <v>1.25</v>
      </c>
      <c r="D51" s="459">
        <v>1.1285807709958025</v>
      </c>
      <c r="E51" s="461">
        <v>0.8</v>
      </c>
    </row>
    <row r="52" spans="1:5" ht="12.75" customHeight="1">
      <c r="A52" s="458" t="s">
        <v>381</v>
      </c>
      <c r="B52" s="459">
        <v>8.061539999999999E-4</v>
      </c>
      <c r="C52" s="460">
        <v>0.04</v>
      </c>
      <c r="D52" s="459">
        <v>8.061539999999999E-4</v>
      </c>
      <c r="E52" s="461">
        <v>0.04</v>
      </c>
    </row>
    <row r="53" spans="1:5" ht="12.75" customHeight="1">
      <c r="A53" s="458" t="s">
        <v>144</v>
      </c>
      <c r="B53" s="459">
        <v>3.1206624000000001</v>
      </c>
      <c r="C53" s="460">
        <v>2900</v>
      </c>
      <c r="D53" s="459">
        <v>0.34420172000000004</v>
      </c>
      <c r="E53" s="461">
        <v>34</v>
      </c>
    </row>
    <row r="54" spans="1:5" ht="12.75" customHeight="1">
      <c r="A54" s="458" t="s">
        <v>487</v>
      </c>
      <c r="B54" s="459">
        <v>1.0002123076923077E-3</v>
      </c>
      <c r="C54" s="460">
        <v>18.617708877383702</v>
      </c>
      <c r="D54" s="459">
        <v>1.0002123076923077E-3</v>
      </c>
      <c r="E54" s="461">
        <v>18.617708877383702</v>
      </c>
    </row>
    <row r="55" spans="1:5" ht="12.75" customHeight="1">
      <c r="A55" s="458" t="s">
        <v>145</v>
      </c>
      <c r="B55" s="459">
        <v>7.5354699999999992</v>
      </c>
      <c r="C55" s="460">
        <v>100</v>
      </c>
      <c r="D55" s="459">
        <v>1.0549658</v>
      </c>
      <c r="E55" s="461">
        <v>14</v>
      </c>
    </row>
    <row r="56" spans="1:5" ht="12.75" customHeight="1">
      <c r="A56" s="458" t="s">
        <v>225</v>
      </c>
      <c r="B56" s="459">
        <v>42.259661000000008</v>
      </c>
      <c r="C56" s="460">
        <v>370</v>
      </c>
      <c r="D56" s="459">
        <v>2.5127366000000002</v>
      </c>
      <c r="E56" s="461">
        <v>22</v>
      </c>
    </row>
    <row r="57" spans="1:5" ht="12.75" customHeight="1">
      <c r="A57" s="458" t="s">
        <v>226</v>
      </c>
      <c r="B57" s="459">
        <v>5.4557034965034959E-2</v>
      </c>
      <c r="C57" s="460">
        <v>110</v>
      </c>
      <c r="D57" s="459">
        <v>5.4557034965034959E-2</v>
      </c>
      <c r="E57" s="461">
        <v>9.4</v>
      </c>
    </row>
    <row r="58" spans="1:5" ht="12.75" customHeight="1">
      <c r="A58" s="458" t="s">
        <v>227</v>
      </c>
      <c r="B58" s="459">
        <v>1.1617684070381793</v>
      </c>
      <c r="C58" s="460">
        <v>41</v>
      </c>
      <c r="D58" s="459">
        <v>1.1617684070381793</v>
      </c>
      <c r="E58" s="461">
        <v>4.5</v>
      </c>
    </row>
    <row r="59" spans="1:5" ht="12.75" customHeight="1">
      <c r="A59" s="458" t="s">
        <v>361</v>
      </c>
      <c r="B59" s="459">
        <v>2.1784553645811879</v>
      </c>
      <c r="C59" s="460">
        <v>0.19</v>
      </c>
      <c r="D59" s="459">
        <v>2.1784553645811879</v>
      </c>
      <c r="E59" s="461">
        <v>1.0999999999999999E-2</v>
      </c>
    </row>
    <row r="60" spans="1:5" ht="12.75" customHeight="1">
      <c r="A60" s="458" t="s">
        <v>362</v>
      </c>
      <c r="B60" s="459">
        <v>1.9200322290192162</v>
      </c>
      <c r="C60" s="460">
        <v>7</v>
      </c>
      <c r="D60" s="459">
        <v>1.9200322290192162</v>
      </c>
      <c r="E60" s="461">
        <v>0.41</v>
      </c>
    </row>
    <row r="61" spans="1:5" ht="12.75" customHeight="1">
      <c r="A61" s="458" t="s">
        <v>363</v>
      </c>
      <c r="B61" s="459">
        <v>1.8212193250639632</v>
      </c>
      <c r="C61" s="460">
        <v>1.2999999999999999E-2</v>
      </c>
      <c r="D61" s="459">
        <v>1.8212193250639632</v>
      </c>
      <c r="E61" s="461">
        <v>1E-3</v>
      </c>
    </row>
    <row r="62" spans="1:5" ht="12.75" customHeight="1">
      <c r="A62" s="458" t="s">
        <v>234</v>
      </c>
      <c r="B62" s="459">
        <v>0.37507961538461537</v>
      </c>
      <c r="C62" s="460">
        <v>830</v>
      </c>
      <c r="D62" s="459">
        <v>0.37507961538461537</v>
      </c>
      <c r="E62" s="461">
        <v>47</v>
      </c>
    </row>
    <row r="63" spans="1:5" ht="12.75" customHeight="1">
      <c r="A63" s="458" t="s">
        <v>235</v>
      </c>
      <c r="B63" s="459">
        <v>2.3081822485207102E-2</v>
      </c>
      <c r="C63" s="460">
        <v>182.45621075944572</v>
      </c>
      <c r="D63" s="459">
        <v>2.3081822485207102E-2</v>
      </c>
      <c r="E63" s="461">
        <v>182.45621075944572</v>
      </c>
    </row>
    <row r="64" spans="1:5" ht="12.75" customHeight="1">
      <c r="A64" s="458" t="s">
        <v>294</v>
      </c>
      <c r="B64" s="459">
        <v>8.9161782857142882</v>
      </c>
      <c r="C64" s="460">
        <v>3900</v>
      </c>
      <c r="D64" s="459">
        <v>4.1666030000000003</v>
      </c>
      <c r="E64" s="461">
        <v>25</v>
      </c>
    </row>
    <row r="65" spans="1:5" ht="12.75" customHeight="1">
      <c r="A65" s="458" t="s">
        <v>295</v>
      </c>
      <c r="B65" s="459">
        <v>1.7832356571428574</v>
      </c>
      <c r="C65" s="460">
        <v>5500</v>
      </c>
      <c r="D65" s="459">
        <v>1.7832356571428574</v>
      </c>
      <c r="E65" s="461">
        <v>620</v>
      </c>
    </row>
    <row r="66" spans="1:5" ht="12.75" customHeight="1">
      <c r="A66" s="458" t="s">
        <v>228</v>
      </c>
      <c r="B66" s="459">
        <v>1.7832356571428574</v>
      </c>
      <c r="C66" s="460">
        <v>2600</v>
      </c>
      <c r="D66" s="459">
        <v>1.7832356571428574</v>
      </c>
      <c r="E66" s="461">
        <v>558</v>
      </c>
    </row>
    <row r="67" spans="1:5" ht="12.75" customHeight="1">
      <c r="A67" s="458" t="s">
        <v>942</v>
      </c>
      <c r="B67" s="459">
        <v>7.3286070300000006E-2</v>
      </c>
      <c r="C67" s="460">
        <v>3</v>
      </c>
      <c r="D67" s="459">
        <v>7.3286070300000006E-2</v>
      </c>
      <c r="E67" s="461">
        <v>3</v>
      </c>
    </row>
    <row r="68" spans="1:5" ht="12.75" customHeight="1">
      <c r="A68" s="458" t="s">
        <v>98</v>
      </c>
      <c r="B68" s="459">
        <v>0.63944364185000002</v>
      </c>
      <c r="C68" s="460">
        <v>130</v>
      </c>
      <c r="D68" s="459">
        <v>0.34431580715000004</v>
      </c>
      <c r="E68" s="461">
        <v>70</v>
      </c>
    </row>
    <row r="69" spans="1:5" ht="12.75" customHeight="1">
      <c r="A69" s="458" t="s">
        <v>943</v>
      </c>
      <c r="B69" s="459">
        <v>0.1621965904365904</v>
      </c>
      <c r="C69" s="460">
        <v>100</v>
      </c>
      <c r="D69" s="459">
        <v>0.1621965904365904</v>
      </c>
      <c r="E69" s="461">
        <v>100</v>
      </c>
    </row>
    <row r="70" spans="1:5" ht="12.75" customHeight="1">
      <c r="A70" s="458" t="s">
        <v>296</v>
      </c>
      <c r="B70" s="459">
        <v>0.15003184615384613</v>
      </c>
      <c r="C70" s="460">
        <v>260</v>
      </c>
      <c r="D70" s="459">
        <v>2.0595252000000001E-3</v>
      </c>
      <c r="E70" s="461">
        <v>0.06</v>
      </c>
    </row>
    <row r="71" spans="1:5" ht="12.75" customHeight="1">
      <c r="A71" s="458" t="s">
        <v>944</v>
      </c>
      <c r="B71" s="459">
        <v>2.5285471822285857</v>
      </c>
      <c r="C71" s="460">
        <v>0.71</v>
      </c>
      <c r="D71" s="459">
        <v>2.5285471822285857</v>
      </c>
      <c r="E71" s="461">
        <v>1.9E-3</v>
      </c>
    </row>
    <row r="72" spans="1:5" ht="12.75" customHeight="1">
      <c r="A72" s="458" t="s">
        <v>945</v>
      </c>
      <c r="B72" s="459">
        <v>17.068842544600002</v>
      </c>
      <c r="C72" s="460">
        <v>980</v>
      </c>
      <c r="D72" s="459">
        <v>3.6576091167000007</v>
      </c>
      <c r="E72" s="461">
        <v>210</v>
      </c>
    </row>
    <row r="73" spans="1:5" ht="12.75" customHeight="1">
      <c r="A73" s="458" t="s">
        <v>947</v>
      </c>
      <c r="B73" s="459">
        <v>57.151287655000004</v>
      </c>
      <c r="C73" s="460">
        <v>700</v>
      </c>
      <c r="D73" s="459">
        <v>9.7973635980000005</v>
      </c>
      <c r="E73" s="461">
        <v>120</v>
      </c>
    </row>
    <row r="74" spans="1:5" ht="12.75" customHeight="1">
      <c r="A74" s="458" t="s">
        <v>946</v>
      </c>
      <c r="B74" s="459">
        <v>74.37008555200002</v>
      </c>
      <c r="C74" s="460">
        <v>3200</v>
      </c>
      <c r="D74" s="459">
        <v>25.564716908500003</v>
      </c>
      <c r="E74" s="461">
        <v>1100</v>
      </c>
    </row>
    <row r="75" spans="1:5" ht="12.75" customHeight="1">
      <c r="A75" s="462" t="s">
        <v>99</v>
      </c>
      <c r="B75" s="459">
        <v>1.2642735911142928</v>
      </c>
      <c r="C75" s="460">
        <v>100</v>
      </c>
      <c r="D75" s="459">
        <v>0.58365904143000014</v>
      </c>
      <c r="E75" s="461">
        <v>10</v>
      </c>
    </row>
    <row r="76" spans="1:5" ht="12.75" customHeight="1">
      <c r="A76" s="458" t="s">
        <v>297</v>
      </c>
      <c r="B76" s="459">
        <v>25.285471822285853</v>
      </c>
      <c r="C76" s="460">
        <v>379</v>
      </c>
      <c r="D76" s="459">
        <v>1.0938546733686003</v>
      </c>
      <c r="E76" s="461">
        <v>14.3</v>
      </c>
    </row>
    <row r="77" spans="1:5" ht="12.75" customHeight="1">
      <c r="A77" s="462" t="s">
        <v>100</v>
      </c>
      <c r="B77" s="459">
        <v>1.6790787415094435</v>
      </c>
      <c r="C77" s="460">
        <v>110</v>
      </c>
      <c r="D77" s="459">
        <v>0.86950441011980018</v>
      </c>
      <c r="E77" s="461">
        <v>9.1</v>
      </c>
    </row>
    <row r="78" spans="1:5" ht="12.75" customHeight="1">
      <c r="A78" s="462" t="s">
        <v>101</v>
      </c>
      <c r="B78" s="459">
        <v>0.34934343533368617</v>
      </c>
      <c r="C78" s="460">
        <v>110</v>
      </c>
      <c r="D78" s="459">
        <v>0.34934343533368617</v>
      </c>
      <c r="E78" s="461">
        <v>81</v>
      </c>
    </row>
    <row r="79" spans="1:5" ht="12.75" customHeight="1">
      <c r="A79" s="458" t="s">
        <v>382</v>
      </c>
      <c r="B79" s="459">
        <v>5.2502538570849584</v>
      </c>
      <c r="C79" s="460">
        <v>50000</v>
      </c>
      <c r="D79" s="459">
        <v>5.2502538570849584</v>
      </c>
      <c r="E79" s="461">
        <v>50000</v>
      </c>
    </row>
    <row r="80" spans="1:5" ht="12.75" customHeight="1">
      <c r="A80" s="458" t="s">
        <v>594</v>
      </c>
      <c r="B80" s="459">
        <v>2.4000000000000001E-4</v>
      </c>
      <c r="C80" s="460">
        <v>3.0000000000000001E-3</v>
      </c>
      <c r="D80" s="459">
        <v>2.4000000000000001E-4</v>
      </c>
      <c r="E80" s="461">
        <v>3.1E-9</v>
      </c>
    </row>
    <row r="81" spans="1:5" ht="12.75" customHeight="1">
      <c r="A81" s="458" t="s">
        <v>102</v>
      </c>
      <c r="B81" s="459">
        <v>3.6221206207000001</v>
      </c>
      <c r="C81" s="460">
        <v>200</v>
      </c>
      <c r="D81" s="459">
        <v>1.08663618621</v>
      </c>
      <c r="E81" s="461">
        <v>60</v>
      </c>
    </row>
    <row r="82" spans="1:5" ht="12.75" customHeight="1">
      <c r="A82" s="458" t="s">
        <v>370</v>
      </c>
      <c r="B82" s="459">
        <v>13.216616117924531</v>
      </c>
      <c r="C82" s="460">
        <v>3.4000000000000002E-2</v>
      </c>
      <c r="D82" s="459">
        <v>13.216616117924531</v>
      </c>
      <c r="E82" s="461">
        <v>8.6999999999999994E-3</v>
      </c>
    </row>
    <row r="83" spans="1:5" ht="12.75" customHeight="1">
      <c r="A83" s="458" t="s">
        <v>337</v>
      </c>
      <c r="B83" s="459">
        <v>3.7928207733428785</v>
      </c>
      <c r="C83" s="460">
        <v>3.6999999999999998E-2</v>
      </c>
      <c r="D83" s="459">
        <v>3.7928207733428785</v>
      </c>
      <c r="E83" s="461">
        <v>2.3E-3</v>
      </c>
    </row>
    <row r="84" spans="1:5" ht="12.75" customHeight="1">
      <c r="A84" s="458" t="s">
        <v>28</v>
      </c>
      <c r="B84" s="459">
        <v>0</v>
      </c>
      <c r="C84" s="460">
        <v>0</v>
      </c>
      <c r="D84" s="459">
        <v>0</v>
      </c>
      <c r="E84" s="461">
        <v>0</v>
      </c>
    </row>
    <row r="85" spans="1:5" ht="12.75" customHeight="1">
      <c r="A85" s="458" t="s">
        <v>338</v>
      </c>
      <c r="B85" s="459">
        <v>17.232306000000005</v>
      </c>
      <c r="C85" s="460">
        <v>140</v>
      </c>
      <c r="D85" s="459">
        <v>0.89854167000000007</v>
      </c>
      <c r="E85" s="461">
        <v>7.3</v>
      </c>
    </row>
    <row r="86" spans="1:5" ht="12.75" customHeight="1">
      <c r="A86" s="458" t="s">
        <v>339</v>
      </c>
      <c r="B86" s="459">
        <v>119.66181814990003</v>
      </c>
      <c r="C86" s="460">
        <v>13</v>
      </c>
      <c r="D86" s="459">
        <v>86.52801771924527</v>
      </c>
      <c r="E86" s="461">
        <v>0.8</v>
      </c>
    </row>
    <row r="87" spans="1:5" ht="12.75" customHeight="1">
      <c r="A87" s="458" t="s">
        <v>340</v>
      </c>
      <c r="B87" s="459">
        <v>93.052630320000006</v>
      </c>
      <c r="C87" s="460">
        <v>300</v>
      </c>
      <c r="D87" s="459">
        <v>93.052630320000006</v>
      </c>
      <c r="E87" s="461">
        <v>3.9</v>
      </c>
    </row>
    <row r="88" spans="1:5" ht="12.75" customHeight="1">
      <c r="A88" s="458" t="s">
        <v>103</v>
      </c>
      <c r="B88" s="459">
        <v>500</v>
      </c>
      <c r="C88" s="460">
        <v>21500</v>
      </c>
      <c r="D88" s="459">
        <v>500</v>
      </c>
      <c r="E88" s="461">
        <v>1800</v>
      </c>
    </row>
    <row r="89" spans="1:5" ht="12.75" customHeight="1">
      <c r="A89" s="458" t="s">
        <v>341</v>
      </c>
      <c r="B89" s="459">
        <v>1.3201258135444218</v>
      </c>
      <c r="C89" s="460">
        <v>5.2999999999999999E-2</v>
      </c>
      <c r="D89" s="459">
        <v>1.3201258135444218</v>
      </c>
      <c r="E89" s="461">
        <v>3.5999999999999999E-3</v>
      </c>
    </row>
    <row r="90" spans="1:5" ht="12.75" customHeight="1">
      <c r="A90" s="458" t="s">
        <v>342</v>
      </c>
      <c r="B90" s="459">
        <v>0.20335714285714288</v>
      </c>
      <c r="C90" s="460">
        <v>5.2999999999999999E-2</v>
      </c>
      <c r="D90" s="459">
        <v>0.20335714285714288</v>
      </c>
      <c r="E90" s="461">
        <v>3.5999999999999999E-3</v>
      </c>
    </row>
    <row r="91" spans="1:5" ht="12.75" customHeight="1">
      <c r="A91" s="458" t="s">
        <v>371</v>
      </c>
      <c r="B91" s="459">
        <v>0.15642857142857144</v>
      </c>
      <c r="C91" s="460">
        <v>2.9999999999999997E-4</v>
      </c>
      <c r="D91" s="459">
        <v>0.15642857142857144</v>
      </c>
      <c r="E91" s="461">
        <v>2.9999999999999997E-4</v>
      </c>
    </row>
    <row r="92" spans="1:5" ht="12.75" customHeight="1">
      <c r="A92" s="458" t="s">
        <v>343</v>
      </c>
      <c r="B92" s="459">
        <v>1.2706826027542686</v>
      </c>
      <c r="C92" s="460">
        <v>11</v>
      </c>
      <c r="D92" s="459">
        <v>6.0711960000000002E-2</v>
      </c>
      <c r="E92" s="461">
        <v>0.3</v>
      </c>
    </row>
    <row r="93" spans="1:5" ht="12.75" customHeight="1">
      <c r="A93" s="458" t="s">
        <v>364</v>
      </c>
      <c r="B93" s="459">
        <v>7.4558984912000012E-2</v>
      </c>
      <c r="C93" s="460">
        <v>0.16</v>
      </c>
      <c r="D93" s="459">
        <v>2.9357600309100004E-2</v>
      </c>
      <c r="E93" s="461">
        <v>6.3E-2</v>
      </c>
    </row>
    <row r="94" spans="1:5" ht="12.75" customHeight="1">
      <c r="A94" s="458" t="s">
        <v>344</v>
      </c>
      <c r="B94" s="459">
        <v>1.9583143021736595</v>
      </c>
      <c r="C94" s="460">
        <v>100</v>
      </c>
      <c r="D94" s="459">
        <v>0.68251320000000015</v>
      </c>
      <c r="E94" s="461">
        <v>12</v>
      </c>
    </row>
    <row r="95" spans="1:5" ht="12.75" customHeight="1">
      <c r="A95" s="458" t="s">
        <v>104</v>
      </c>
      <c r="B95" s="459">
        <v>417.2102850677166</v>
      </c>
      <c r="C95" s="460">
        <v>50000</v>
      </c>
      <c r="D95" s="459">
        <v>365.16680024269374</v>
      </c>
      <c r="E95" s="461">
        <v>17000</v>
      </c>
    </row>
    <row r="96" spans="1:5" ht="12.75" customHeight="1">
      <c r="A96" s="458" t="s">
        <v>345</v>
      </c>
      <c r="B96" s="459">
        <v>11.285807709958021</v>
      </c>
      <c r="C96" s="460">
        <v>9.5000000000000001E-2</v>
      </c>
      <c r="D96" s="459">
        <v>11.285807709958021</v>
      </c>
      <c r="E96" s="461">
        <v>9.5000000000000001E-2</v>
      </c>
    </row>
    <row r="97" spans="1:5" ht="12.75" customHeight="1">
      <c r="A97" s="458" t="s">
        <v>105</v>
      </c>
      <c r="B97" s="459">
        <v>46.57315466</v>
      </c>
      <c r="C97" s="460">
        <v>4300</v>
      </c>
      <c r="D97" s="459">
        <v>9.9644889039999995</v>
      </c>
      <c r="E97" s="461">
        <v>920</v>
      </c>
    </row>
    <row r="98" spans="1:5" ht="12.75" customHeight="1">
      <c r="A98" s="458" t="s">
        <v>346</v>
      </c>
      <c r="B98" s="459">
        <v>200</v>
      </c>
      <c r="C98" s="460">
        <v>29</v>
      </c>
      <c r="D98" s="459">
        <v>200</v>
      </c>
      <c r="E98" s="461">
        <v>5.6</v>
      </c>
    </row>
    <row r="99" spans="1:5" ht="12.75" customHeight="1">
      <c r="A99" s="458" t="s">
        <v>347</v>
      </c>
      <c r="B99" s="459">
        <v>4.6925983598593568</v>
      </c>
      <c r="C99" s="460">
        <v>2.1</v>
      </c>
      <c r="D99" s="459">
        <v>4.6925983598593568</v>
      </c>
      <c r="E99" s="461">
        <v>2.5000000000000001E-2</v>
      </c>
    </row>
    <row r="100" spans="1:5" ht="12.75" customHeight="1">
      <c r="A100" s="458" t="s">
        <v>348</v>
      </c>
      <c r="B100" s="459">
        <v>16.144000157125785</v>
      </c>
      <c r="C100" s="460">
        <v>0.7</v>
      </c>
      <c r="D100" s="459">
        <v>16.144000157125785</v>
      </c>
      <c r="E100" s="461">
        <v>0.03</v>
      </c>
    </row>
    <row r="101" spans="1:5" ht="12.75" customHeight="1">
      <c r="A101" s="458" t="s">
        <v>350</v>
      </c>
      <c r="B101" s="459">
        <v>55.122950000000003</v>
      </c>
      <c r="C101" s="460">
        <v>50000</v>
      </c>
      <c r="D101" s="459">
        <v>15.434426000000002</v>
      </c>
      <c r="E101" s="461">
        <v>14000</v>
      </c>
    </row>
    <row r="102" spans="1:5" ht="12.75" customHeight="1">
      <c r="A102" s="458" t="s">
        <v>351</v>
      </c>
      <c r="B102" s="459">
        <v>6.5132760000000012</v>
      </c>
      <c r="C102" s="460">
        <v>2200</v>
      </c>
      <c r="D102" s="459">
        <v>0.50329860000000004</v>
      </c>
      <c r="E102" s="461">
        <v>170</v>
      </c>
    </row>
    <row r="103" spans="1:5" ht="12.75" customHeight="1">
      <c r="A103" s="458" t="s">
        <v>352</v>
      </c>
      <c r="B103" s="459">
        <v>1.5642857142857143</v>
      </c>
      <c r="C103" s="460">
        <v>9.9000000000000005E-2</v>
      </c>
      <c r="D103" s="459">
        <v>1.5642857142857143</v>
      </c>
      <c r="E103" s="461">
        <v>2.8E-3</v>
      </c>
    </row>
    <row r="104" spans="1:5" ht="12.75" customHeight="1">
      <c r="A104" s="458" t="s">
        <v>353</v>
      </c>
      <c r="B104" s="459">
        <v>2.3081822485207097</v>
      </c>
      <c r="C104" s="460">
        <v>1800</v>
      </c>
      <c r="D104" s="459">
        <v>2.3081822485207097</v>
      </c>
      <c r="E104" s="461">
        <v>730</v>
      </c>
    </row>
    <row r="105" spans="1:5" ht="12.75" customHeight="1">
      <c r="A105" s="458" t="s">
        <v>349</v>
      </c>
      <c r="B105" s="459">
        <v>21.671266666666664</v>
      </c>
      <c r="C105" s="460">
        <v>8500</v>
      </c>
      <c r="D105" s="459">
        <v>21.671266666666664</v>
      </c>
      <c r="E105" s="461">
        <v>1500</v>
      </c>
    </row>
    <row r="106" spans="1:5" ht="12.75" customHeight="1">
      <c r="A106" s="458" t="s">
        <v>590</v>
      </c>
      <c r="B106" s="459">
        <v>15.644102090000001</v>
      </c>
      <c r="C106" s="460">
        <v>37</v>
      </c>
      <c r="D106" s="459">
        <v>0.88790849700000019</v>
      </c>
      <c r="E106" s="461">
        <v>2.1</v>
      </c>
    </row>
    <row r="107" spans="1:5" ht="12.75" customHeight="1">
      <c r="A107" s="458" t="s">
        <v>591</v>
      </c>
      <c r="B107" s="459">
        <v>17.412176880000001</v>
      </c>
      <c r="C107" s="460">
        <v>42</v>
      </c>
      <c r="D107" s="459">
        <v>1.9485055080000002</v>
      </c>
      <c r="E107" s="461">
        <v>4.7</v>
      </c>
    </row>
    <row r="108" spans="1:5" ht="12.75" customHeight="1">
      <c r="A108" s="458" t="s">
        <v>465</v>
      </c>
      <c r="B108" s="459">
        <v>78.203503981200072</v>
      </c>
      <c r="C108" s="460">
        <v>7200</v>
      </c>
      <c r="D108" s="459">
        <v>78.203503981200072</v>
      </c>
      <c r="E108" s="461">
        <v>370</v>
      </c>
    </row>
    <row r="109" spans="1:5" ht="12.75" customHeight="1">
      <c r="A109" s="458" t="s">
        <v>466</v>
      </c>
      <c r="B109" s="459">
        <v>6.9968054941286626</v>
      </c>
      <c r="C109" s="460">
        <v>210</v>
      </c>
      <c r="D109" s="459">
        <v>3.1084209600000006</v>
      </c>
      <c r="E109" s="461">
        <v>12</v>
      </c>
    </row>
    <row r="110" spans="1:5" ht="12.75" customHeight="1">
      <c r="A110" s="458" t="s">
        <v>812</v>
      </c>
      <c r="B110" s="459">
        <v>410</v>
      </c>
      <c r="C110" s="460">
        <v>5</v>
      </c>
      <c r="D110" s="459">
        <v>410</v>
      </c>
      <c r="E110" s="461">
        <v>5</v>
      </c>
    </row>
    <row r="111" spans="1:5" ht="12.75" customHeight="1">
      <c r="A111" s="462" t="s">
        <v>106</v>
      </c>
      <c r="B111" s="459">
        <v>5.5889478096309899</v>
      </c>
      <c r="C111" s="460">
        <v>2000</v>
      </c>
      <c r="D111" s="459">
        <v>5.5889478096309899</v>
      </c>
      <c r="E111" s="461">
        <v>380</v>
      </c>
    </row>
    <row r="112" spans="1:5" ht="12.75" customHeight="1">
      <c r="A112" s="462" t="s">
        <v>107</v>
      </c>
      <c r="B112" s="459">
        <v>1.2642735911142928</v>
      </c>
      <c r="C112" s="460">
        <v>160</v>
      </c>
      <c r="D112" s="459">
        <v>0.34602012016200001</v>
      </c>
      <c r="E112" s="461">
        <v>18</v>
      </c>
    </row>
    <row r="113" spans="1:5" ht="12.75" customHeight="1">
      <c r="A113" s="462" t="s">
        <v>108</v>
      </c>
      <c r="B113" s="459">
        <v>3.0562200956937802</v>
      </c>
      <c r="C113" s="460">
        <v>640</v>
      </c>
      <c r="D113" s="459">
        <v>3.0562200956937802</v>
      </c>
      <c r="E113" s="461">
        <v>71</v>
      </c>
    </row>
    <row r="114" spans="1:5" ht="12.75" customHeight="1">
      <c r="A114" s="462" t="s">
        <v>109</v>
      </c>
      <c r="B114" s="459">
        <v>1.2642735911142928</v>
      </c>
      <c r="C114" s="460">
        <v>380</v>
      </c>
      <c r="D114" s="459">
        <v>1.2642735911142928</v>
      </c>
      <c r="E114" s="461">
        <v>42</v>
      </c>
    </row>
    <row r="115" spans="1:5" ht="12.75" customHeight="1">
      <c r="A115" s="462" t="s">
        <v>110</v>
      </c>
      <c r="B115" s="459">
        <v>24.733643272000002</v>
      </c>
      <c r="C115" s="460">
        <v>410</v>
      </c>
      <c r="D115" s="459">
        <v>2.7749941231999999</v>
      </c>
      <c r="E115" s="461">
        <v>46</v>
      </c>
    </row>
    <row r="116" spans="1:5" ht="12.75" customHeight="1">
      <c r="A116" s="458" t="s">
        <v>467</v>
      </c>
      <c r="B116" s="459">
        <v>0.98017273127524474</v>
      </c>
      <c r="C116" s="460">
        <v>13</v>
      </c>
      <c r="D116" s="459">
        <v>0.77635002588250013</v>
      </c>
      <c r="E116" s="461">
        <v>7.9</v>
      </c>
    </row>
    <row r="117" spans="1:5" ht="12.75" customHeight="1">
      <c r="A117" s="462" t="s">
        <v>111</v>
      </c>
      <c r="B117" s="459">
        <v>113.78462320028632</v>
      </c>
      <c r="C117" s="460">
        <v>21500</v>
      </c>
      <c r="D117" s="459">
        <v>113.78462320028632</v>
      </c>
      <c r="E117" s="461">
        <v>21500</v>
      </c>
    </row>
    <row r="118" spans="1:5" ht="12.75" customHeight="1">
      <c r="A118" s="458" t="s">
        <v>231</v>
      </c>
      <c r="B118" s="459">
        <v>1.2</v>
      </c>
      <c r="C118" s="460">
        <v>5000</v>
      </c>
      <c r="D118" s="459">
        <v>1.2</v>
      </c>
      <c r="E118" s="461">
        <v>600</v>
      </c>
    </row>
    <row r="119" spans="1:5" ht="12.75" customHeight="1">
      <c r="A119" s="458" t="s">
        <v>468</v>
      </c>
      <c r="B119" s="459">
        <v>463.04414452751359</v>
      </c>
      <c r="C119" s="460">
        <v>300</v>
      </c>
      <c r="D119" s="459">
        <v>68.625848705509426</v>
      </c>
      <c r="E119" s="461">
        <v>2.2999999999999998</v>
      </c>
    </row>
    <row r="120" spans="1:5" ht="12.75" customHeight="1">
      <c r="A120" s="458" t="s">
        <v>469</v>
      </c>
      <c r="B120" s="459">
        <v>9.323174492999998</v>
      </c>
      <c r="C120" s="460">
        <v>300</v>
      </c>
      <c r="D120" s="459">
        <v>1.80248040198</v>
      </c>
      <c r="E120" s="461">
        <v>58</v>
      </c>
    </row>
    <row r="121" spans="1:5" ht="12.75" customHeight="1">
      <c r="A121" s="458" t="s">
        <v>365</v>
      </c>
      <c r="B121" s="459">
        <v>1.1741947383207836</v>
      </c>
      <c r="C121" s="460">
        <v>2</v>
      </c>
      <c r="D121" s="459">
        <v>1.1741947383207836</v>
      </c>
      <c r="E121" s="461">
        <v>1.4E-2</v>
      </c>
    </row>
    <row r="122" spans="1:5" ht="12.75" customHeight="1">
      <c r="A122" s="458" t="s">
        <v>112</v>
      </c>
      <c r="B122" s="459">
        <v>109.7758044845575</v>
      </c>
      <c r="C122" s="460">
        <v>425</v>
      </c>
      <c r="D122" s="459">
        <v>24.538121002430501</v>
      </c>
      <c r="E122" s="461">
        <v>95</v>
      </c>
    </row>
    <row r="123" spans="1:5" ht="12.75" customHeight="1">
      <c r="A123" s="458" t="s">
        <v>470</v>
      </c>
      <c r="B123" s="459">
        <v>44.028912348000006</v>
      </c>
      <c r="C123" s="460">
        <v>67.5</v>
      </c>
      <c r="D123" s="459">
        <v>44.028912348000006</v>
      </c>
      <c r="E123" s="461">
        <v>4.5999999999999996</v>
      </c>
    </row>
    <row r="124" spans="1:5" ht="12.75" customHeight="1">
      <c r="A124" s="458" t="s">
        <v>471</v>
      </c>
      <c r="B124" s="459">
        <v>78.213207407198283</v>
      </c>
      <c r="C124" s="460">
        <v>20</v>
      </c>
      <c r="D124" s="459">
        <v>78.213207407198283</v>
      </c>
      <c r="E124" s="461">
        <v>5</v>
      </c>
    </row>
    <row r="125" spans="1:5" ht="12.75" customHeight="1">
      <c r="A125" s="458" t="s">
        <v>813</v>
      </c>
      <c r="B125" s="459">
        <v>78.214285714285708</v>
      </c>
      <c r="C125" s="460">
        <v>1</v>
      </c>
      <c r="D125" s="459">
        <v>78.214285714285708</v>
      </c>
      <c r="E125" s="461">
        <v>0.1</v>
      </c>
    </row>
    <row r="126" spans="1:5" ht="12.75" customHeight="1">
      <c r="A126" s="458" t="s">
        <v>113</v>
      </c>
      <c r="B126" s="459">
        <v>1.9455204667664003</v>
      </c>
      <c r="C126" s="460">
        <v>80</v>
      </c>
      <c r="D126" s="459">
        <v>0.21887105251122002</v>
      </c>
      <c r="E126" s="461">
        <v>9</v>
      </c>
    </row>
    <row r="127" spans="1:5" ht="12.75" customHeight="1">
      <c r="A127" s="458" t="s">
        <v>472</v>
      </c>
      <c r="B127" s="459">
        <v>10.057542000000002</v>
      </c>
      <c r="C127" s="460">
        <v>110</v>
      </c>
      <c r="D127" s="459">
        <v>2.9258304000000002</v>
      </c>
      <c r="E127" s="461">
        <v>32</v>
      </c>
    </row>
    <row r="128" spans="1:5" ht="12.75" customHeight="1">
      <c r="A128" s="458" t="s">
        <v>114</v>
      </c>
      <c r="B128" s="459">
        <v>2.0901222739155294</v>
      </c>
      <c r="C128" s="460">
        <v>251.31929956026045</v>
      </c>
      <c r="D128" s="459">
        <v>2.0901222739155294</v>
      </c>
      <c r="E128" s="461">
        <v>251.31929956026045</v>
      </c>
    </row>
    <row r="129" spans="1:5" ht="12.75" customHeight="1">
      <c r="A129" s="458" t="s">
        <v>19</v>
      </c>
      <c r="B129" s="459">
        <v>20.254185000000003</v>
      </c>
      <c r="C129" s="460">
        <v>50000</v>
      </c>
      <c r="D129" s="459">
        <v>7.2915066000000008</v>
      </c>
      <c r="E129" s="461">
        <v>18000</v>
      </c>
    </row>
    <row r="130" spans="1:5" ht="12.75" customHeight="1">
      <c r="A130" s="458" t="s">
        <v>473</v>
      </c>
      <c r="B130" s="459">
        <v>2.1697025011683992</v>
      </c>
      <c r="C130" s="460">
        <v>770</v>
      </c>
      <c r="D130" s="459">
        <v>0.32182358400000005</v>
      </c>
      <c r="E130" s="461">
        <v>10.8</v>
      </c>
    </row>
    <row r="131" spans="1:5" ht="12.75" customHeight="1">
      <c r="A131" s="458" t="s">
        <v>474</v>
      </c>
      <c r="B131" s="459">
        <v>1.0347023872679044E-2</v>
      </c>
      <c r="C131" s="460">
        <v>240.39246728311088</v>
      </c>
      <c r="D131" s="459">
        <v>1.0347023872679044E-2</v>
      </c>
      <c r="E131" s="461">
        <v>200</v>
      </c>
    </row>
    <row r="132" spans="1:5" ht="12.75" customHeight="1">
      <c r="A132" s="458" t="s">
        <v>475</v>
      </c>
      <c r="B132" s="459">
        <v>9.8381538461538437E-2</v>
      </c>
      <c r="C132" s="460">
        <v>194.19961168935555</v>
      </c>
      <c r="D132" s="459">
        <v>9.8381538461538437E-2</v>
      </c>
      <c r="E132" s="461">
        <v>53</v>
      </c>
    </row>
    <row r="133" spans="1:5" ht="12.75" customHeight="1">
      <c r="A133" s="458" t="s">
        <v>115</v>
      </c>
      <c r="B133" s="459">
        <v>0.51188083760000003</v>
      </c>
      <c r="C133" s="460">
        <v>11</v>
      </c>
      <c r="D133" s="459">
        <v>5.5841545920000006E-2</v>
      </c>
      <c r="E133" s="461">
        <v>1.2</v>
      </c>
    </row>
    <row r="134" spans="1:5" ht="12.75" customHeight="1">
      <c r="A134" s="462" t="s">
        <v>116</v>
      </c>
      <c r="B134" s="459">
        <v>105.89472648010802</v>
      </c>
      <c r="C134" s="460">
        <v>1200</v>
      </c>
      <c r="D134" s="459">
        <v>19.414033188019804</v>
      </c>
      <c r="E134" s="461">
        <v>220</v>
      </c>
    </row>
    <row r="135" spans="1:5" ht="12.75" customHeight="1">
      <c r="A135" s="458" t="s">
        <v>476</v>
      </c>
      <c r="B135" s="459">
        <v>0.78214285714285714</v>
      </c>
      <c r="C135" s="460">
        <v>470</v>
      </c>
      <c r="D135" s="459">
        <v>0.78214285714285714</v>
      </c>
      <c r="E135" s="461">
        <v>6</v>
      </c>
    </row>
    <row r="136" spans="1:5" ht="12.75" customHeight="1">
      <c r="A136" s="458" t="s">
        <v>366</v>
      </c>
      <c r="B136" s="459">
        <v>31.917439999999999</v>
      </c>
      <c r="C136" s="460">
        <v>400</v>
      </c>
      <c r="D136" s="459">
        <v>0.78197728000000011</v>
      </c>
      <c r="E136" s="461">
        <v>9.8000000000000007</v>
      </c>
    </row>
    <row r="137" spans="1:5" ht="12.75" customHeight="1">
      <c r="A137" s="458" t="s">
        <v>20</v>
      </c>
      <c r="B137" s="459">
        <v>0.47529913041323968</v>
      </c>
      <c r="C137" s="460">
        <v>0.21</v>
      </c>
      <c r="D137" s="459">
        <v>0.47529913041323968</v>
      </c>
      <c r="E137" s="461">
        <v>2.0000000000000001E-4</v>
      </c>
    </row>
    <row r="138" spans="1:5" ht="12.75" customHeight="1">
      <c r="A138" s="458" t="s">
        <v>57</v>
      </c>
      <c r="B138" s="459">
        <v>100</v>
      </c>
      <c r="C138" s="460">
        <v>5000</v>
      </c>
      <c r="D138" s="459">
        <v>100</v>
      </c>
      <c r="E138" s="461">
        <v>500</v>
      </c>
    </row>
    <row r="139" spans="1:5" ht="12.75" customHeight="1">
      <c r="A139" s="458" t="s">
        <v>56</v>
      </c>
      <c r="B139" s="459">
        <v>183.39493451041466</v>
      </c>
      <c r="C139" s="460">
        <v>2500</v>
      </c>
      <c r="D139" s="459">
        <v>183.39493451041466</v>
      </c>
      <c r="E139" s="461">
        <v>640</v>
      </c>
    </row>
    <row r="140" spans="1:5" ht="12.75" customHeight="1">
      <c r="A140" s="458" t="s">
        <v>777</v>
      </c>
      <c r="B140" s="459">
        <v>500</v>
      </c>
      <c r="C140" s="460">
        <v>2500</v>
      </c>
      <c r="D140" s="459">
        <v>500</v>
      </c>
      <c r="E140" s="461">
        <v>640</v>
      </c>
    </row>
    <row r="141" spans="1:5" ht="12.75" customHeight="1">
      <c r="A141" s="458" t="s">
        <v>814</v>
      </c>
      <c r="B141" s="459">
        <v>0.17652248407169688</v>
      </c>
      <c r="C141" s="460">
        <v>420</v>
      </c>
      <c r="D141" s="459">
        <v>0.17652248407169688</v>
      </c>
      <c r="E141" s="461">
        <v>110</v>
      </c>
    </row>
    <row r="142" spans="1:5" ht="12.75" customHeight="1">
      <c r="A142" s="458" t="s">
        <v>815</v>
      </c>
      <c r="B142" s="459">
        <v>222.90445714285715</v>
      </c>
      <c r="C142" s="460">
        <v>6000</v>
      </c>
      <c r="D142" s="459">
        <v>1.2408521400000003</v>
      </c>
      <c r="E142" s="461">
        <v>11</v>
      </c>
    </row>
    <row r="143" spans="1:5" ht="12.75" customHeight="1">
      <c r="A143" s="458" t="s">
        <v>477</v>
      </c>
      <c r="B143" s="459">
        <v>8.9161782857142876E-3</v>
      </c>
      <c r="C143" s="460">
        <v>106.62958207144922</v>
      </c>
      <c r="D143" s="459">
        <v>8.9161782857142876E-3</v>
      </c>
      <c r="E143" s="461">
        <v>106.62958207144922</v>
      </c>
    </row>
    <row r="144" spans="1:5" ht="12.75" customHeight="1">
      <c r="A144" s="458" t="s">
        <v>478</v>
      </c>
      <c r="B144" s="459">
        <v>8.9161782857142866E-2</v>
      </c>
      <c r="C144" s="460">
        <v>208.89003096783017</v>
      </c>
      <c r="D144" s="459">
        <v>8.9161782857142866E-2</v>
      </c>
      <c r="E144" s="461">
        <v>47</v>
      </c>
    </row>
    <row r="145" spans="1:5" ht="12.75" customHeight="1">
      <c r="A145" s="458" t="s">
        <v>479</v>
      </c>
      <c r="B145" s="459">
        <v>4.5069028304000005</v>
      </c>
      <c r="C145" s="460">
        <v>17</v>
      </c>
      <c r="D145" s="459">
        <v>0.50371266928000002</v>
      </c>
      <c r="E145" s="461">
        <v>1.9</v>
      </c>
    </row>
    <row r="146" spans="1:5" ht="12.75" customHeight="1">
      <c r="A146" s="458" t="s">
        <v>480</v>
      </c>
      <c r="B146" s="459">
        <v>2.4672233898</v>
      </c>
      <c r="C146" s="460">
        <v>39</v>
      </c>
      <c r="D146" s="459">
        <v>0.30998447718000005</v>
      </c>
      <c r="E146" s="461">
        <v>4.9000000000000004</v>
      </c>
    </row>
    <row r="147" spans="1:5" ht="12.75" customHeight="1">
      <c r="A147" s="462" t="s">
        <v>117</v>
      </c>
      <c r="B147" s="459">
        <v>12.184769044617401</v>
      </c>
      <c r="C147" s="460">
        <v>686</v>
      </c>
      <c r="D147" s="459">
        <v>12.184769044617401</v>
      </c>
      <c r="E147" s="461">
        <v>686</v>
      </c>
    </row>
    <row r="148" spans="1:5" ht="12.75" customHeight="1">
      <c r="A148" s="458" t="s">
        <v>118</v>
      </c>
      <c r="B148" s="459">
        <v>7.8569612505990012</v>
      </c>
      <c r="C148" s="460">
        <v>270</v>
      </c>
      <c r="D148" s="459">
        <v>0.87299569451100001</v>
      </c>
      <c r="E148" s="461">
        <v>30</v>
      </c>
    </row>
    <row r="149" spans="1:5" ht="12.75" customHeight="1">
      <c r="A149" s="458" t="s">
        <v>119</v>
      </c>
      <c r="B149" s="459">
        <v>5.029527559055118E-3</v>
      </c>
      <c r="C149" s="460">
        <v>140</v>
      </c>
      <c r="D149" s="459">
        <v>5.029527559055118E-3</v>
      </c>
      <c r="E149" s="461">
        <v>14</v>
      </c>
    </row>
    <row r="150" spans="1:5" ht="12.75" customHeight="1">
      <c r="A150" s="458" t="s">
        <v>120</v>
      </c>
      <c r="B150" s="459">
        <v>0.15845058605710996</v>
      </c>
      <c r="C150" s="460">
        <v>3.3315808860737541</v>
      </c>
      <c r="D150" s="459">
        <v>0.15845058605710996</v>
      </c>
      <c r="E150" s="461">
        <v>3.3315808860737541</v>
      </c>
    </row>
    <row r="151" spans="1:5" ht="12.75" customHeight="1">
      <c r="A151" s="458" t="s">
        <v>602</v>
      </c>
      <c r="B151" s="459">
        <v>55.787894350000002</v>
      </c>
      <c r="C151" s="460">
        <v>20.5</v>
      </c>
      <c r="D151" s="459">
        <v>17.719343116981133</v>
      </c>
      <c r="E151" s="461">
        <v>1.1399999999999999</v>
      </c>
    </row>
    <row r="152" spans="1:5" ht="12.75" customHeight="1">
      <c r="A152" s="462" t="s">
        <v>939</v>
      </c>
      <c r="B152" s="459">
        <v>7.5432070893285008</v>
      </c>
      <c r="C152" s="460">
        <v>27</v>
      </c>
      <c r="D152" s="459">
        <v>2.7937804034550004</v>
      </c>
      <c r="E152" s="461">
        <v>10</v>
      </c>
    </row>
    <row r="153" spans="1:5" ht="12.75" customHeight="1">
      <c r="A153" s="462" t="s">
        <v>603</v>
      </c>
      <c r="B153" s="459">
        <v>30.171580463643995</v>
      </c>
      <c r="C153" s="460">
        <v>39.469382156875795</v>
      </c>
      <c r="D153" s="459">
        <v>30.171580463643995</v>
      </c>
      <c r="E153" s="461">
        <v>39.469382156875795</v>
      </c>
    </row>
    <row r="154" spans="1:5" ht="12.75" customHeight="1">
      <c r="A154" s="462" t="s">
        <v>605</v>
      </c>
      <c r="B154" s="459">
        <v>7.2694180429212993</v>
      </c>
      <c r="C154" s="460">
        <v>210</v>
      </c>
      <c r="D154" s="459">
        <v>6.0682976945110001</v>
      </c>
      <c r="E154" s="461">
        <v>13</v>
      </c>
    </row>
    <row r="155" spans="1:5" ht="12.75" customHeight="1">
      <c r="A155" s="458" t="s">
        <v>481</v>
      </c>
      <c r="B155" s="459">
        <v>770</v>
      </c>
      <c r="C155" s="460">
        <v>90</v>
      </c>
      <c r="D155" s="459">
        <v>770</v>
      </c>
      <c r="E155" s="461">
        <v>27</v>
      </c>
    </row>
    <row r="156" spans="1:5" ht="12.75" customHeight="1">
      <c r="A156" s="458" t="s">
        <v>482</v>
      </c>
      <c r="B156" s="459">
        <v>3.6336480000000004E-2</v>
      </c>
      <c r="C156" s="460">
        <v>18.496958233562776</v>
      </c>
      <c r="D156" s="459">
        <v>3.6336480000000004E-2</v>
      </c>
      <c r="E156" s="461">
        <v>18.496958233562776</v>
      </c>
    </row>
    <row r="157" spans="1:5" ht="12.75" customHeight="1">
      <c r="A157" s="458" t="s">
        <v>483</v>
      </c>
      <c r="B157" s="459">
        <v>24.041348000000003</v>
      </c>
      <c r="C157" s="460">
        <v>230</v>
      </c>
      <c r="D157" s="459">
        <v>1.3588587999999999</v>
      </c>
      <c r="E157" s="461">
        <v>13</v>
      </c>
    </row>
    <row r="158" spans="1:5" ht="12.75" customHeight="1">
      <c r="A158" s="458" t="s">
        <v>484</v>
      </c>
      <c r="B158" s="459">
        <v>1000</v>
      </c>
      <c r="C158" s="460">
        <v>22</v>
      </c>
      <c r="D158" s="459">
        <v>1000</v>
      </c>
      <c r="E158" s="461">
        <v>22</v>
      </c>
    </row>
    <row r="159" spans="1:5" ht="25.5" customHeight="1">
      <c r="A159" s="465" t="s">
        <v>615</v>
      </c>
      <c r="B159" s="459" t="s">
        <v>486</v>
      </c>
      <c r="C159" s="460" t="s">
        <v>796</v>
      </c>
      <c r="D159" s="459" t="s">
        <v>486</v>
      </c>
      <c r="E159" s="461" t="s">
        <v>796</v>
      </c>
    </row>
    <row r="160" spans="1:5" ht="12.75" customHeight="1" thickBot="1">
      <c r="A160" s="466" t="s">
        <v>616</v>
      </c>
      <c r="B160" s="467" t="s">
        <v>368</v>
      </c>
      <c r="C160" s="468" t="s">
        <v>796</v>
      </c>
      <c r="D160" s="467" t="s">
        <v>368</v>
      </c>
      <c r="E160" s="469" t="s">
        <v>796</v>
      </c>
    </row>
    <row r="161" spans="1:7" ht="13.15" thickTop="1">
      <c r="A161" s="470"/>
      <c r="B161" s="471"/>
      <c r="C161" s="471"/>
      <c r="D161" s="472"/>
      <c r="E161" s="473"/>
      <c r="F161"/>
      <c r="G161"/>
    </row>
    <row r="162" spans="1:7" ht="12.75">
      <c r="A162" s="474" t="s">
        <v>488</v>
      </c>
      <c r="B162" s="3"/>
      <c r="C162" s="3"/>
      <c r="E162" s="476"/>
      <c r="F162"/>
      <c r="G162"/>
    </row>
    <row r="163" spans="1:7" ht="25.5" customHeight="1">
      <c r="A163" s="1386" t="s">
        <v>491</v>
      </c>
      <c r="B163" s="1181"/>
      <c r="C163" s="1181"/>
      <c r="D163" s="1181"/>
      <c r="E163" s="1387"/>
      <c r="F163"/>
      <c r="G163"/>
    </row>
    <row r="164" spans="1:7" ht="12.75">
      <c r="A164" s="479" t="s">
        <v>1155</v>
      </c>
      <c r="B164" s="3"/>
      <c r="C164" s="3"/>
      <c r="E164" s="476"/>
      <c r="F164"/>
      <c r="G164"/>
    </row>
    <row r="165" spans="1:7" ht="12.75">
      <c r="A165" s="479"/>
      <c r="B165" s="3"/>
      <c r="C165" s="3"/>
      <c r="E165" s="476"/>
      <c r="F165"/>
      <c r="G165"/>
    </row>
    <row r="166" spans="1:7" ht="12.75">
      <c r="A166" s="479" t="s">
        <v>955</v>
      </c>
      <c r="B166" s="3"/>
      <c r="C166" s="3"/>
      <c r="E166" s="476"/>
      <c r="F166"/>
      <c r="G166"/>
    </row>
    <row r="167" spans="1:7" ht="12.75">
      <c r="A167" s="479" t="s">
        <v>956</v>
      </c>
      <c r="B167" s="3"/>
      <c r="C167" s="3"/>
      <c r="E167" s="476"/>
      <c r="F167"/>
      <c r="G167"/>
    </row>
    <row r="168" spans="1:7" ht="12.75">
      <c r="A168" s="4" t="s">
        <v>948</v>
      </c>
      <c r="B168" s="3"/>
      <c r="C168" s="3"/>
      <c r="D168" s="481"/>
      <c r="E168" s="476"/>
      <c r="F168"/>
      <c r="G168"/>
    </row>
    <row r="169" spans="1:7" ht="48" customHeight="1">
      <c r="A169" s="1388" t="s">
        <v>990</v>
      </c>
      <c r="B169" s="1181"/>
      <c r="C169" s="1181"/>
      <c r="D169" s="1181"/>
      <c r="E169" s="1387"/>
      <c r="F169"/>
    </row>
    <row r="170" spans="1:7" ht="36" customHeight="1">
      <c r="A170" s="1388" t="s">
        <v>991</v>
      </c>
      <c r="B170" s="1181"/>
      <c r="C170" s="1181"/>
      <c r="D170" s="1181"/>
      <c r="E170" s="1387"/>
      <c r="F170"/>
    </row>
    <row r="171" spans="1:7" ht="12.75">
      <c r="A171" s="482" t="s">
        <v>1088</v>
      </c>
      <c r="B171" s="3"/>
      <c r="C171" s="3"/>
      <c r="D171" s="481"/>
      <c r="E171" s="483"/>
      <c r="F171"/>
      <c r="G171"/>
    </row>
    <row r="172" spans="1:7" ht="12.75">
      <c r="A172" s="482" t="s">
        <v>957</v>
      </c>
      <c r="B172" s="3"/>
      <c r="C172" s="3"/>
      <c r="D172" s="481"/>
      <c r="E172" s="483"/>
      <c r="F172"/>
      <c r="G172"/>
    </row>
    <row r="173" spans="1:7" ht="12.75">
      <c r="A173" s="482" t="s">
        <v>958</v>
      </c>
      <c r="B173" s="3"/>
      <c r="C173" s="3"/>
      <c r="D173" s="481"/>
      <c r="E173" s="483"/>
      <c r="F173"/>
      <c r="G173"/>
    </row>
    <row r="174" spans="1:7" ht="12.75">
      <c r="A174" s="482" t="s">
        <v>221</v>
      </c>
      <c r="B174" s="3"/>
      <c r="C174" s="3"/>
      <c r="D174" s="481"/>
      <c r="E174" s="476"/>
      <c r="F174"/>
      <c r="G174"/>
    </row>
    <row r="175" spans="1:7" ht="12.75">
      <c r="A175" s="482" t="s">
        <v>208</v>
      </c>
      <c r="B175" s="3"/>
      <c r="C175" s="3"/>
      <c r="D175" s="481"/>
      <c r="E175" s="476"/>
      <c r="F175"/>
      <c r="G175"/>
    </row>
    <row r="176" spans="1:7" ht="48" customHeight="1" thickBot="1">
      <c r="A176" s="1383" t="s">
        <v>846</v>
      </c>
      <c r="B176" s="1384"/>
      <c r="C176" s="1384"/>
      <c r="D176" s="1384"/>
      <c r="E176" s="1385"/>
      <c r="F176"/>
      <c r="G176"/>
    </row>
    <row r="177" ht="10.5" thickTop="1"/>
  </sheetData>
  <sheetProtection algorithmName="SHA-512" hashValue="MOPsFvKk/H5rKSkI0DexJHfDfmcgZyaI8w3vOuxK9ZQ7waEXdYcel2XS4sGKC+NHOO8LxACVmDEuAl5f77fnLA==" saltValue="PBg0pR4Sj7kMl0ePLqbrbw==" spinCount="100000" sheet="1" objects="1" scenarios="1"/>
  <mergeCells count="4">
    <mergeCell ref="A176:E176"/>
    <mergeCell ref="A163:E163"/>
    <mergeCell ref="A169:E169"/>
    <mergeCell ref="A170:E170"/>
  </mergeCells>
  <phoneticPr fontId="0" type="noConversion"/>
  <printOptions horizontalCentered="1"/>
  <pageMargins left="0.92" right="0.41" top="0.53" bottom="1" header="0.5" footer="0.5"/>
  <pageSetup scale="89" fitToHeight="4" orientation="portrait" r:id="rId1"/>
  <headerFooter alignWithMargins="0">
    <oddFooter>&amp;LHawai'i DOH
Spring 2024&amp;C&amp;8Page &amp;P of &amp;N&amp;R&amp;A</oddFooter>
  </headerFooter>
  <rowBreaks count="1" manualBreakCount="1">
    <brk id="15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1"/>
  </sheetPr>
  <dimension ref="A1:G168"/>
  <sheetViews>
    <sheetView zoomScaleNormal="100" workbookViewId="0">
      <pane ySplit="2745" topLeftCell="A5" activePane="bottomLeft"/>
      <selection sqref="A1:XFD1048576"/>
      <selection pane="bottomLeft" activeCell="A5" sqref="A5"/>
    </sheetView>
  </sheetViews>
  <sheetFormatPr defaultColWidth="8.73046875" defaultRowHeight="10.15"/>
  <cols>
    <col min="1" max="1" width="40.73046875" style="3" customWidth="1"/>
    <col min="2" max="3" width="4.73046875" style="3" customWidth="1"/>
    <col min="4" max="7" width="13.73046875" style="481" customWidth="1"/>
    <col min="8" max="16384" width="8.73046875" style="3"/>
  </cols>
  <sheetData>
    <row r="1" spans="1:7" ht="45">
      <c r="A1" s="6" t="s">
        <v>1135</v>
      </c>
      <c r="B1" s="6"/>
      <c r="C1" s="6"/>
      <c r="D1" s="444"/>
      <c r="E1" s="444"/>
      <c r="F1" s="444"/>
      <c r="G1" s="444"/>
    </row>
    <row r="2" spans="1:7" ht="12" customHeight="1" thickBot="1"/>
    <row r="3" spans="1:7" ht="30" customHeight="1" thickTop="1" thickBot="1">
      <c r="A3" s="487"/>
      <c r="D3" s="488" t="s">
        <v>535</v>
      </c>
      <c r="E3" s="489"/>
      <c r="F3" s="490" t="s">
        <v>1136</v>
      </c>
      <c r="G3" s="491"/>
    </row>
    <row r="4" spans="1:7" ht="32.65" thickTop="1" thickBot="1">
      <c r="A4" s="449" t="s">
        <v>232</v>
      </c>
      <c r="B4" s="1390" t="s">
        <v>223</v>
      </c>
      <c r="C4" s="1391"/>
      <c r="D4" s="492" t="s">
        <v>904</v>
      </c>
      <c r="E4" s="493" t="s">
        <v>905</v>
      </c>
      <c r="F4" s="492" t="s">
        <v>904</v>
      </c>
      <c r="G4" s="494" t="s">
        <v>905</v>
      </c>
    </row>
    <row r="5" spans="1:7">
      <c r="A5" s="454" t="s">
        <v>548</v>
      </c>
      <c r="B5" s="495" t="s">
        <v>651</v>
      </c>
      <c r="C5" s="496" t="s">
        <v>638</v>
      </c>
      <c r="D5" s="497">
        <v>43.8</v>
      </c>
      <c r="E5" s="456">
        <v>183.96</v>
      </c>
      <c r="F5" s="498">
        <v>87599.999999999985</v>
      </c>
      <c r="G5" s="457">
        <v>735840</v>
      </c>
    </row>
    <row r="6" spans="1:7">
      <c r="A6" s="458" t="s">
        <v>549</v>
      </c>
      <c r="B6" s="499" t="s">
        <v>651</v>
      </c>
      <c r="C6" s="500" t="s">
        <v>638</v>
      </c>
      <c r="D6" s="501">
        <v>33.371428571428574</v>
      </c>
      <c r="E6" s="460">
        <v>140.16000000000003</v>
      </c>
      <c r="F6" s="502">
        <v>66742.857142857145</v>
      </c>
      <c r="G6" s="461">
        <v>560640.00000000012</v>
      </c>
    </row>
    <row r="7" spans="1:7">
      <c r="A7" s="458" t="s">
        <v>550</v>
      </c>
      <c r="B7" s="499" t="s">
        <v>651</v>
      </c>
      <c r="C7" s="500" t="s">
        <v>652</v>
      </c>
      <c r="D7" s="501">
        <v>657</v>
      </c>
      <c r="E7" s="460">
        <v>2759.4000000000005</v>
      </c>
      <c r="F7" s="502">
        <v>1314000</v>
      </c>
      <c r="G7" s="461">
        <v>11037600.000000002</v>
      </c>
    </row>
    <row r="8" spans="1:7">
      <c r="A8" s="458" t="s">
        <v>551</v>
      </c>
      <c r="B8" s="499" t="s">
        <v>1405</v>
      </c>
      <c r="C8" s="500" t="s">
        <v>638</v>
      </c>
      <c r="D8" s="501">
        <v>5.7299843014128736E-2</v>
      </c>
      <c r="E8" s="460">
        <v>0.25028571428571433</v>
      </c>
      <c r="F8" s="502">
        <v>114.59968602825747</v>
      </c>
      <c r="G8" s="461">
        <v>1001.1428571428573</v>
      </c>
    </row>
    <row r="9" spans="1:7">
      <c r="A9" s="458" t="s">
        <v>161</v>
      </c>
      <c r="B9" s="499" t="s">
        <v>653</v>
      </c>
      <c r="C9" s="500" t="s">
        <v>638</v>
      </c>
      <c r="D9" s="501" t="s">
        <v>954</v>
      </c>
      <c r="E9" s="460" t="s">
        <v>954</v>
      </c>
      <c r="F9" s="502" t="s">
        <v>954</v>
      </c>
      <c r="G9" s="461" t="s">
        <v>954</v>
      </c>
    </row>
    <row r="10" spans="1:7">
      <c r="A10" s="462" t="s">
        <v>162</v>
      </c>
      <c r="B10" s="499" t="s">
        <v>653</v>
      </c>
      <c r="C10" s="500" t="s">
        <v>638</v>
      </c>
      <c r="D10" s="501" t="s">
        <v>954</v>
      </c>
      <c r="E10" s="460" t="s">
        <v>954</v>
      </c>
      <c r="F10" s="502" t="s">
        <v>954</v>
      </c>
      <c r="G10" s="461" t="s">
        <v>954</v>
      </c>
    </row>
    <row r="11" spans="1:7">
      <c r="A11" s="462" t="s">
        <v>94</v>
      </c>
      <c r="B11" s="499" t="s">
        <v>653</v>
      </c>
      <c r="C11" s="500" t="s">
        <v>638</v>
      </c>
      <c r="D11" s="501" t="s">
        <v>954</v>
      </c>
      <c r="E11" s="460" t="s">
        <v>954</v>
      </c>
      <c r="F11" s="502" t="s">
        <v>954</v>
      </c>
      <c r="G11" s="461" t="s">
        <v>954</v>
      </c>
    </row>
    <row r="12" spans="1:7">
      <c r="A12" s="458" t="s">
        <v>552</v>
      </c>
      <c r="B12" s="499" t="s">
        <v>651</v>
      </c>
      <c r="C12" s="500" t="s">
        <v>638</v>
      </c>
      <c r="D12" s="501">
        <v>229.42857142857142</v>
      </c>
      <c r="E12" s="460">
        <v>963.60000000000014</v>
      </c>
      <c r="F12" s="502">
        <v>458857.14285714284</v>
      </c>
      <c r="G12" s="461">
        <v>3854400.0000000005</v>
      </c>
    </row>
    <row r="13" spans="1:7">
      <c r="A13" s="458" t="s">
        <v>553</v>
      </c>
      <c r="B13" s="499" t="s">
        <v>653</v>
      </c>
      <c r="C13" s="500" t="s">
        <v>638</v>
      </c>
      <c r="D13" s="501" t="s">
        <v>954</v>
      </c>
      <c r="E13" s="460" t="s">
        <v>954</v>
      </c>
      <c r="F13" s="502" t="s">
        <v>954</v>
      </c>
      <c r="G13" s="461" t="s">
        <v>954</v>
      </c>
    </row>
    <row r="14" spans="1:7">
      <c r="A14" s="458" t="s">
        <v>686</v>
      </c>
      <c r="B14" s="499" t="s">
        <v>653</v>
      </c>
      <c r="C14" s="500" t="s">
        <v>638</v>
      </c>
      <c r="D14" s="501" t="s">
        <v>954</v>
      </c>
      <c r="E14" s="460" t="s">
        <v>954</v>
      </c>
      <c r="F14" s="502" t="s">
        <v>954</v>
      </c>
      <c r="G14" s="461" t="s">
        <v>954</v>
      </c>
    </row>
    <row r="15" spans="1:7">
      <c r="A15" s="458" t="s">
        <v>95</v>
      </c>
      <c r="B15" s="499" t="s">
        <v>653</v>
      </c>
      <c r="C15" s="500" t="s">
        <v>638</v>
      </c>
      <c r="D15" s="501" t="s">
        <v>954</v>
      </c>
      <c r="E15" s="460" t="s">
        <v>954</v>
      </c>
      <c r="F15" s="502" t="s">
        <v>954</v>
      </c>
      <c r="G15" s="461" t="s">
        <v>954</v>
      </c>
    </row>
    <row r="16" spans="1:7">
      <c r="A16" s="458" t="s">
        <v>687</v>
      </c>
      <c r="B16" s="499" t="s">
        <v>653</v>
      </c>
      <c r="C16" s="500" t="s">
        <v>638</v>
      </c>
      <c r="D16" s="501" t="s">
        <v>954</v>
      </c>
      <c r="E16" s="460" t="s">
        <v>954</v>
      </c>
      <c r="F16" s="502" t="s">
        <v>954</v>
      </c>
      <c r="G16" s="461" t="s">
        <v>954</v>
      </c>
    </row>
    <row r="17" spans="1:7">
      <c r="A17" s="458" t="s">
        <v>1156</v>
      </c>
      <c r="B17" s="499" t="s">
        <v>653</v>
      </c>
      <c r="C17" s="500" t="s">
        <v>638</v>
      </c>
      <c r="D17" s="501" t="s">
        <v>954</v>
      </c>
      <c r="E17" s="460" t="s">
        <v>954</v>
      </c>
      <c r="F17" s="502" t="s">
        <v>954</v>
      </c>
      <c r="G17" s="461" t="s">
        <v>954</v>
      </c>
    </row>
    <row r="18" spans="1:7">
      <c r="A18" s="458" t="s">
        <v>688</v>
      </c>
      <c r="B18" s="499" t="s">
        <v>651</v>
      </c>
      <c r="C18" s="500" t="s">
        <v>652</v>
      </c>
      <c r="D18" s="501">
        <v>0.35996055226824453</v>
      </c>
      <c r="E18" s="460">
        <v>1.5723076923076924</v>
      </c>
      <c r="F18" s="502">
        <v>719.921104536489</v>
      </c>
      <c r="G18" s="461">
        <v>6289.2307692307695</v>
      </c>
    </row>
    <row r="19" spans="1:7">
      <c r="A19" s="458" t="s">
        <v>689</v>
      </c>
      <c r="B19" s="499" t="s">
        <v>1405</v>
      </c>
      <c r="C19" s="500" t="s">
        <v>638</v>
      </c>
      <c r="D19" s="501">
        <v>0.16898148148148154</v>
      </c>
      <c r="E19" s="460">
        <v>2.0440000000000009</v>
      </c>
      <c r="F19" s="502">
        <v>337.96296296296305</v>
      </c>
      <c r="G19" s="461">
        <v>8176.0000000000036</v>
      </c>
    </row>
    <row r="20" spans="1:7">
      <c r="A20" s="458" t="s">
        <v>690</v>
      </c>
      <c r="B20" s="499" t="s">
        <v>653</v>
      </c>
      <c r="C20" s="500" t="s">
        <v>638</v>
      </c>
      <c r="D20" s="501" t="s">
        <v>954</v>
      </c>
      <c r="E20" s="460" t="s">
        <v>954</v>
      </c>
      <c r="F20" s="502" t="s">
        <v>954</v>
      </c>
      <c r="G20" s="461" t="s">
        <v>954</v>
      </c>
    </row>
    <row r="21" spans="1:7">
      <c r="A21" s="458" t="s">
        <v>691</v>
      </c>
      <c r="B21" s="499" t="s">
        <v>653</v>
      </c>
      <c r="C21" s="500" t="s">
        <v>638</v>
      </c>
      <c r="D21" s="501" t="s">
        <v>954</v>
      </c>
      <c r="E21" s="460" t="s">
        <v>954</v>
      </c>
      <c r="F21" s="502" t="s">
        <v>954</v>
      </c>
      <c r="G21" s="461" t="s">
        <v>954</v>
      </c>
    </row>
    <row r="22" spans="1:7">
      <c r="A22" s="458" t="s">
        <v>692</v>
      </c>
      <c r="B22" s="499" t="s">
        <v>653</v>
      </c>
      <c r="C22" s="500" t="s">
        <v>638</v>
      </c>
      <c r="D22" s="501" t="s">
        <v>954</v>
      </c>
      <c r="E22" s="460" t="s">
        <v>954</v>
      </c>
      <c r="F22" s="502" t="s">
        <v>954</v>
      </c>
      <c r="G22" s="461" t="s">
        <v>954</v>
      </c>
    </row>
    <row r="23" spans="1:7">
      <c r="A23" s="458" t="s">
        <v>693</v>
      </c>
      <c r="B23" s="499" t="s">
        <v>653</v>
      </c>
      <c r="C23" s="500" t="s">
        <v>638</v>
      </c>
      <c r="D23" s="501" t="s">
        <v>954</v>
      </c>
      <c r="E23" s="460" t="s">
        <v>954</v>
      </c>
      <c r="F23" s="502" t="s">
        <v>954</v>
      </c>
      <c r="G23" s="461" t="s">
        <v>954</v>
      </c>
    </row>
    <row r="24" spans="1:7">
      <c r="A24" s="458" t="s">
        <v>126</v>
      </c>
      <c r="B24" s="499" t="s">
        <v>653</v>
      </c>
      <c r="C24" s="500" t="s">
        <v>638</v>
      </c>
      <c r="D24" s="501" t="s">
        <v>954</v>
      </c>
      <c r="E24" s="460" t="s">
        <v>954</v>
      </c>
      <c r="F24" s="502" t="s">
        <v>954</v>
      </c>
      <c r="G24" s="461" t="s">
        <v>954</v>
      </c>
    </row>
    <row r="25" spans="1:7">
      <c r="A25" s="458" t="s">
        <v>233</v>
      </c>
      <c r="B25" s="499" t="s">
        <v>651</v>
      </c>
      <c r="C25" s="500" t="s">
        <v>638</v>
      </c>
      <c r="D25" s="501">
        <v>8.3428571428571435E-2</v>
      </c>
      <c r="E25" s="460">
        <v>0.3504000000000001</v>
      </c>
      <c r="F25" s="502">
        <v>166.85714285714286</v>
      </c>
      <c r="G25" s="461">
        <v>1401.6000000000004</v>
      </c>
    </row>
    <row r="26" spans="1:7">
      <c r="A26" s="458" t="s">
        <v>127</v>
      </c>
      <c r="B26" s="499" t="s">
        <v>651</v>
      </c>
      <c r="C26" s="500" t="s">
        <v>652</v>
      </c>
      <c r="D26" s="501">
        <v>8.5081585081585066E-3</v>
      </c>
      <c r="E26" s="460">
        <v>3.7163636363636364E-2</v>
      </c>
      <c r="F26" s="502">
        <v>17.016317016317014</v>
      </c>
      <c r="G26" s="461">
        <v>148.65454545454546</v>
      </c>
    </row>
    <row r="27" spans="1:7">
      <c r="A27" s="503" t="s">
        <v>1103</v>
      </c>
      <c r="B27" s="504" t="s">
        <v>651</v>
      </c>
      <c r="C27" s="500" t="s">
        <v>652</v>
      </c>
      <c r="D27" s="501">
        <v>0.28076923076923072</v>
      </c>
      <c r="E27" s="460">
        <v>1.2263999999999999</v>
      </c>
      <c r="F27" s="502">
        <v>561.53846153846143</v>
      </c>
      <c r="G27" s="461">
        <v>4905.5999999999995</v>
      </c>
    </row>
    <row r="28" spans="1:7">
      <c r="A28" s="458" t="s">
        <v>128</v>
      </c>
      <c r="B28" s="499" t="s">
        <v>653</v>
      </c>
      <c r="C28" s="500" t="s">
        <v>638</v>
      </c>
      <c r="D28" s="501" t="s">
        <v>954</v>
      </c>
      <c r="E28" s="460" t="s">
        <v>954</v>
      </c>
      <c r="F28" s="502" t="s">
        <v>954</v>
      </c>
      <c r="G28" s="461" t="s">
        <v>954</v>
      </c>
    </row>
    <row r="29" spans="1:7">
      <c r="A29" s="458" t="s">
        <v>129</v>
      </c>
      <c r="B29" s="499" t="s">
        <v>653</v>
      </c>
      <c r="C29" s="500" t="s">
        <v>638</v>
      </c>
      <c r="D29" s="501" t="s">
        <v>954</v>
      </c>
      <c r="E29" s="460" t="s">
        <v>954</v>
      </c>
      <c r="F29" s="502" t="s">
        <v>954</v>
      </c>
      <c r="G29" s="461" t="s">
        <v>954</v>
      </c>
    </row>
    <row r="30" spans="1:7">
      <c r="A30" s="458" t="s">
        <v>130</v>
      </c>
      <c r="B30" s="499" t="s">
        <v>651</v>
      </c>
      <c r="C30" s="500" t="s">
        <v>652</v>
      </c>
      <c r="D30" s="501">
        <v>7.5883575883575874E-2</v>
      </c>
      <c r="E30" s="460">
        <v>0.33145945945945948</v>
      </c>
      <c r="F30" s="502">
        <v>151.76715176715174</v>
      </c>
      <c r="G30" s="461">
        <v>1325.8378378378379</v>
      </c>
    </row>
    <row r="31" spans="1:7">
      <c r="A31" s="458" t="s">
        <v>131</v>
      </c>
      <c r="B31" s="499" t="s">
        <v>1405</v>
      </c>
      <c r="C31" s="500" t="s">
        <v>638</v>
      </c>
      <c r="D31" s="501">
        <v>2.5524475524475521</v>
      </c>
      <c r="E31" s="460">
        <v>11.14909090909091</v>
      </c>
      <c r="F31" s="502">
        <v>5104.8951048951039</v>
      </c>
      <c r="G31" s="461">
        <v>44596.36363636364</v>
      </c>
    </row>
    <row r="32" spans="1:7">
      <c r="A32" s="458" t="s">
        <v>132</v>
      </c>
      <c r="B32" s="499" t="s">
        <v>651</v>
      </c>
      <c r="C32" s="500" t="s">
        <v>21</v>
      </c>
      <c r="D32" s="501">
        <v>1.0428571428571429</v>
      </c>
      <c r="E32" s="460">
        <v>4.3800000000000008</v>
      </c>
      <c r="F32" s="502">
        <v>2085.7142857142858</v>
      </c>
      <c r="G32" s="461">
        <v>17520.000000000004</v>
      </c>
    </row>
    <row r="33" spans="1:7">
      <c r="A33" s="458" t="s">
        <v>133</v>
      </c>
      <c r="B33" s="499" t="s">
        <v>653</v>
      </c>
      <c r="C33" s="500" t="s">
        <v>638</v>
      </c>
      <c r="D33" s="501" t="s">
        <v>954</v>
      </c>
      <c r="E33" s="460" t="s">
        <v>954</v>
      </c>
      <c r="F33" s="502" t="s">
        <v>954</v>
      </c>
      <c r="G33" s="461" t="s">
        <v>954</v>
      </c>
    </row>
    <row r="34" spans="1:7">
      <c r="A34" s="458" t="s">
        <v>134</v>
      </c>
      <c r="B34" s="499" t="s">
        <v>651</v>
      </c>
      <c r="C34" s="500" t="s">
        <v>652</v>
      </c>
      <c r="D34" s="501">
        <v>0.46794871794871784</v>
      </c>
      <c r="E34" s="460">
        <v>2.044</v>
      </c>
      <c r="F34" s="502">
        <v>935.89743589743568</v>
      </c>
      <c r="G34" s="461">
        <v>8176</v>
      </c>
    </row>
    <row r="35" spans="1:7">
      <c r="A35" s="458" t="s">
        <v>614</v>
      </c>
      <c r="B35" s="499" t="s">
        <v>1405</v>
      </c>
      <c r="C35" s="500" t="s">
        <v>638</v>
      </c>
      <c r="D35" s="501">
        <v>0.28076923076923083</v>
      </c>
      <c r="E35" s="460">
        <v>1.2264000000000004</v>
      </c>
      <c r="F35" s="502">
        <v>561.53846153846166</v>
      </c>
      <c r="G35" s="461">
        <v>4905.6000000000013</v>
      </c>
    </row>
    <row r="36" spans="1:7">
      <c r="A36" s="458" t="s">
        <v>135</v>
      </c>
      <c r="B36" s="499" t="s">
        <v>653</v>
      </c>
      <c r="C36" s="500" t="s">
        <v>638</v>
      </c>
      <c r="D36" s="501" t="s">
        <v>954</v>
      </c>
      <c r="E36" s="460" t="s">
        <v>954</v>
      </c>
      <c r="F36" s="502" t="s">
        <v>954</v>
      </c>
      <c r="G36" s="461" t="s">
        <v>954</v>
      </c>
    </row>
    <row r="37" spans="1:7">
      <c r="A37" s="458" t="s">
        <v>136</v>
      </c>
      <c r="B37" s="499" t="s">
        <v>651</v>
      </c>
      <c r="C37" s="500" t="s">
        <v>652</v>
      </c>
      <c r="D37" s="501">
        <v>10.428571428571429</v>
      </c>
      <c r="E37" s="460">
        <v>43.800000000000004</v>
      </c>
      <c r="F37" s="502">
        <v>20857.142857142859</v>
      </c>
      <c r="G37" s="461">
        <v>175200</v>
      </c>
    </row>
    <row r="38" spans="1:7">
      <c r="A38" s="458" t="s">
        <v>781</v>
      </c>
      <c r="B38" s="499" t="s">
        <v>651</v>
      </c>
      <c r="C38" s="500" t="s">
        <v>21</v>
      </c>
      <c r="D38" s="501">
        <v>834.28571428571433</v>
      </c>
      <c r="E38" s="460">
        <v>3504.0000000000005</v>
      </c>
      <c r="F38" s="502">
        <v>1668571.4285714286</v>
      </c>
      <c r="G38" s="461">
        <v>14016000.000000002</v>
      </c>
    </row>
    <row r="39" spans="1:7" ht="12.75" customHeight="1">
      <c r="A39" s="464" t="s">
        <v>137</v>
      </c>
      <c r="B39" s="499" t="s">
        <v>651</v>
      </c>
      <c r="C39" s="500" t="s">
        <v>652</v>
      </c>
      <c r="D39" s="501">
        <v>0.1220735785953177</v>
      </c>
      <c r="E39" s="460">
        <v>0.53321739130434775</v>
      </c>
      <c r="F39" s="502">
        <v>244.1471571906354</v>
      </c>
      <c r="G39" s="461">
        <v>2132.869565217391</v>
      </c>
    </row>
    <row r="40" spans="1:7" ht="12.75" customHeight="1">
      <c r="A40" s="458" t="s">
        <v>782</v>
      </c>
      <c r="B40" s="499" t="s">
        <v>651</v>
      </c>
      <c r="C40" s="500" t="s">
        <v>21</v>
      </c>
      <c r="D40" s="501">
        <v>18.771428571428572</v>
      </c>
      <c r="E40" s="460">
        <v>78.84</v>
      </c>
      <c r="F40" s="502">
        <v>37542.857142857145</v>
      </c>
      <c r="G40" s="461">
        <v>315360</v>
      </c>
    </row>
    <row r="41" spans="1:7" ht="12.75" customHeight="1">
      <c r="A41" s="458" t="s">
        <v>138</v>
      </c>
      <c r="B41" s="499" t="s">
        <v>651</v>
      </c>
      <c r="C41" s="500" t="s">
        <v>652</v>
      </c>
      <c r="D41" s="501">
        <v>3.65</v>
      </c>
      <c r="E41" s="460">
        <v>15.330000000000004</v>
      </c>
      <c r="F41" s="502">
        <v>7300</v>
      </c>
      <c r="G41" s="461">
        <v>61320.000000000015</v>
      </c>
    </row>
    <row r="42" spans="1:7" ht="12.75" customHeight="1">
      <c r="A42" s="458" t="s">
        <v>612</v>
      </c>
      <c r="B42" s="499" t="s">
        <v>653</v>
      </c>
      <c r="C42" s="500" t="s">
        <v>638</v>
      </c>
      <c r="D42" s="501" t="s">
        <v>954</v>
      </c>
      <c r="E42" s="460" t="s">
        <v>954</v>
      </c>
      <c r="F42" s="502" t="s">
        <v>954</v>
      </c>
      <c r="G42" s="461" t="s">
        <v>954</v>
      </c>
    </row>
    <row r="43" spans="1:7" ht="12.75" customHeight="1">
      <c r="A43" s="458" t="s">
        <v>779</v>
      </c>
      <c r="B43" s="499" t="s">
        <v>653</v>
      </c>
      <c r="C43" s="500" t="s">
        <v>638</v>
      </c>
      <c r="D43" s="501" t="s">
        <v>954</v>
      </c>
      <c r="E43" s="460" t="s">
        <v>954</v>
      </c>
      <c r="F43" s="502" t="s">
        <v>954</v>
      </c>
      <c r="G43" s="461" t="s">
        <v>954</v>
      </c>
    </row>
    <row r="44" spans="1:7" ht="12.75" customHeight="1">
      <c r="A44" s="458" t="s">
        <v>780</v>
      </c>
      <c r="B44" s="499" t="s">
        <v>653</v>
      </c>
      <c r="C44" s="500" t="s">
        <v>638</v>
      </c>
      <c r="D44" s="501" t="s">
        <v>954</v>
      </c>
      <c r="E44" s="460" t="s">
        <v>954</v>
      </c>
      <c r="F44" s="502" t="s">
        <v>954</v>
      </c>
      <c r="G44" s="461" t="s">
        <v>954</v>
      </c>
    </row>
    <row r="45" spans="1:7" ht="12.75" customHeight="1">
      <c r="A45" s="458" t="s">
        <v>139</v>
      </c>
      <c r="B45" s="499" t="s">
        <v>653</v>
      </c>
      <c r="C45" s="500" t="s">
        <v>638</v>
      </c>
      <c r="D45" s="501" t="s">
        <v>954</v>
      </c>
      <c r="E45" s="460" t="s">
        <v>954</v>
      </c>
      <c r="F45" s="502" t="s">
        <v>954</v>
      </c>
      <c r="G45" s="461" t="s">
        <v>954</v>
      </c>
    </row>
    <row r="46" spans="1:7" ht="12.75" customHeight="1">
      <c r="A46" s="458" t="s">
        <v>140</v>
      </c>
      <c r="B46" s="499" t="s">
        <v>653</v>
      </c>
      <c r="C46" s="500" t="s">
        <v>638</v>
      </c>
      <c r="D46" s="501" t="s">
        <v>954</v>
      </c>
      <c r="E46" s="460" t="s">
        <v>954</v>
      </c>
      <c r="F46" s="502" t="s">
        <v>954</v>
      </c>
      <c r="G46" s="461" t="s">
        <v>954</v>
      </c>
    </row>
    <row r="47" spans="1:7" ht="12.75" customHeight="1">
      <c r="A47" s="458" t="s">
        <v>141</v>
      </c>
      <c r="B47" s="499" t="s">
        <v>653</v>
      </c>
      <c r="C47" s="500" t="s">
        <v>638</v>
      </c>
      <c r="D47" s="501" t="s">
        <v>954</v>
      </c>
      <c r="E47" s="460" t="s">
        <v>954</v>
      </c>
      <c r="F47" s="502" t="s">
        <v>954</v>
      </c>
      <c r="G47" s="461" t="s">
        <v>954</v>
      </c>
    </row>
    <row r="48" spans="1:7" ht="12.75" customHeight="1">
      <c r="A48" s="458" t="s">
        <v>142</v>
      </c>
      <c r="B48" s="499" t="s">
        <v>651</v>
      </c>
      <c r="C48" s="500" t="s">
        <v>638</v>
      </c>
      <c r="D48" s="501">
        <v>0.16685714285714287</v>
      </c>
      <c r="E48" s="460">
        <v>0.7008000000000002</v>
      </c>
      <c r="F48" s="502">
        <v>333.71428571428572</v>
      </c>
      <c r="G48" s="461">
        <v>2803.2000000000007</v>
      </c>
    </row>
    <row r="49" spans="1:7" ht="12.75" customHeight="1">
      <c r="A49" s="462" t="s">
        <v>96</v>
      </c>
      <c r="B49" s="499" t="s">
        <v>653</v>
      </c>
      <c r="C49" s="500" t="s">
        <v>638</v>
      </c>
      <c r="D49" s="501" t="s">
        <v>954</v>
      </c>
      <c r="E49" s="460" t="s">
        <v>954</v>
      </c>
      <c r="F49" s="502" t="s">
        <v>954</v>
      </c>
      <c r="G49" s="461" t="s">
        <v>954</v>
      </c>
    </row>
    <row r="50" spans="1:7" ht="12.75" customHeight="1">
      <c r="A50" s="458" t="s">
        <v>97</v>
      </c>
      <c r="B50" s="499" t="s">
        <v>653</v>
      </c>
      <c r="C50" s="500" t="s">
        <v>652</v>
      </c>
      <c r="D50" s="501" t="s">
        <v>954</v>
      </c>
      <c r="E50" s="460" t="s">
        <v>954</v>
      </c>
      <c r="F50" s="502" t="s">
        <v>954</v>
      </c>
      <c r="G50" s="461" t="s">
        <v>954</v>
      </c>
    </row>
    <row r="51" spans="1:7" ht="12.75" customHeight="1">
      <c r="A51" s="458" t="s">
        <v>143</v>
      </c>
      <c r="B51" s="499" t="s">
        <v>653</v>
      </c>
      <c r="C51" s="500" t="s">
        <v>638</v>
      </c>
      <c r="D51" s="501" t="s">
        <v>954</v>
      </c>
      <c r="E51" s="460" t="s">
        <v>954</v>
      </c>
      <c r="F51" s="502" t="s">
        <v>954</v>
      </c>
      <c r="G51" s="461" t="s">
        <v>954</v>
      </c>
    </row>
    <row r="52" spans="1:7" ht="12.75" customHeight="1">
      <c r="A52" s="458" t="s">
        <v>381</v>
      </c>
      <c r="B52" s="499" t="s">
        <v>651</v>
      </c>
      <c r="C52" s="500" t="s">
        <v>652</v>
      </c>
      <c r="D52" s="501">
        <v>1.6898148148148143E-4</v>
      </c>
      <c r="E52" s="460">
        <v>2.0439999999999998E-3</v>
      </c>
      <c r="F52" s="502">
        <v>0.33796296296296285</v>
      </c>
      <c r="G52" s="461">
        <v>8.1759999999999984</v>
      </c>
    </row>
    <row r="53" spans="1:7" ht="12.75" customHeight="1">
      <c r="A53" s="458" t="s">
        <v>144</v>
      </c>
      <c r="B53" s="499" t="s">
        <v>651</v>
      </c>
      <c r="C53" s="500" t="s">
        <v>638</v>
      </c>
      <c r="D53" s="501">
        <v>14.6</v>
      </c>
      <c r="E53" s="460">
        <v>61.320000000000014</v>
      </c>
      <c r="F53" s="502">
        <v>29200</v>
      </c>
      <c r="G53" s="461">
        <v>245280.00000000006</v>
      </c>
    </row>
    <row r="54" spans="1:7" ht="12.75" customHeight="1">
      <c r="A54" s="458" t="s">
        <v>487</v>
      </c>
      <c r="B54" s="499" t="s">
        <v>651</v>
      </c>
      <c r="C54" s="500" t="s">
        <v>638</v>
      </c>
      <c r="D54" s="501">
        <v>4.679487179487179E-3</v>
      </c>
      <c r="E54" s="460">
        <v>2.044E-2</v>
      </c>
      <c r="F54" s="502">
        <v>9.3589743589743577</v>
      </c>
      <c r="G54" s="461">
        <v>81.759999999999991</v>
      </c>
    </row>
    <row r="55" spans="1:7" ht="12.75" customHeight="1">
      <c r="A55" s="458" t="s">
        <v>145</v>
      </c>
      <c r="B55" s="499" t="s">
        <v>651</v>
      </c>
      <c r="C55" s="500" t="s">
        <v>652</v>
      </c>
      <c r="D55" s="501">
        <v>41.714285714285715</v>
      </c>
      <c r="E55" s="460">
        <v>175.20000000000002</v>
      </c>
      <c r="F55" s="502">
        <v>83428.571428571435</v>
      </c>
      <c r="G55" s="461">
        <v>700800</v>
      </c>
    </row>
    <row r="56" spans="1:7" ht="12.75" customHeight="1">
      <c r="A56" s="458" t="s">
        <v>225</v>
      </c>
      <c r="B56" s="499" t="s">
        <v>651</v>
      </c>
      <c r="C56" s="500" t="s">
        <v>652</v>
      </c>
      <c r="D56" s="501">
        <v>25.028571428571428</v>
      </c>
      <c r="E56" s="460">
        <v>105.12000000000002</v>
      </c>
      <c r="F56" s="502">
        <v>50057.142857142855</v>
      </c>
      <c r="G56" s="461">
        <v>420480.00000000006</v>
      </c>
    </row>
    <row r="57" spans="1:7" ht="12.75" customHeight="1">
      <c r="A57" s="458" t="s">
        <v>226</v>
      </c>
      <c r="B57" s="499" t="s">
        <v>651</v>
      </c>
      <c r="C57" s="500" t="s">
        <v>638</v>
      </c>
      <c r="D57" s="501">
        <v>0.25524475524475521</v>
      </c>
      <c r="E57" s="460">
        <v>1.1149090909090911</v>
      </c>
      <c r="F57" s="502">
        <v>510.48951048951039</v>
      </c>
      <c r="G57" s="461">
        <v>4459.636363636364</v>
      </c>
    </row>
    <row r="58" spans="1:7" ht="12.75" customHeight="1">
      <c r="A58" s="458" t="s">
        <v>227</v>
      </c>
      <c r="B58" s="499" t="s">
        <v>653</v>
      </c>
      <c r="C58" s="500" t="s">
        <v>638</v>
      </c>
      <c r="D58" s="501" t="s">
        <v>954</v>
      </c>
      <c r="E58" s="460" t="s">
        <v>954</v>
      </c>
      <c r="F58" s="502" t="s">
        <v>954</v>
      </c>
      <c r="G58" s="461" t="s">
        <v>954</v>
      </c>
    </row>
    <row r="59" spans="1:7" ht="12.75" customHeight="1">
      <c r="A59" s="458" t="s">
        <v>361</v>
      </c>
      <c r="B59" s="499" t="s">
        <v>653</v>
      </c>
      <c r="C59" s="500" t="s">
        <v>638</v>
      </c>
      <c r="D59" s="501" t="s">
        <v>954</v>
      </c>
      <c r="E59" s="460" t="s">
        <v>954</v>
      </c>
      <c r="F59" s="502" t="s">
        <v>954</v>
      </c>
      <c r="G59" s="461" t="s">
        <v>954</v>
      </c>
    </row>
    <row r="60" spans="1:7" ht="12.75" customHeight="1">
      <c r="A60" s="458" t="s">
        <v>362</v>
      </c>
      <c r="B60" s="499" t="s">
        <v>1405</v>
      </c>
      <c r="C60" s="500" t="s">
        <v>638</v>
      </c>
      <c r="D60" s="501">
        <v>2.8945281522601105E-2</v>
      </c>
      <c r="E60" s="460">
        <v>0.12643298969072164</v>
      </c>
      <c r="F60" s="502">
        <v>57.890563045202207</v>
      </c>
      <c r="G60" s="461">
        <v>505.73195876288656</v>
      </c>
    </row>
    <row r="61" spans="1:7" ht="12.75" customHeight="1">
      <c r="A61" s="458" t="s">
        <v>363</v>
      </c>
      <c r="B61" s="499" t="s">
        <v>653</v>
      </c>
      <c r="C61" s="500" t="s">
        <v>638</v>
      </c>
      <c r="D61" s="501" t="s">
        <v>954</v>
      </c>
      <c r="E61" s="460" t="s">
        <v>954</v>
      </c>
      <c r="F61" s="502" t="s">
        <v>954</v>
      </c>
      <c r="G61" s="461" t="s">
        <v>954</v>
      </c>
    </row>
    <row r="62" spans="1:7" ht="12.75" customHeight="1">
      <c r="A62" s="458" t="s">
        <v>234</v>
      </c>
      <c r="B62" s="499" t="s">
        <v>651</v>
      </c>
      <c r="C62" s="500" t="s">
        <v>652</v>
      </c>
      <c r="D62" s="501">
        <v>1.7548076923076921</v>
      </c>
      <c r="E62" s="460">
        <v>7.665</v>
      </c>
      <c r="F62" s="502">
        <v>3509.6153846153838</v>
      </c>
      <c r="G62" s="461">
        <v>30660</v>
      </c>
    </row>
    <row r="63" spans="1:7" ht="12.75" customHeight="1">
      <c r="A63" s="458" t="s">
        <v>235</v>
      </c>
      <c r="B63" s="499" t="s">
        <v>651</v>
      </c>
      <c r="C63" s="500" t="s">
        <v>652</v>
      </c>
      <c r="D63" s="501">
        <v>0.10798816568047337</v>
      </c>
      <c r="E63" s="460">
        <v>0.47169230769230774</v>
      </c>
      <c r="F63" s="502">
        <v>215.97633136094674</v>
      </c>
      <c r="G63" s="461">
        <v>1886.7692307692309</v>
      </c>
    </row>
    <row r="64" spans="1:7" ht="12.75" customHeight="1">
      <c r="A64" s="458" t="s">
        <v>294</v>
      </c>
      <c r="B64" s="499" t="s">
        <v>651</v>
      </c>
      <c r="C64" s="500" t="s">
        <v>652</v>
      </c>
      <c r="D64" s="501">
        <v>41.714285714285715</v>
      </c>
      <c r="E64" s="460">
        <v>175.20000000000002</v>
      </c>
      <c r="F64" s="502">
        <v>83428.571428571435</v>
      </c>
      <c r="G64" s="461">
        <v>700800</v>
      </c>
    </row>
    <row r="65" spans="1:7" ht="12.75" customHeight="1">
      <c r="A65" s="458" t="s">
        <v>295</v>
      </c>
      <c r="B65" s="499" t="s">
        <v>651</v>
      </c>
      <c r="C65" s="500" t="s">
        <v>652</v>
      </c>
      <c r="D65" s="501">
        <v>8.3428571428571434</v>
      </c>
      <c r="E65" s="460">
        <v>35.040000000000006</v>
      </c>
      <c r="F65" s="502">
        <v>16685.714285714286</v>
      </c>
      <c r="G65" s="461">
        <v>140160.00000000003</v>
      </c>
    </row>
    <row r="66" spans="1:7" ht="12.75" customHeight="1">
      <c r="A66" s="458" t="s">
        <v>228</v>
      </c>
      <c r="B66" s="499" t="s">
        <v>651</v>
      </c>
      <c r="C66" s="500" t="s">
        <v>652</v>
      </c>
      <c r="D66" s="501">
        <v>8.3428571428571434</v>
      </c>
      <c r="E66" s="460">
        <v>35.040000000000006</v>
      </c>
      <c r="F66" s="502">
        <v>16685.714285714286</v>
      </c>
      <c r="G66" s="461">
        <v>140160.00000000003</v>
      </c>
    </row>
    <row r="67" spans="1:7" ht="12.75" customHeight="1">
      <c r="A67" s="458" t="s">
        <v>942</v>
      </c>
      <c r="B67" s="499" t="s">
        <v>653</v>
      </c>
      <c r="C67" s="500" t="s">
        <v>638</v>
      </c>
      <c r="D67" s="501" t="s">
        <v>954</v>
      </c>
      <c r="E67" s="460" t="s">
        <v>954</v>
      </c>
      <c r="F67" s="502" t="s">
        <v>954</v>
      </c>
      <c r="G67" s="461" t="s">
        <v>954</v>
      </c>
    </row>
    <row r="68" spans="1:7" ht="12.75" customHeight="1">
      <c r="A68" s="458" t="s">
        <v>98</v>
      </c>
      <c r="B68" s="499" t="s">
        <v>653</v>
      </c>
      <c r="C68" s="500" t="s">
        <v>638</v>
      </c>
      <c r="D68" s="501" t="s">
        <v>954</v>
      </c>
      <c r="E68" s="460" t="s">
        <v>954</v>
      </c>
      <c r="F68" s="502" t="s">
        <v>954</v>
      </c>
      <c r="G68" s="461" t="s">
        <v>954</v>
      </c>
    </row>
    <row r="69" spans="1:7" ht="12.75" customHeight="1">
      <c r="A69" s="458" t="s">
        <v>943</v>
      </c>
      <c r="B69" s="499" t="s">
        <v>651</v>
      </c>
      <c r="C69" s="500" t="s">
        <v>652</v>
      </c>
      <c r="D69" s="501">
        <v>0.75883575883575871</v>
      </c>
      <c r="E69" s="460">
        <v>3.3145945945945945</v>
      </c>
      <c r="F69" s="502">
        <v>1517.6715176715174</v>
      </c>
      <c r="G69" s="461">
        <v>13258.378378378378</v>
      </c>
    </row>
    <row r="70" spans="1:7" ht="12.75" customHeight="1">
      <c r="A70" s="458" t="s">
        <v>296</v>
      </c>
      <c r="B70" s="499" t="s">
        <v>651</v>
      </c>
      <c r="C70" s="500" t="s">
        <v>652</v>
      </c>
      <c r="D70" s="501">
        <v>0.70192307692307676</v>
      </c>
      <c r="E70" s="460">
        <v>3.0660000000000003</v>
      </c>
      <c r="F70" s="502">
        <v>1403.8461538461536</v>
      </c>
      <c r="G70" s="461">
        <v>12264</v>
      </c>
    </row>
    <row r="71" spans="1:7" ht="12.75" customHeight="1">
      <c r="A71" s="458" t="s">
        <v>944</v>
      </c>
      <c r="B71" s="499" t="s">
        <v>653</v>
      </c>
      <c r="C71" s="500" t="s">
        <v>638</v>
      </c>
      <c r="D71" s="501" t="s">
        <v>954</v>
      </c>
      <c r="E71" s="460" t="s">
        <v>954</v>
      </c>
      <c r="F71" s="502" t="s">
        <v>954</v>
      </c>
      <c r="G71" s="461" t="s">
        <v>954</v>
      </c>
    </row>
    <row r="72" spans="1:7" ht="12.75" customHeight="1">
      <c r="A72" s="458" t="s">
        <v>945</v>
      </c>
      <c r="B72" s="499" t="s">
        <v>653</v>
      </c>
      <c r="C72" s="500" t="s">
        <v>638</v>
      </c>
      <c r="D72" s="501" t="s">
        <v>954</v>
      </c>
      <c r="E72" s="460" t="s">
        <v>954</v>
      </c>
      <c r="F72" s="502" t="s">
        <v>954</v>
      </c>
      <c r="G72" s="461" t="s">
        <v>954</v>
      </c>
    </row>
    <row r="73" spans="1:7" ht="12.75" customHeight="1">
      <c r="A73" s="458" t="s">
        <v>947</v>
      </c>
      <c r="B73" s="499" t="s">
        <v>653</v>
      </c>
      <c r="C73" s="500" t="s">
        <v>638</v>
      </c>
      <c r="D73" s="501" t="s">
        <v>954</v>
      </c>
      <c r="E73" s="460" t="s">
        <v>954</v>
      </c>
      <c r="F73" s="502" t="s">
        <v>954</v>
      </c>
      <c r="G73" s="461" t="s">
        <v>954</v>
      </c>
    </row>
    <row r="74" spans="1:7" ht="12.75" customHeight="1">
      <c r="A74" s="458" t="s">
        <v>946</v>
      </c>
      <c r="B74" s="499" t="s">
        <v>653</v>
      </c>
      <c r="C74" s="500" t="s">
        <v>638</v>
      </c>
      <c r="D74" s="501" t="s">
        <v>954</v>
      </c>
      <c r="E74" s="460" t="s">
        <v>954</v>
      </c>
      <c r="F74" s="502" t="s">
        <v>954</v>
      </c>
      <c r="G74" s="461" t="s">
        <v>954</v>
      </c>
    </row>
    <row r="75" spans="1:7" ht="12.75" customHeight="1">
      <c r="A75" s="462" t="s">
        <v>99</v>
      </c>
      <c r="B75" s="499" t="s">
        <v>653</v>
      </c>
      <c r="C75" s="500" t="s">
        <v>638</v>
      </c>
      <c r="D75" s="501" t="s">
        <v>954</v>
      </c>
      <c r="E75" s="460" t="s">
        <v>954</v>
      </c>
      <c r="F75" s="502" t="s">
        <v>954</v>
      </c>
      <c r="G75" s="461" t="s">
        <v>954</v>
      </c>
    </row>
    <row r="76" spans="1:7" ht="12.75" customHeight="1">
      <c r="A76" s="458" t="s">
        <v>297</v>
      </c>
      <c r="B76" s="499" t="s">
        <v>653</v>
      </c>
      <c r="C76" s="500" t="s">
        <v>638</v>
      </c>
      <c r="D76" s="501" t="s">
        <v>954</v>
      </c>
      <c r="E76" s="460" t="s">
        <v>954</v>
      </c>
      <c r="F76" s="502" t="s">
        <v>954</v>
      </c>
      <c r="G76" s="461" t="s">
        <v>954</v>
      </c>
    </row>
    <row r="77" spans="1:7" ht="12.75" customHeight="1">
      <c r="A77" s="462" t="s">
        <v>100</v>
      </c>
      <c r="B77" s="499" t="s">
        <v>653</v>
      </c>
      <c r="C77" s="500" t="s">
        <v>638</v>
      </c>
      <c r="D77" s="501" t="s">
        <v>954</v>
      </c>
      <c r="E77" s="460" t="s">
        <v>954</v>
      </c>
      <c r="F77" s="502" t="s">
        <v>954</v>
      </c>
      <c r="G77" s="461" t="s">
        <v>954</v>
      </c>
    </row>
    <row r="78" spans="1:7" ht="12.75" customHeight="1">
      <c r="A78" s="462" t="s">
        <v>101</v>
      </c>
      <c r="B78" s="499" t="s">
        <v>653</v>
      </c>
      <c r="C78" s="500" t="s">
        <v>638</v>
      </c>
      <c r="D78" s="501" t="s">
        <v>954</v>
      </c>
      <c r="E78" s="460" t="s">
        <v>954</v>
      </c>
      <c r="F78" s="502" t="s">
        <v>954</v>
      </c>
      <c r="G78" s="461" t="s">
        <v>954</v>
      </c>
    </row>
    <row r="79" spans="1:7" ht="12.75" customHeight="1">
      <c r="A79" s="458" t="s">
        <v>382</v>
      </c>
      <c r="B79" s="499" t="s">
        <v>651</v>
      </c>
      <c r="C79" s="500" t="s">
        <v>652</v>
      </c>
      <c r="D79" s="501">
        <v>0.56153846153846143</v>
      </c>
      <c r="E79" s="460">
        <v>2.4527999999999999</v>
      </c>
      <c r="F79" s="502">
        <v>1123.0769230769229</v>
      </c>
      <c r="G79" s="461">
        <v>9811.1999999999989</v>
      </c>
    </row>
    <row r="80" spans="1:7" ht="12.75" customHeight="1">
      <c r="A80" s="458" t="s">
        <v>594</v>
      </c>
      <c r="B80" s="499" t="s">
        <v>1405</v>
      </c>
      <c r="C80" s="500" t="s">
        <v>638</v>
      </c>
      <c r="D80" s="501">
        <v>7.3886639676113362E-6</v>
      </c>
      <c r="E80" s="460">
        <v>3.2273684210526324E-5</v>
      </c>
      <c r="F80" s="502">
        <v>1.4777327935222672E-2</v>
      </c>
      <c r="G80" s="461">
        <v>0.12909473684210529</v>
      </c>
    </row>
    <row r="81" spans="1:7" ht="12.75" customHeight="1">
      <c r="A81" s="458" t="s">
        <v>102</v>
      </c>
      <c r="B81" s="499" t="s">
        <v>653</v>
      </c>
      <c r="C81" s="500" t="s">
        <v>638</v>
      </c>
      <c r="D81" s="501" t="s">
        <v>954</v>
      </c>
      <c r="E81" s="460" t="s">
        <v>954</v>
      </c>
      <c r="F81" s="502" t="s">
        <v>954</v>
      </c>
      <c r="G81" s="461" t="s">
        <v>954</v>
      </c>
    </row>
    <row r="82" spans="1:7" ht="12.75" customHeight="1">
      <c r="A82" s="458" t="s">
        <v>370</v>
      </c>
      <c r="B82" s="499" t="s">
        <v>1405</v>
      </c>
      <c r="C82" s="500" t="s">
        <v>638</v>
      </c>
      <c r="D82" s="501" t="s">
        <v>954</v>
      </c>
      <c r="E82" s="460" t="s">
        <v>954</v>
      </c>
      <c r="F82" s="502" t="s">
        <v>954</v>
      </c>
      <c r="G82" s="461" t="s">
        <v>954</v>
      </c>
    </row>
    <row r="83" spans="1:7" ht="12.75" customHeight="1">
      <c r="A83" s="458" t="s">
        <v>337</v>
      </c>
      <c r="B83" s="499" t="s">
        <v>653</v>
      </c>
      <c r="C83" s="500" t="s">
        <v>638</v>
      </c>
      <c r="D83" s="501" t="s">
        <v>954</v>
      </c>
      <c r="E83" s="460" t="s">
        <v>954</v>
      </c>
      <c r="F83" s="502" t="s">
        <v>954</v>
      </c>
      <c r="G83" s="461" t="s">
        <v>954</v>
      </c>
    </row>
    <row r="84" spans="1:7" ht="12.75" customHeight="1">
      <c r="A84" s="458" t="s">
        <v>28</v>
      </c>
      <c r="B84" s="499" t="s">
        <v>651</v>
      </c>
      <c r="C84" s="500" t="s">
        <v>652</v>
      </c>
      <c r="D84" s="501" t="s">
        <v>954</v>
      </c>
      <c r="E84" s="460" t="s">
        <v>954</v>
      </c>
      <c r="F84" s="502" t="s">
        <v>954</v>
      </c>
      <c r="G84" s="461" t="s">
        <v>954</v>
      </c>
    </row>
    <row r="85" spans="1:7" ht="12.75" customHeight="1">
      <c r="A85" s="458" t="s">
        <v>338</v>
      </c>
      <c r="B85" s="499" t="s">
        <v>651</v>
      </c>
      <c r="C85" s="500" t="s">
        <v>652</v>
      </c>
      <c r="D85" s="501">
        <v>11.230769230769232</v>
      </c>
      <c r="E85" s="460">
        <v>49.056000000000012</v>
      </c>
      <c r="F85" s="502">
        <v>22461.538461538465</v>
      </c>
      <c r="G85" s="461">
        <v>196224.00000000003</v>
      </c>
    </row>
    <row r="86" spans="1:7" ht="12.75" customHeight="1">
      <c r="A86" s="458" t="s">
        <v>339</v>
      </c>
      <c r="B86" s="499" t="s">
        <v>653</v>
      </c>
      <c r="C86" s="500" t="s">
        <v>638</v>
      </c>
      <c r="D86" s="501" t="s">
        <v>954</v>
      </c>
      <c r="E86" s="460" t="s">
        <v>954</v>
      </c>
      <c r="F86" s="502" t="s">
        <v>954</v>
      </c>
      <c r="G86" s="461" t="s">
        <v>954</v>
      </c>
    </row>
    <row r="87" spans="1:7" ht="12.75" customHeight="1">
      <c r="A87" s="458" t="s">
        <v>340</v>
      </c>
      <c r="B87" s="499" t="s">
        <v>651</v>
      </c>
      <c r="C87" s="500" t="s">
        <v>638</v>
      </c>
      <c r="D87" s="501">
        <v>29.2</v>
      </c>
      <c r="E87" s="460">
        <v>122.64000000000003</v>
      </c>
      <c r="F87" s="502">
        <v>58400</v>
      </c>
      <c r="G87" s="461">
        <v>490560.00000000012</v>
      </c>
    </row>
    <row r="88" spans="1:7" ht="12.75" customHeight="1">
      <c r="A88" s="458" t="s">
        <v>103</v>
      </c>
      <c r="B88" s="499" t="s">
        <v>653</v>
      </c>
      <c r="C88" s="500" t="s">
        <v>638</v>
      </c>
      <c r="D88" s="501" t="s">
        <v>954</v>
      </c>
      <c r="E88" s="460" t="s">
        <v>954</v>
      </c>
      <c r="F88" s="502" t="s">
        <v>954</v>
      </c>
      <c r="G88" s="461" t="s">
        <v>954</v>
      </c>
    </row>
    <row r="89" spans="1:7" ht="12.75" customHeight="1">
      <c r="A89" s="458" t="s">
        <v>341</v>
      </c>
      <c r="B89" s="499" t="s">
        <v>1405</v>
      </c>
      <c r="C89" s="500" t="s">
        <v>638</v>
      </c>
      <c r="D89" s="501">
        <v>2.1597633136094679E-2</v>
      </c>
      <c r="E89" s="460">
        <v>9.4338461538461593E-2</v>
      </c>
      <c r="F89" s="502">
        <v>43.195266272189357</v>
      </c>
      <c r="G89" s="461">
        <v>377.35384615384635</v>
      </c>
    </row>
    <row r="90" spans="1:7" ht="12.75" customHeight="1">
      <c r="A90" s="458" t="s">
        <v>342</v>
      </c>
      <c r="B90" s="499" t="s">
        <v>1405</v>
      </c>
      <c r="C90" s="500" t="s">
        <v>638</v>
      </c>
      <c r="D90" s="501">
        <v>1.0798816568047339E-2</v>
      </c>
      <c r="E90" s="460">
        <v>4.7169230769230797E-2</v>
      </c>
      <c r="F90" s="502">
        <v>21.597633136094679</v>
      </c>
      <c r="G90" s="461">
        <v>188.67692307692317</v>
      </c>
    </row>
    <row r="91" spans="1:7" ht="12.75" customHeight="1">
      <c r="A91" s="458" t="s">
        <v>371</v>
      </c>
      <c r="B91" s="499" t="s">
        <v>1405</v>
      </c>
      <c r="C91" s="500" t="s">
        <v>638</v>
      </c>
      <c r="D91" s="501">
        <v>6.1036789297658853E-3</v>
      </c>
      <c r="E91" s="460">
        <v>2.666086956521739E-2</v>
      </c>
      <c r="F91" s="502">
        <v>12.20735785953177</v>
      </c>
      <c r="G91" s="461">
        <v>106.64347826086956</v>
      </c>
    </row>
    <row r="92" spans="1:7" ht="12.75" customHeight="1">
      <c r="A92" s="458" t="s">
        <v>343</v>
      </c>
      <c r="B92" s="499" t="s">
        <v>1405</v>
      </c>
      <c r="C92" s="500" t="s">
        <v>638</v>
      </c>
      <c r="D92" s="501">
        <v>0.1276223776223776</v>
      </c>
      <c r="E92" s="460">
        <v>0.55745454545454554</v>
      </c>
      <c r="F92" s="502">
        <v>255.2447552447552</v>
      </c>
      <c r="G92" s="461">
        <v>2229.818181818182</v>
      </c>
    </row>
    <row r="93" spans="1:7" ht="12.75" customHeight="1">
      <c r="A93" s="458" t="s">
        <v>364</v>
      </c>
      <c r="B93" s="499" t="s">
        <v>653</v>
      </c>
      <c r="C93" s="500" t="s">
        <v>638</v>
      </c>
      <c r="D93" s="501" t="s">
        <v>954</v>
      </c>
      <c r="E93" s="460" t="s">
        <v>954</v>
      </c>
      <c r="F93" s="502" t="s">
        <v>954</v>
      </c>
      <c r="G93" s="461" t="s">
        <v>954</v>
      </c>
    </row>
    <row r="94" spans="1:7" ht="12.75" customHeight="1">
      <c r="A94" s="458" t="s">
        <v>344</v>
      </c>
      <c r="B94" s="499" t="s">
        <v>1405</v>
      </c>
      <c r="C94" s="500" t="s">
        <v>638</v>
      </c>
      <c r="D94" s="501">
        <v>0.25524475524475521</v>
      </c>
      <c r="E94" s="460">
        <v>1.1149090909090911</v>
      </c>
      <c r="F94" s="502">
        <v>510.48951048951039</v>
      </c>
      <c r="G94" s="461">
        <v>4459.636363636364</v>
      </c>
    </row>
    <row r="95" spans="1:7" ht="12.75" customHeight="1">
      <c r="A95" s="458" t="s">
        <v>104</v>
      </c>
      <c r="B95" s="499" t="s">
        <v>653</v>
      </c>
      <c r="C95" s="500" t="s">
        <v>638</v>
      </c>
      <c r="D95" s="501" t="s">
        <v>954</v>
      </c>
      <c r="E95" s="460" t="s">
        <v>954</v>
      </c>
      <c r="F95" s="502" t="s">
        <v>954</v>
      </c>
      <c r="G95" s="461" t="s">
        <v>954</v>
      </c>
    </row>
    <row r="96" spans="1:7" ht="12.75" customHeight="1">
      <c r="A96" s="458" t="s">
        <v>345</v>
      </c>
      <c r="B96" s="499" t="s">
        <v>653</v>
      </c>
      <c r="C96" s="500" t="s">
        <v>638</v>
      </c>
      <c r="D96" s="501" t="s">
        <v>954</v>
      </c>
      <c r="E96" s="460" t="s">
        <v>954</v>
      </c>
      <c r="F96" s="502" t="s">
        <v>954</v>
      </c>
      <c r="G96" s="461" t="s">
        <v>954</v>
      </c>
    </row>
    <row r="97" spans="1:7" ht="12.75" customHeight="1">
      <c r="A97" s="458" t="s">
        <v>105</v>
      </c>
      <c r="B97" s="499" t="s">
        <v>653</v>
      </c>
      <c r="C97" s="500" t="s">
        <v>652</v>
      </c>
      <c r="D97" s="501" t="s">
        <v>954</v>
      </c>
      <c r="E97" s="460" t="s">
        <v>954</v>
      </c>
      <c r="F97" s="502" t="s">
        <v>954</v>
      </c>
      <c r="G97" s="461" t="s">
        <v>954</v>
      </c>
    </row>
    <row r="98" spans="1:7" ht="12.75" customHeight="1">
      <c r="A98" s="458" t="s">
        <v>346</v>
      </c>
      <c r="B98" s="499" t="s">
        <v>653</v>
      </c>
      <c r="C98" s="500" t="s">
        <v>638</v>
      </c>
      <c r="D98" s="501" t="s">
        <v>954</v>
      </c>
      <c r="E98" s="460" t="s">
        <v>954</v>
      </c>
      <c r="F98" s="502" t="s">
        <v>954</v>
      </c>
      <c r="G98" s="461" t="s">
        <v>954</v>
      </c>
    </row>
    <row r="99" spans="1:7" ht="12.75" customHeight="1">
      <c r="A99" s="458" t="s">
        <v>347</v>
      </c>
      <c r="B99" s="499" t="s">
        <v>653</v>
      </c>
      <c r="C99" s="500" t="s">
        <v>638</v>
      </c>
      <c r="D99" s="501" t="s">
        <v>954</v>
      </c>
      <c r="E99" s="460" t="s">
        <v>954</v>
      </c>
      <c r="F99" s="502" t="s">
        <v>954</v>
      </c>
      <c r="G99" s="461" t="s">
        <v>954</v>
      </c>
    </row>
    <row r="100" spans="1:7" ht="12.75" customHeight="1">
      <c r="A100" s="458" t="s">
        <v>348</v>
      </c>
      <c r="B100" s="499" t="s">
        <v>653</v>
      </c>
      <c r="C100" s="500" t="s">
        <v>638</v>
      </c>
      <c r="D100" s="501" t="s">
        <v>954</v>
      </c>
      <c r="E100" s="460" t="s">
        <v>954</v>
      </c>
      <c r="F100" s="502" t="s">
        <v>954</v>
      </c>
      <c r="G100" s="461" t="s">
        <v>954</v>
      </c>
    </row>
    <row r="101" spans="1:7" ht="12.75" customHeight="1">
      <c r="A101" s="458" t="s">
        <v>350</v>
      </c>
      <c r="B101" s="499" t="s">
        <v>651</v>
      </c>
      <c r="C101" s="500" t="s">
        <v>652</v>
      </c>
      <c r="D101" s="501">
        <v>1042.8571428571429</v>
      </c>
      <c r="E101" s="460">
        <v>4380</v>
      </c>
      <c r="F101" s="502">
        <v>2085714.2857142857</v>
      </c>
      <c r="G101" s="461">
        <v>17520000</v>
      </c>
    </row>
    <row r="102" spans="1:7" ht="12.75" customHeight="1">
      <c r="A102" s="458" t="s">
        <v>351</v>
      </c>
      <c r="B102" s="499" t="s">
        <v>651</v>
      </c>
      <c r="C102" s="500" t="s">
        <v>652</v>
      </c>
      <c r="D102" s="501">
        <v>625.71428571428567</v>
      </c>
      <c r="E102" s="460">
        <v>2628.0000000000005</v>
      </c>
      <c r="F102" s="502">
        <v>1251428.5714285714</v>
      </c>
      <c r="G102" s="461">
        <v>10512000.000000002</v>
      </c>
    </row>
    <row r="103" spans="1:7" ht="12.75" customHeight="1">
      <c r="A103" s="458" t="s">
        <v>352</v>
      </c>
      <c r="B103" s="499" t="s">
        <v>653</v>
      </c>
      <c r="C103" s="500" t="s">
        <v>638</v>
      </c>
      <c r="D103" s="501" t="s">
        <v>954</v>
      </c>
      <c r="E103" s="460" t="s">
        <v>954</v>
      </c>
      <c r="F103" s="502" t="s">
        <v>954</v>
      </c>
      <c r="G103" s="461" t="s">
        <v>954</v>
      </c>
    </row>
    <row r="104" spans="1:7" ht="12.75" customHeight="1">
      <c r="A104" s="458" t="s">
        <v>353</v>
      </c>
      <c r="B104" s="499" t="s">
        <v>651</v>
      </c>
      <c r="C104" s="500" t="s">
        <v>652</v>
      </c>
      <c r="D104" s="501">
        <v>10.798816568047336</v>
      </c>
      <c r="E104" s="460">
        <v>47.169230769230772</v>
      </c>
      <c r="F104" s="502">
        <v>21597.633136094671</v>
      </c>
      <c r="G104" s="461">
        <v>188676.92307692309</v>
      </c>
    </row>
    <row r="105" spans="1:7" ht="12.75" customHeight="1">
      <c r="A105" s="458" t="s">
        <v>349</v>
      </c>
      <c r="B105" s="499" t="s">
        <v>651</v>
      </c>
      <c r="C105" s="500" t="s">
        <v>652</v>
      </c>
      <c r="D105" s="501">
        <v>101.38888888888887</v>
      </c>
      <c r="E105" s="460">
        <v>525.6</v>
      </c>
      <c r="F105" s="502">
        <v>202777.77777777775</v>
      </c>
      <c r="G105" s="461">
        <v>2102400</v>
      </c>
    </row>
    <row r="106" spans="1:7" ht="12.75" customHeight="1">
      <c r="A106" s="458" t="s">
        <v>590</v>
      </c>
      <c r="B106" s="499" t="s">
        <v>651</v>
      </c>
      <c r="C106" s="500" t="s">
        <v>638</v>
      </c>
      <c r="D106" s="501">
        <v>51.100000000000009</v>
      </c>
      <c r="E106" s="460">
        <v>214.62000000000006</v>
      </c>
      <c r="F106" s="502">
        <v>102200.00000000001</v>
      </c>
      <c r="G106" s="461">
        <v>858480.00000000023</v>
      </c>
    </row>
    <row r="107" spans="1:7" ht="12.75" customHeight="1">
      <c r="A107" s="458" t="s">
        <v>591</v>
      </c>
      <c r="B107" s="499" t="s">
        <v>651</v>
      </c>
      <c r="C107" s="500" t="s">
        <v>638</v>
      </c>
      <c r="D107" s="501">
        <v>2.92</v>
      </c>
      <c r="E107" s="460">
        <v>12.264000000000003</v>
      </c>
      <c r="F107" s="502">
        <v>5840</v>
      </c>
      <c r="G107" s="461">
        <v>49056.000000000007</v>
      </c>
    </row>
    <row r="108" spans="1:7" ht="12.75" customHeight="1">
      <c r="A108" s="458" t="s">
        <v>465</v>
      </c>
      <c r="B108" s="499" t="s">
        <v>653</v>
      </c>
      <c r="C108" s="500" t="s">
        <v>638</v>
      </c>
      <c r="D108" s="501" t="s">
        <v>954</v>
      </c>
      <c r="E108" s="460" t="s">
        <v>954</v>
      </c>
      <c r="F108" s="502" t="s">
        <v>954</v>
      </c>
      <c r="G108" s="461" t="s">
        <v>954</v>
      </c>
    </row>
    <row r="109" spans="1:7" ht="12.75" customHeight="1">
      <c r="A109" s="458" t="s">
        <v>466</v>
      </c>
      <c r="B109" s="499" t="s">
        <v>651</v>
      </c>
      <c r="C109" s="500" t="s">
        <v>638</v>
      </c>
      <c r="D109" s="501">
        <v>0.62571428571428567</v>
      </c>
      <c r="E109" s="460">
        <v>2.6280000000000006</v>
      </c>
      <c r="F109" s="502">
        <v>1251.4285714285713</v>
      </c>
      <c r="G109" s="461">
        <v>10512.000000000002</v>
      </c>
    </row>
    <row r="110" spans="1:7" ht="12.75" customHeight="1">
      <c r="A110" s="458" t="s">
        <v>812</v>
      </c>
      <c r="B110" s="499" t="s">
        <v>653</v>
      </c>
      <c r="C110" s="500" t="s">
        <v>638</v>
      </c>
      <c r="D110" s="501" t="s">
        <v>954</v>
      </c>
      <c r="E110" s="460" t="s">
        <v>954</v>
      </c>
      <c r="F110" s="502" t="s">
        <v>954</v>
      </c>
      <c r="G110" s="461" t="s">
        <v>954</v>
      </c>
    </row>
    <row r="111" spans="1:7" ht="12.75" customHeight="1">
      <c r="A111" s="462" t="s">
        <v>106</v>
      </c>
      <c r="B111" s="499" t="s">
        <v>651</v>
      </c>
      <c r="C111" s="500" t="s">
        <v>652</v>
      </c>
      <c r="D111" s="501">
        <v>7.0192307692307679E-2</v>
      </c>
      <c r="E111" s="460">
        <v>0.30659999999999998</v>
      </c>
      <c r="F111" s="502">
        <v>140.38461538461536</v>
      </c>
      <c r="G111" s="461">
        <v>1226.3999999999999</v>
      </c>
    </row>
    <row r="112" spans="1:7" ht="12.75" customHeight="1">
      <c r="A112" s="462" t="s">
        <v>107</v>
      </c>
      <c r="B112" s="499" t="s">
        <v>653</v>
      </c>
      <c r="C112" s="500" t="s">
        <v>652</v>
      </c>
      <c r="D112" s="501" t="s">
        <v>954</v>
      </c>
      <c r="E112" s="460" t="s">
        <v>954</v>
      </c>
      <c r="F112" s="502" t="s">
        <v>954</v>
      </c>
      <c r="G112" s="461" t="s">
        <v>954</v>
      </c>
    </row>
    <row r="113" spans="1:7" ht="12.75" customHeight="1">
      <c r="A113" s="462" t="s">
        <v>108</v>
      </c>
      <c r="B113" s="499" t="s">
        <v>651</v>
      </c>
      <c r="C113" s="500" t="s">
        <v>638</v>
      </c>
      <c r="D113" s="501">
        <v>0.65700000000000003</v>
      </c>
      <c r="E113" s="460">
        <v>2.7594000000000003</v>
      </c>
      <c r="F113" s="502">
        <v>1314</v>
      </c>
      <c r="G113" s="461">
        <v>11037.6</v>
      </c>
    </row>
    <row r="114" spans="1:7" ht="12.75" customHeight="1">
      <c r="A114" s="462" t="s">
        <v>109</v>
      </c>
      <c r="B114" s="499" t="s">
        <v>653</v>
      </c>
      <c r="C114" s="500" t="s">
        <v>638</v>
      </c>
      <c r="D114" s="501" t="s">
        <v>954</v>
      </c>
      <c r="E114" s="460" t="s">
        <v>954</v>
      </c>
      <c r="F114" s="502" t="s">
        <v>954</v>
      </c>
      <c r="G114" s="461" t="s">
        <v>954</v>
      </c>
    </row>
    <row r="115" spans="1:7" ht="12.75" customHeight="1">
      <c r="A115" s="462" t="s">
        <v>110</v>
      </c>
      <c r="B115" s="499" t="s">
        <v>653</v>
      </c>
      <c r="C115" s="500" t="s">
        <v>638</v>
      </c>
      <c r="D115" s="501" t="s">
        <v>954</v>
      </c>
      <c r="E115" s="460" t="s">
        <v>954</v>
      </c>
      <c r="F115" s="502" t="s">
        <v>954</v>
      </c>
      <c r="G115" s="461" t="s">
        <v>954</v>
      </c>
    </row>
    <row r="116" spans="1:7" ht="12.75" customHeight="1">
      <c r="A116" s="458" t="s">
        <v>467</v>
      </c>
      <c r="B116" s="499" t="s">
        <v>653</v>
      </c>
      <c r="C116" s="500" t="s">
        <v>638</v>
      </c>
      <c r="D116" s="501" t="s">
        <v>954</v>
      </c>
      <c r="E116" s="460" t="s">
        <v>954</v>
      </c>
      <c r="F116" s="502" t="s">
        <v>954</v>
      </c>
      <c r="G116" s="461" t="s">
        <v>954</v>
      </c>
    </row>
    <row r="117" spans="1:7" ht="12.75" customHeight="1">
      <c r="A117" s="462" t="s">
        <v>111</v>
      </c>
      <c r="B117" s="499" t="s">
        <v>653</v>
      </c>
      <c r="C117" s="500" t="s">
        <v>638</v>
      </c>
      <c r="D117" s="501" t="s">
        <v>954</v>
      </c>
      <c r="E117" s="460" t="s">
        <v>954</v>
      </c>
      <c r="F117" s="502" t="s">
        <v>954</v>
      </c>
      <c r="G117" s="461" t="s">
        <v>954</v>
      </c>
    </row>
    <row r="118" spans="1:7" ht="12.75" customHeight="1">
      <c r="A118" s="458" t="s">
        <v>231</v>
      </c>
      <c r="B118" s="499" t="s">
        <v>653</v>
      </c>
      <c r="C118" s="500" t="s">
        <v>638</v>
      </c>
      <c r="D118" s="501" t="s">
        <v>954</v>
      </c>
      <c r="E118" s="460" t="s">
        <v>954</v>
      </c>
      <c r="F118" s="502" t="s">
        <v>954</v>
      </c>
      <c r="G118" s="461" t="s">
        <v>954</v>
      </c>
    </row>
    <row r="119" spans="1:7" ht="12.75" customHeight="1">
      <c r="A119" s="458" t="s">
        <v>468</v>
      </c>
      <c r="B119" s="499" t="s">
        <v>651</v>
      </c>
      <c r="C119" s="500" t="s">
        <v>638</v>
      </c>
      <c r="D119" s="501">
        <v>29.2</v>
      </c>
      <c r="E119" s="460">
        <v>122.64000000000003</v>
      </c>
      <c r="F119" s="502">
        <v>58400</v>
      </c>
      <c r="G119" s="461">
        <v>490560.00000000012</v>
      </c>
    </row>
    <row r="120" spans="1:7" ht="12.75" customHeight="1">
      <c r="A120" s="458" t="s">
        <v>469</v>
      </c>
      <c r="B120" s="499" t="s">
        <v>653</v>
      </c>
      <c r="C120" s="500" t="s">
        <v>638</v>
      </c>
      <c r="D120" s="501" t="s">
        <v>954</v>
      </c>
      <c r="E120" s="460" t="s">
        <v>954</v>
      </c>
      <c r="F120" s="502" t="s">
        <v>954</v>
      </c>
      <c r="G120" s="461" t="s">
        <v>954</v>
      </c>
    </row>
    <row r="121" spans="1:7" ht="12.75" customHeight="1">
      <c r="A121" s="458" t="s">
        <v>365</v>
      </c>
      <c r="B121" s="499" t="s">
        <v>1405</v>
      </c>
      <c r="C121" s="500" t="s">
        <v>638</v>
      </c>
      <c r="D121" s="501">
        <v>4.9257759784075594E-2</v>
      </c>
      <c r="E121" s="460">
        <v>0.21515789473684219</v>
      </c>
      <c r="F121" s="502">
        <v>98.515519568151191</v>
      </c>
      <c r="G121" s="461">
        <v>860.63157894736878</v>
      </c>
    </row>
    <row r="122" spans="1:7" ht="12.75" customHeight="1">
      <c r="A122" s="458" t="s">
        <v>112</v>
      </c>
      <c r="B122" s="499" t="s">
        <v>653</v>
      </c>
      <c r="C122" s="500" t="s">
        <v>652</v>
      </c>
      <c r="D122" s="501" t="s">
        <v>954</v>
      </c>
      <c r="E122" s="460" t="s">
        <v>954</v>
      </c>
      <c r="F122" s="502" t="s">
        <v>954</v>
      </c>
      <c r="G122" s="461" t="s">
        <v>954</v>
      </c>
    </row>
    <row r="123" spans="1:7" ht="12.75" customHeight="1">
      <c r="A123" s="458" t="s">
        <v>470</v>
      </c>
      <c r="B123" s="499" t="s">
        <v>651</v>
      </c>
      <c r="C123" s="500" t="s">
        <v>638</v>
      </c>
      <c r="D123" s="501">
        <v>21.9</v>
      </c>
      <c r="E123" s="460">
        <v>91.98</v>
      </c>
      <c r="F123" s="502">
        <v>43799.999999999993</v>
      </c>
      <c r="G123" s="461">
        <v>367920</v>
      </c>
    </row>
    <row r="124" spans="1:7" ht="12.75" customHeight="1">
      <c r="A124" s="458" t="s">
        <v>471</v>
      </c>
      <c r="B124" s="499" t="s">
        <v>653</v>
      </c>
      <c r="C124" s="500" t="s">
        <v>638</v>
      </c>
      <c r="D124" s="501" t="s">
        <v>954</v>
      </c>
      <c r="E124" s="460" t="s">
        <v>954</v>
      </c>
      <c r="F124" s="502" t="s">
        <v>954</v>
      </c>
      <c r="G124" s="461" t="s">
        <v>954</v>
      </c>
    </row>
    <row r="125" spans="1:7" ht="12.75" customHeight="1">
      <c r="A125" s="458" t="s">
        <v>813</v>
      </c>
      <c r="B125" s="499" t="s">
        <v>653</v>
      </c>
      <c r="C125" s="500" t="s">
        <v>638</v>
      </c>
      <c r="D125" s="501" t="s">
        <v>954</v>
      </c>
      <c r="E125" s="460" t="s">
        <v>954</v>
      </c>
      <c r="F125" s="502" t="s">
        <v>954</v>
      </c>
      <c r="G125" s="461" t="s">
        <v>954</v>
      </c>
    </row>
    <row r="126" spans="1:7" ht="12.75" customHeight="1">
      <c r="A126" s="458" t="s">
        <v>113</v>
      </c>
      <c r="B126" s="499" t="s">
        <v>653</v>
      </c>
      <c r="C126" s="500" t="s">
        <v>638</v>
      </c>
      <c r="D126" s="501" t="s">
        <v>954</v>
      </c>
      <c r="E126" s="460" t="s">
        <v>954</v>
      </c>
      <c r="F126" s="502" t="s">
        <v>954</v>
      </c>
      <c r="G126" s="461" t="s">
        <v>954</v>
      </c>
    </row>
    <row r="127" spans="1:7" ht="12.75" customHeight="1">
      <c r="A127" s="458" t="s">
        <v>472</v>
      </c>
      <c r="B127" s="499" t="s">
        <v>651</v>
      </c>
      <c r="C127" s="500" t="s">
        <v>652</v>
      </c>
      <c r="D127" s="501">
        <v>208.57142857142858</v>
      </c>
      <c r="E127" s="460">
        <v>876.00000000000011</v>
      </c>
      <c r="F127" s="502">
        <v>417142.85714285716</v>
      </c>
      <c r="G127" s="461">
        <v>3504000.0000000005</v>
      </c>
    </row>
    <row r="128" spans="1:7" ht="12.75" customHeight="1">
      <c r="A128" s="458" t="s">
        <v>114</v>
      </c>
      <c r="B128" s="499" t="s">
        <v>653</v>
      </c>
      <c r="C128" s="500" t="s">
        <v>638</v>
      </c>
      <c r="D128" s="501" t="s">
        <v>954</v>
      </c>
      <c r="E128" s="460" t="s">
        <v>954</v>
      </c>
      <c r="F128" s="502" t="s">
        <v>954</v>
      </c>
      <c r="G128" s="461" t="s">
        <v>954</v>
      </c>
    </row>
    <row r="129" spans="1:7" ht="12.75" customHeight="1">
      <c r="A129" s="458" t="s">
        <v>19</v>
      </c>
      <c r="B129" s="499" t="s">
        <v>651</v>
      </c>
      <c r="C129" s="500" t="s">
        <v>652</v>
      </c>
      <c r="D129" s="501">
        <v>1042.8571428571429</v>
      </c>
      <c r="E129" s="460">
        <v>4380</v>
      </c>
      <c r="F129" s="502">
        <v>2085714.2857142857</v>
      </c>
      <c r="G129" s="461">
        <v>17520000</v>
      </c>
    </row>
    <row r="130" spans="1:7" ht="12.75" customHeight="1">
      <c r="A130" s="458" t="s">
        <v>473</v>
      </c>
      <c r="B130" s="499" t="s">
        <v>651</v>
      </c>
      <c r="C130" s="500" t="s">
        <v>652</v>
      </c>
      <c r="D130" s="501">
        <v>0.37941787941787936</v>
      </c>
      <c r="E130" s="460">
        <v>1.6572972972972972</v>
      </c>
      <c r="F130" s="502">
        <v>758.83575883575872</v>
      </c>
      <c r="G130" s="461">
        <v>6629.1891891891892</v>
      </c>
    </row>
    <row r="131" spans="1:7" ht="12.75" customHeight="1">
      <c r="A131" s="458" t="s">
        <v>474</v>
      </c>
      <c r="B131" s="499" t="s">
        <v>651</v>
      </c>
      <c r="C131" s="500" t="s">
        <v>652</v>
      </c>
      <c r="D131" s="501">
        <v>4.8408488063660465E-2</v>
      </c>
      <c r="E131" s="460">
        <v>0.21144827586206896</v>
      </c>
      <c r="F131" s="502">
        <v>96.816976127320928</v>
      </c>
      <c r="G131" s="461">
        <v>845.79310344827582</v>
      </c>
    </row>
    <row r="132" spans="1:7" ht="12.75" customHeight="1">
      <c r="A132" s="458" t="s">
        <v>475</v>
      </c>
      <c r="B132" s="499" t="s">
        <v>651</v>
      </c>
      <c r="C132" s="500" t="s">
        <v>652</v>
      </c>
      <c r="D132" s="501">
        <v>0.46027742749054212</v>
      </c>
      <c r="E132" s="460">
        <v>2.0104918032786885</v>
      </c>
      <c r="F132" s="502">
        <v>920.55485498108419</v>
      </c>
      <c r="G132" s="461">
        <v>8041.9672131147536</v>
      </c>
    </row>
    <row r="133" spans="1:7" ht="12.75" customHeight="1">
      <c r="A133" s="458" t="s">
        <v>115</v>
      </c>
      <c r="B133" s="499" t="s">
        <v>653</v>
      </c>
      <c r="C133" s="500" t="s">
        <v>638</v>
      </c>
      <c r="D133" s="501" t="s">
        <v>954</v>
      </c>
      <c r="E133" s="460" t="s">
        <v>954</v>
      </c>
      <c r="F133" s="502" t="s">
        <v>954</v>
      </c>
      <c r="G133" s="461" t="s">
        <v>954</v>
      </c>
    </row>
    <row r="134" spans="1:7" ht="12.75" customHeight="1">
      <c r="A134" s="462" t="s">
        <v>116</v>
      </c>
      <c r="B134" s="499" t="s">
        <v>653</v>
      </c>
      <c r="C134" s="500" t="s">
        <v>638</v>
      </c>
      <c r="D134" s="501" t="s">
        <v>954</v>
      </c>
      <c r="E134" s="460" t="s">
        <v>954</v>
      </c>
      <c r="F134" s="502" t="s">
        <v>954</v>
      </c>
      <c r="G134" s="461" t="s">
        <v>954</v>
      </c>
    </row>
    <row r="135" spans="1:7" ht="12.75" customHeight="1">
      <c r="A135" s="458" t="s">
        <v>476</v>
      </c>
      <c r="B135" s="499" t="s">
        <v>653</v>
      </c>
      <c r="C135" s="500" t="s">
        <v>638</v>
      </c>
      <c r="D135" s="501" t="s">
        <v>954</v>
      </c>
      <c r="E135" s="460" t="s">
        <v>954</v>
      </c>
      <c r="F135" s="502" t="s">
        <v>954</v>
      </c>
      <c r="G135" s="461" t="s">
        <v>954</v>
      </c>
    </row>
    <row r="136" spans="1:7" ht="12.75" customHeight="1">
      <c r="A136" s="458" t="s">
        <v>366</v>
      </c>
      <c r="B136" s="499" t="s">
        <v>651</v>
      </c>
      <c r="C136" s="500" t="s">
        <v>652</v>
      </c>
      <c r="D136" s="501">
        <v>1042.8571428571429</v>
      </c>
      <c r="E136" s="460">
        <v>4380</v>
      </c>
      <c r="F136" s="502">
        <v>2085714.2857142857</v>
      </c>
      <c r="G136" s="461">
        <v>17520000</v>
      </c>
    </row>
    <row r="137" spans="1:7" ht="12.75" customHeight="1">
      <c r="A137" s="458" t="s">
        <v>20</v>
      </c>
      <c r="B137" s="499" t="s">
        <v>653</v>
      </c>
      <c r="C137" s="500" t="s">
        <v>638</v>
      </c>
      <c r="D137" s="501" t="s">
        <v>954</v>
      </c>
      <c r="E137" s="460" t="s">
        <v>954</v>
      </c>
      <c r="F137" s="502" t="s">
        <v>954</v>
      </c>
      <c r="G137" s="461" t="s">
        <v>954</v>
      </c>
    </row>
    <row r="138" spans="1:7" ht="12.75" customHeight="1">
      <c r="A138" s="458" t="s">
        <v>57</v>
      </c>
      <c r="B138" s="499" t="s">
        <v>651</v>
      </c>
      <c r="C138" s="500" t="s">
        <v>652</v>
      </c>
      <c r="D138" s="501">
        <v>199.18571428571428</v>
      </c>
      <c r="E138" s="460">
        <v>836.58000000000015</v>
      </c>
      <c r="F138" s="502">
        <v>398371.42857142858</v>
      </c>
      <c r="G138" s="461">
        <v>3346320.0000000005</v>
      </c>
    </row>
    <row r="139" spans="1:7" ht="12.75" customHeight="1">
      <c r="A139" s="458" t="s">
        <v>56</v>
      </c>
      <c r="B139" s="499" t="s">
        <v>651</v>
      </c>
      <c r="C139" s="500" t="s">
        <v>652</v>
      </c>
      <c r="D139" s="501">
        <v>128.27142857142857</v>
      </c>
      <c r="E139" s="460">
        <v>538.74</v>
      </c>
      <c r="F139" s="502">
        <v>256542.85714285713</v>
      </c>
      <c r="G139" s="461">
        <v>2154960</v>
      </c>
    </row>
    <row r="140" spans="1:7" ht="12.75" customHeight="1">
      <c r="A140" s="458" t="s">
        <v>777</v>
      </c>
      <c r="B140" s="499" t="s">
        <v>1405</v>
      </c>
      <c r="C140" s="500" t="s">
        <v>652</v>
      </c>
      <c r="D140" s="501">
        <v>128.27142857142857</v>
      </c>
      <c r="E140" s="460">
        <v>538.74</v>
      </c>
      <c r="F140" s="502">
        <v>256542.85714285713</v>
      </c>
      <c r="G140" s="461">
        <v>2154960</v>
      </c>
    </row>
    <row r="141" spans="1:7" ht="12.75" customHeight="1">
      <c r="A141" s="458" t="s">
        <v>814</v>
      </c>
      <c r="B141" s="499" t="s">
        <v>651</v>
      </c>
      <c r="C141" s="500" t="s">
        <v>638</v>
      </c>
      <c r="D141" s="501">
        <v>0.41714285714285715</v>
      </c>
      <c r="E141" s="460">
        <v>1.7520000000000002</v>
      </c>
      <c r="F141" s="502">
        <v>834.28571428571433</v>
      </c>
      <c r="G141" s="461">
        <v>7008.0000000000009</v>
      </c>
    </row>
    <row r="142" spans="1:7" ht="12.75" customHeight="1">
      <c r="A142" s="458" t="s">
        <v>815</v>
      </c>
      <c r="B142" s="499" t="s">
        <v>651</v>
      </c>
      <c r="C142" s="500" t="s">
        <v>652</v>
      </c>
      <c r="D142" s="501">
        <v>1042.8571428571429</v>
      </c>
      <c r="E142" s="460">
        <v>4380</v>
      </c>
      <c r="F142" s="502">
        <v>2085714.2857142857</v>
      </c>
      <c r="G142" s="461">
        <v>17520000</v>
      </c>
    </row>
    <row r="143" spans="1:7" ht="12.75" customHeight="1">
      <c r="A143" s="458" t="s">
        <v>477</v>
      </c>
      <c r="B143" s="499" t="s">
        <v>651</v>
      </c>
      <c r="C143" s="500" t="s">
        <v>652</v>
      </c>
      <c r="D143" s="501">
        <v>4.1714285714285718E-2</v>
      </c>
      <c r="E143" s="460">
        <v>0.17520000000000005</v>
      </c>
      <c r="F143" s="502">
        <v>83.428571428571431</v>
      </c>
      <c r="G143" s="461">
        <v>700.80000000000018</v>
      </c>
    </row>
    <row r="144" spans="1:7" ht="12.75" customHeight="1">
      <c r="A144" s="458" t="s">
        <v>478</v>
      </c>
      <c r="B144" s="499" t="s">
        <v>651</v>
      </c>
      <c r="C144" s="500" t="s">
        <v>652</v>
      </c>
      <c r="D144" s="501">
        <v>0.41714285714285715</v>
      </c>
      <c r="E144" s="460">
        <v>1.7520000000000002</v>
      </c>
      <c r="F144" s="502">
        <v>834.28571428571433</v>
      </c>
      <c r="G144" s="461">
        <v>7008.0000000000009</v>
      </c>
    </row>
    <row r="145" spans="1:7" ht="12.75" customHeight="1">
      <c r="A145" s="458" t="s">
        <v>479</v>
      </c>
      <c r="B145" s="499" t="s">
        <v>653</v>
      </c>
      <c r="C145" s="500" t="s">
        <v>638</v>
      </c>
      <c r="D145" s="501" t="s">
        <v>954</v>
      </c>
      <c r="E145" s="460" t="s">
        <v>954</v>
      </c>
      <c r="F145" s="502" t="s">
        <v>954</v>
      </c>
      <c r="G145" s="461" t="s">
        <v>954</v>
      </c>
    </row>
    <row r="146" spans="1:7" ht="12.75" customHeight="1">
      <c r="A146" s="458" t="s">
        <v>480</v>
      </c>
      <c r="B146" s="499" t="s">
        <v>653</v>
      </c>
      <c r="C146" s="500" t="s">
        <v>638</v>
      </c>
      <c r="D146" s="501" t="s">
        <v>954</v>
      </c>
      <c r="E146" s="460" t="s">
        <v>954</v>
      </c>
      <c r="F146" s="502" t="s">
        <v>954</v>
      </c>
      <c r="G146" s="461" t="s">
        <v>954</v>
      </c>
    </row>
    <row r="147" spans="1:7" ht="12.75" customHeight="1">
      <c r="A147" s="462" t="s">
        <v>117</v>
      </c>
      <c r="B147" s="499" t="s">
        <v>653</v>
      </c>
      <c r="C147" s="500" t="s">
        <v>638</v>
      </c>
      <c r="D147" s="501" t="s">
        <v>954</v>
      </c>
      <c r="E147" s="460" t="s">
        <v>954</v>
      </c>
      <c r="F147" s="502" t="s">
        <v>954</v>
      </c>
      <c r="G147" s="461" t="s">
        <v>954</v>
      </c>
    </row>
    <row r="148" spans="1:7" ht="12.75" customHeight="1">
      <c r="A148" s="458" t="s">
        <v>118</v>
      </c>
      <c r="B148" s="499" t="s">
        <v>653</v>
      </c>
      <c r="C148" s="500" t="s">
        <v>638</v>
      </c>
      <c r="D148" s="501" t="s">
        <v>954</v>
      </c>
      <c r="E148" s="460" t="s">
        <v>954</v>
      </c>
      <c r="F148" s="502" t="s">
        <v>954</v>
      </c>
      <c r="G148" s="461" t="s">
        <v>954</v>
      </c>
    </row>
    <row r="149" spans="1:7" ht="12.75" customHeight="1">
      <c r="A149" s="458" t="s">
        <v>119</v>
      </c>
      <c r="B149" s="499" t="s">
        <v>651</v>
      </c>
      <c r="C149" s="500" t="s">
        <v>652</v>
      </c>
      <c r="D149" s="501">
        <v>6.257142857142857E-2</v>
      </c>
      <c r="E149" s="460">
        <v>0.26280000000000003</v>
      </c>
      <c r="F149" s="502">
        <v>125.14285714285714</v>
      </c>
      <c r="G149" s="461">
        <v>1051.2</v>
      </c>
    </row>
    <row r="150" spans="1:7" ht="12.75" customHeight="1">
      <c r="A150" s="458" t="s">
        <v>120</v>
      </c>
      <c r="B150" s="499" t="s">
        <v>651</v>
      </c>
      <c r="C150" s="500" t="s">
        <v>652</v>
      </c>
      <c r="D150" s="501">
        <v>6.257142857142857E-2</v>
      </c>
      <c r="E150" s="460">
        <v>0.26280000000000003</v>
      </c>
      <c r="F150" s="502">
        <v>125.14285714285714</v>
      </c>
      <c r="G150" s="461">
        <v>1051.2</v>
      </c>
    </row>
    <row r="151" spans="1:7" ht="12.75" customHeight="1">
      <c r="A151" s="458" t="s">
        <v>602</v>
      </c>
      <c r="B151" s="499" t="s">
        <v>1405</v>
      </c>
      <c r="C151" s="500" t="s">
        <v>638</v>
      </c>
      <c r="D151" s="501" t="s">
        <v>954</v>
      </c>
      <c r="E151" s="460" t="s">
        <v>954</v>
      </c>
      <c r="F151" s="502" t="s">
        <v>954</v>
      </c>
      <c r="G151" s="461" t="s">
        <v>954</v>
      </c>
    </row>
    <row r="152" spans="1:7" ht="12.75" customHeight="1">
      <c r="A152" s="462" t="s">
        <v>939</v>
      </c>
      <c r="B152" s="499" t="s">
        <v>653</v>
      </c>
      <c r="C152" s="500" t="s">
        <v>638</v>
      </c>
      <c r="D152" s="501" t="s">
        <v>954</v>
      </c>
      <c r="E152" s="460" t="s">
        <v>954</v>
      </c>
      <c r="F152" s="502" t="s">
        <v>954</v>
      </c>
      <c r="G152" s="461" t="s">
        <v>954</v>
      </c>
    </row>
    <row r="153" spans="1:7" ht="12.75" customHeight="1">
      <c r="A153" s="462" t="s">
        <v>603</v>
      </c>
      <c r="B153" s="499" t="s">
        <v>653</v>
      </c>
      <c r="C153" s="500" t="s">
        <v>638</v>
      </c>
      <c r="D153" s="501" t="s">
        <v>954</v>
      </c>
      <c r="E153" s="460" t="s">
        <v>954</v>
      </c>
      <c r="F153" s="502" t="s">
        <v>954</v>
      </c>
      <c r="G153" s="461" t="s">
        <v>954</v>
      </c>
    </row>
    <row r="154" spans="1:7" ht="12.75" customHeight="1">
      <c r="A154" s="462" t="s">
        <v>605</v>
      </c>
      <c r="B154" s="499" t="s">
        <v>653</v>
      </c>
      <c r="C154" s="500" t="s">
        <v>638</v>
      </c>
      <c r="D154" s="501" t="s">
        <v>954</v>
      </c>
      <c r="E154" s="460" t="s">
        <v>954</v>
      </c>
      <c r="F154" s="502" t="s">
        <v>954</v>
      </c>
      <c r="G154" s="461" t="s">
        <v>954</v>
      </c>
    </row>
    <row r="155" spans="1:7" ht="12.75" customHeight="1">
      <c r="A155" s="458" t="s">
        <v>481</v>
      </c>
      <c r="B155" s="499" t="s">
        <v>653</v>
      </c>
      <c r="C155" s="500" t="s">
        <v>638</v>
      </c>
      <c r="D155" s="501" t="s">
        <v>954</v>
      </c>
      <c r="E155" s="460" t="s">
        <v>954</v>
      </c>
      <c r="F155" s="502" t="s">
        <v>954</v>
      </c>
      <c r="G155" s="461" t="s">
        <v>954</v>
      </c>
    </row>
    <row r="156" spans="1:7" ht="12.75" customHeight="1">
      <c r="A156" s="458" t="s">
        <v>482</v>
      </c>
      <c r="B156" s="499" t="s">
        <v>651</v>
      </c>
      <c r="C156" s="500" t="s">
        <v>21</v>
      </c>
      <c r="D156" s="501">
        <v>0.17</v>
      </c>
      <c r="E156" s="460">
        <v>2.7872727272727276</v>
      </c>
      <c r="F156" s="502">
        <v>340</v>
      </c>
      <c r="G156" s="461">
        <v>11149.09090909091</v>
      </c>
    </row>
    <row r="157" spans="1:7" ht="12.75" customHeight="1">
      <c r="A157" s="458" t="s">
        <v>483</v>
      </c>
      <c r="B157" s="499" t="s">
        <v>651</v>
      </c>
      <c r="C157" s="500" t="s">
        <v>652</v>
      </c>
      <c r="D157" s="501">
        <v>20.857142857142858</v>
      </c>
      <c r="E157" s="460">
        <v>87.600000000000009</v>
      </c>
      <c r="F157" s="502">
        <v>41714.285714285717</v>
      </c>
      <c r="G157" s="461">
        <v>350400</v>
      </c>
    </row>
    <row r="158" spans="1:7" ht="12.75" customHeight="1">
      <c r="A158" s="458" t="s">
        <v>484</v>
      </c>
      <c r="B158" s="499" t="s">
        <v>653</v>
      </c>
      <c r="C158" s="500" t="s">
        <v>638</v>
      </c>
      <c r="D158" s="501" t="s">
        <v>954</v>
      </c>
      <c r="E158" s="460" t="s">
        <v>954</v>
      </c>
      <c r="F158" s="502" t="s">
        <v>954</v>
      </c>
      <c r="G158" s="461" t="s">
        <v>954</v>
      </c>
    </row>
    <row r="159" spans="1:7" ht="25.5" customHeight="1">
      <c r="A159" s="465" t="s">
        <v>615</v>
      </c>
      <c r="B159" s="505"/>
      <c r="C159" s="506"/>
      <c r="D159" s="502" t="s">
        <v>796</v>
      </c>
      <c r="E159" s="460" t="s">
        <v>796</v>
      </c>
      <c r="F159" s="502" t="s">
        <v>375</v>
      </c>
      <c r="G159" s="461" t="s">
        <v>796</v>
      </c>
    </row>
    <row r="160" spans="1:7" ht="12.75" customHeight="1" thickBot="1">
      <c r="A160" s="466" t="s">
        <v>616</v>
      </c>
      <c r="B160" s="507"/>
      <c r="C160" s="508"/>
      <c r="D160" s="509" t="s">
        <v>796</v>
      </c>
      <c r="E160" s="468" t="s">
        <v>796</v>
      </c>
      <c r="F160" s="509" t="s">
        <v>796</v>
      </c>
      <c r="G160" s="469" t="s">
        <v>796</v>
      </c>
    </row>
    <row r="161" spans="1:7" ht="10.5" thickTop="1">
      <c r="A161" s="474" t="s">
        <v>488</v>
      </c>
      <c r="B161" s="510"/>
      <c r="C161" s="510"/>
      <c r="G161" s="483"/>
    </row>
    <row r="162" spans="1:7">
      <c r="A162" s="479" t="s">
        <v>906</v>
      </c>
      <c r="B162" s="1"/>
      <c r="C162" s="1"/>
      <c r="G162" s="483"/>
    </row>
    <row r="163" spans="1:7" ht="24.75" customHeight="1">
      <c r="A163" s="1389" t="s">
        <v>1137</v>
      </c>
      <c r="B163" s="1181"/>
      <c r="C163" s="1181"/>
      <c r="D163" s="1181"/>
      <c r="E163" s="1181"/>
      <c r="F163" s="1181"/>
      <c r="G163" s="1387"/>
    </row>
    <row r="164" spans="1:7">
      <c r="A164" s="479" t="s">
        <v>993</v>
      </c>
      <c r="B164" s="1"/>
      <c r="C164" s="1"/>
      <c r="G164" s="483"/>
    </row>
    <row r="165" spans="1:7">
      <c r="A165" s="474" t="s">
        <v>1138</v>
      </c>
      <c r="B165" s="510"/>
      <c r="C165" s="510"/>
      <c r="G165" s="483"/>
    </row>
    <row r="166" spans="1:7">
      <c r="A166" s="479"/>
      <c r="B166" s="1"/>
      <c r="C166" s="1"/>
      <c r="G166" s="483"/>
    </row>
    <row r="167" spans="1:7" ht="25.5" customHeight="1" thickBot="1">
      <c r="A167" s="1392" t="s">
        <v>1139</v>
      </c>
      <c r="B167" s="1384"/>
      <c r="C167" s="1384"/>
      <c r="D167" s="1384"/>
      <c r="E167" s="1384"/>
      <c r="F167" s="1384"/>
      <c r="G167" s="1385"/>
    </row>
    <row r="168" spans="1:7" ht="10.5" thickTop="1"/>
  </sheetData>
  <sheetProtection algorithmName="SHA-512" hashValue="EM8fLtQvvTizIR5NoEonwlLgHzJ3aRtVJvZ+2T0PSkXiEvcEsm0H552YGEVQxF/yC+1O/cymunfTVldfL178ew==" saltValue="mB3xH/e3kVlGqma3jcA9/A==" spinCount="100000" sheet="1" objects="1" scenarios="1"/>
  <mergeCells count="3">
    <mergeCell ref="B4:C4"/>
    <mergeCell ref="A167:G167"/>
    <mergeCell ref="A163:G163"/>
  </mergeCells>
  <phoneticPr fontId="0" type="noConversion"/>
  <printOptions horizontalCentered="1"/>
  <pageMargins left="0.92" right="0.41" top="0.53" bottom="1" header="0.5" footer="0.5"/>
  <pageSetup scale="86" fitToHeight="4" orientation="portrait" r:id="rId1"/>
  <headerFooter alignWithMargins="0">
    <oddFooter>&amp;LHawai'i DOH
Spring 2024&amp;C&amp;8Page &amp;P of &amp;N&amp;R&amp;A</oddFooter>
  </headerFooter>
  <rowBreaks count="1" manualBreakCount="1">
    <brk id="15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1"/>
    <pageSetUpPr fitToPage="1"/>
  </sheetPr>
  <dimension ref="A1:F172"/>
  <sheetViews>
    <sheetView zoomScaleNormal="100" workbookViewId="0">
      <pane ySplit="2265" topLeftCell="A95" activePane="bottomLeft"/>
      <selection sqref="A1:XFD1048576"/>
      <selection pane="bottomLeft" activeCell="B11" sqref="B11"/>
    </sheetView>
  </sheetViews>
  <sheetFormatPr defaultColWidth="8.73046875" defaultRowHeight="12.75"/>
  <cols>
    <col min="1" max="1" width="40.73046875" style="3" customWidth="1"/>
    <col min="2" max="4" width="13.73046875" style="481" customWidth="1"/>
    <col min="5" max="6" width="9.1328125" style="2" customWidth="1"/>
    <col min="7" max="16384" width="8.73046875" style="3"/>
  </cols>
  <sheetData>
    <row r="1" spans="1:4" ht="31.9">
      <c r="A1" s="6" t="s">
        <v>835</v>
      </c>
      <c r="B1" s="444"/>
      <c r="C1" s="444"/>
      <c r="D1" s="444"/>
    </row>
    <row r="2" spans="1:4" ht="12" customHeight="1" thickBot="1"/>
    <row r="3" spans="1:4" ht="30" customHeight="1" thickTop="1" thickBot="1">
      <c r="A3" s="487"/>
      <c r="B3" s="511" t="s">
        <v>536</v>
      </c>
      <c r="C3" s="489"/>
      <c r="D3" s="491"/>
    </row>
    <row r="4" spans="1:4" ht="22.9" thickTop="1" thickBot="1">
      <c r="A4" s="449" t="s">
        <v>232</v>
      </c>
      <c r="B4" s="492" t="s">
        <v>832</v>
      </c>
      <c r="C4" s="512" t="s">
        <v>833</v>
      </c>
      <c r="D4" s="513" t="s">
        <v>834</v>
      </c>
    </row>
    <row r="5" spans="1:4">
      <c r="A5" s="454" t="s">
        <v>548</v>
      </c>
      <c r="B5" s="497">
        <v>15</v>
      </c>
      <c r="C5" s="456">
        <v>20</v>
      </c>
      <c r="D5" s="457">
        <v>15</v>
      </c>
    </row>
    <row r="6" spans="1:4">
      <c r="A6" s="458" t="s">
        <v>549</v>
      </c>
      <c r="B6" s="501">
        <v>13</v>
      </c>
      <c r="C6" s="460">
        <v>307</v>
      </c>
      <c r="D6" s="461">
        <v>13</v>
      </c>
    </row>
    <row r="7" spans="1:4">
      <c r="A7" s="458" t="s">
        <v>550</v>
      </c>
      <c r="B7" s="501">
        <v>1700</v>
      </c>
      <c r="C7" s="460">
        <v>1500</v>
      </c>
      <c r="D7" s="461">
        <v>1500</v>
      </c>
    </row>
    <row r="8" spans="1:4">
      <c r="A8" s="458" t="s">
        <v>551</v>
      </c>
      <c r="B8" s="501">
        <v>2.5999999999999998E-5</v>
      </c>
      <c r="C8" s="460">
        <v>2.5999999999999998E-5</v>
      </c>
      <c r="D8" s="461">
        <v>2.5999999999999998E-5</v>
      </c>
    </row>
    <row r="9" spans="1:4">
      <c r="A9" s="458" t="s">
        <v>161</v>
      </c>
      <c r="B9" s="501">
        <v>152.33581908424497</v>
      </c>
      <c r="C9" s="460">
        <v>700</v>
      </c>
      <c r="D9" s="461">
        <v>700</v>
      </c>
    </row>
    <row r="10" spans="1:4">
      <c r="A10" s="462" t="s">
        <v>162</v>
      </c>
      <c r="B10" s="501">
        <v>1.9300404753783804</v>
      </c>
      <c r="C10" s="460">
        <v>20</v>
      </c>
      <c r="D10" s="461">
        <v>18</v>
      </c>
    </row>
    <row r="11" spans="1:4">
      <c r="A11" s="462" t="s">
        <v>94</v>
      </c>
      <c r="B11" s="501">
        <v>1.9300404753783804</v>
      </c>
      <c r="C11" s="460">
        <v>11</v>
      </c>
      <c r="D11" s="461">
        <v>11</v>
      </c>
    </row>
    <row r="12" spans="1:4">
      <c r="A12" s="458" t="s">
        <v>552</v>
      </c>
      <c r="B12" s="501">
        <v>0.02</v>
      </c>
      <c r="C12" s="460">
        <v>0.73</v>
      </c>
      <c r="D12" s="461">
        <v>0.02</v>
      </c>
    </row>
    <row r="13" spans="1:4">
      <c r="A13" s="458" t="s">
        <v>553</v>
      </c>
      <c r="B13" s="501">
        <v>6</v>
      </c>
      <c r="C13" s="460">
        <v>30</v>
      </c>
      <c r="D13" s="461">
        <v>30</v>
      </c>
    </row>
    <row r="14" spans="1:4">
      <c r="A14" s="458" t="s">
        <v>686</v>
      </c>
      <c r="B14" s="501">
        <v>0.14000000000000001</v>
      </c>
      <c r="C14" s="460">
        <v>0.14000000000000001</v>
      </c>
      <c r="D14" s="461">
        <v>0.14000000000000001</v>
      </c>
    </row>
    <row r="15" spans="1:4">
      <c r="A15" s="458" t="s">
        <v>95</v>
      </c>
      <c r="B15" s="501">
        <v>3</v>
      </c>
      <c r="C15" s="460">
        <v>12</v>
      </c>
      <c r="D15" s="461">
        <v>12</v>
      </c>
    </row>
    <row r="16" spans="1:4">
      <c r="A16" s="458" t="s">
        <v>687</v>
      </c>
      <c r="B16" s="501">
        <v>220</v>
      </c>
      <c r="C16" s="460">
        <v>220</v>
      </c>
      <c r="D16" s="461">
        <v>220</v>
      </c>
    </row>
    <row r="17" spans="1:4">
      <c r="A17" s="458" t="s">
        <v>1156</v>
      </c>
      <c r="B17" s="501">
        <v>0.14000000000000001</v>
      </c>
      <c r="C17" s="460">
        <v>0.14000000000000001</v>
      </c>
      <c r="D17" s="461">
        <v>0.14000000000000001</v>
      </c>
    </row>
    <row r="18" spans="1:4">
      <c r="A18" s="458" t="s">
        <v>688</v>
      </c>
      <c r="B18" s="501">
        <v>5</v>
      </c>
      <c r="C18" s="460">
        <v>13</v>
      </c>
      <c r="D18" s="461">
        <v>13</v>
      </c>
    </row>
    <row r="19" spans="1:4">
      <c r="A19" s="458" t="s">
        <v>689</v>
      </c>
      <c r="B19" s="501">
        <v>1.7999999999999999E-2</v>
      </c>
      <c r="C19" s="460">
        <v>1.7999999999999999E-2</v>
      </c>
      <c r="D19" s="461">
        <v>1.7999999999999999E-2</v>
      </c>
    </row>
    <row r="20" spans="1:4">
      <c r="A20" s="458" t="s">
        <v>690</v>
      </c>
      <c r="B20" s="501">
        <v>1.7999999999999999E-2</v>
      </c>
      <c r="C20" s="460">
        <v>1.7999999999999999E-2</v>
      </c>
      <c r="D20" s="461">
        <v>1.7999999999999999E-2</v>
      </c>
    </row>
    <row r="21" spans="1:4">
      <c r="A21" s="458" t="s">
        <v>691</v>
      </c>
      <c r="B21" s="501">
        <v>1.7999999999999999E-2</v>
      </c>
      <c r="C21" s="460">
        <v>1.7999999999999999E-2</v>
      </c>
      <c r="D21" s="461">
        <v>1.7999999999999999E-2</v>
      </c>
    </row>
    <row r="22" spans="1:4">
      <c r="A22" s="458" t="s">
        <v>692</v>
      </c>
      <c r="B22" s="501">
        <v>0.12999999999999998</v>
      </c>
      <c r="C22" s="460">
        <v>0.12999999999999998</v>
      </c>
      <c r="D22" s="461">
        <v>0.12999999999999998</v>
      </c>
    </row>
    <row r="23" spans="1:4">
      <c r="A23" s="458" t="s">
        <v>693</v>
      </c>
      <c r="B23" s="501">
        <v>1.7999999999999999E-2</v>
      </c>
      <c r="C23" s="460">
        <v>1.7999999999999999E-2</v>
      </c>
      <c r="D23" s="461">
        <v>1.7999999999999999E-2</v>
      </c>
    </row>
    <row r="24" spans="1:4">
      <c r="A24" s="458" t="s">
        <v>126</v>
      </c>
      <c r="B24" s="501">
        <v>3.7999999999999999E-2</v>
      </c>
      <c r="C24" s="460">
        <v>3.7999999999999999E-2</v>
      </c>
      <c r="D24" s="461">
        <v>3.7999999999999999E-2</v>
      </c>
    </row>
    <row r="25" spans="1:4">
      <c r="A25" s="458" t="s">
        <v>233</v>
      </c>
      <c r="B25" s="501">
        <v>0.5</v>
      </c>
      <c r="C25" s="460">
        <v>0.5</v>
      </c>
      <c r="D25" s="461">
        <v>0.5</v>
      </c>
    </row>
    <row r="26" spans="1:4">
      <c r="A26" s="458" t="s">
        <v>127</v>
      </c>
      <c r="B26" s="501">
        <v>1.3650810195927489E-2</v>
      </c>
      <c r="C26" s="460">
        <v>0.44</v>
      </c>
      <c r="D26" s="461">
        <v>0.44</v>
      </c>
    </row>
    <row r="27" spans="1:4">
      <c r="A27" s="503" t="s">
        <v>1103</v>
      </c>
      <c r="B27" s="501">
        <v>0.35711381953846194</v>
      </c>
      <c r="C27" s="460">
        <v>0.35711381953846194</v>
      </c>
      <c r="D27" s="461">
        <v>0.35711381953846194</v>
      </c>
    </row>
    <row r="28" spans="1:4">
      <c r="A28" s="458" t="s">
        <v>128</v>
      </c>
      <c r="B28" s="501">
        <v>2.2000000000000002</v>
      </c>
      <c r="C28" s="460">
        <v>2.2000000000000002</v>
      </c>
      <c r="D28" s="461">
        <v>2.2000000000000002</v>
      </c>
    </row>
    <row r="29" spans="1:4">
      <c r="A29" s="458" t="s">
        <v>129</v>
      </c>
      <c r="B29" s="501">
        <v>982.67243959237351</v>
      </c>
      <c r="C29" s="460">
        <v>1000</v>
      </c>
      <c r="D29" s="461">
        <v>1000</v>
      </c>
    </row>
    <row r="30" spans="1:4">
      <c r="A30" s="458" t="s">
        <v>130</v>
      </c>
      <c r="B30" s="501">
        <v>0.13443335759216019</v>
      </c>
      <c r="C30" s="460">
        <v>340</v>
      </c>
      <c r="D30" s="461">
        <v>340</v>
      </c>
    </row>
    <row r="31" spans="1:4">
      <c r="A31" s="458" t="s">
        <v>131</v>
      </c>
      <c r="B31" s="501">
        <v>80</v>
      </c>
      <c r="C31" s="460">
        <v>140</v>
      </c>
      <c r="D31" s="461">
        <v>140</v>
      </c>
    </row>
    <row r="32" spans="1:4">
      <c r="A32" s="458" t="s">
        <v>132</v>
      </c>
      <c r="B32" s="501">
        <v>16</v>
      </c>
      <c r="C32" s="460">
        <v>16</v>
      </c>
      <c r="D32" s="461">
        <v>16</v>
      </c>
    </row>
    <row r="33" spans="1:4">
      <c r="A33" s="458" t="s">
        <v>133</v>
      </c>
      <c r="B33" s="501">
        <v>3</v>
      </c>
      <c r="C33" s="460">
        <v>9.3000000000000007</v>
      </c>
      <c r="D33" s="461">
        <v>3</v>
      </c>
    </row>
    <row r="34" spans="1:4">
      <c r="A34" s="458" t="s">
        <v>134</v>
      </c>
      <c r="B34" s="501">
        <v>2.2999999999999998</v>
      </c>
      <c r="C34" s="460">
        <v>2.2999999999999998</v>
      </c>
      <c r="D34" s="461">
        <v>2.2999999999999998</v>
      </c>
    </row>
    <row r="35" spans="1:4">
      <c r="A35" s="458" t="s">
        <v>614</v>
      </c>
      <c r="B35" s="501">
        <v>1.5999999999999999E-5</v>
      </c>
      <c r="C35" s="460">
        <v>1.5999999999999999E-5</v>
      </c>
      <c r="D35" s="461">
        <v>1.5999999999999999E-5</v>
      </c>
    </row>
    <row r="36" spans="1:4">
      <c r="A36" s="458" t="s">
        <v>135</v>
      </c>
      <c r="B36" s="501">
        <v>0.36542309808186513</v>
      </c>
      <c r="C36" s="460">
        <v>19</v>
      </c>
      <c r="D36" s="461">
        <v>19</v>
      </c>
    </row>
    <row r="37" spans="1:4">
      <c r="A37" s="458" t="s">
        <v>136</v>
      </c>
      <c r="B37" s="501">
        <v>25</v>
      </c>
      <c r="C37" s="460">
        <v>50</v>
      </c>
      <c r="D37" s="461">
        <v>25</v>
      </c>
    </row>
    <row r="38" spans="1:4">
      <c r="A38" s="458" t="s">
        <v>781</v>
      </c>
      <c r="B38" s="501">
        <v>16</v>
      </c>
      <c r="C38" s="460">
        <v>16</v>
      </c>
      <c r="D38" s="461">
        <v>16</v>
      </c>
    </row>
    <row r="39" spans="1:4" ht="12.75" customHeight="1">
      <c r="A39" s="514" t="s">
        <v>137</v>
      </c>
      <c r="B39" s="501">
        <v>5.0999999999999996</v>
      </c>
      <c r="C39" s="460">
        <v>5.0999999999999996</v>
      </c>
      <c r="D39" s="461">
        <v>5.0999999999999996</v>
      </c>
    </row>
    <row r="40" spans="1:4" ht="12.75" customHeight="1">
      <c r="A40" s="503" t="s">
        <v>782</v>
      </c>
      <c r="B40" s="501">
        <v>1072.6530612244896</v>
      </c>
      <c r="C40" s="460">
        <v>1072.6530612244896</v>
      </c>
      <c r="D40" s="461">
        <v>1072.6530612244896</v>
      </c>
    </row>
    <row r="41" spans="1:4" ht="12.75" customHeight="1">
      <c r="A41" s="503" t="s">
        <v>138</v>
      </c>
      <c r="B41" s="501">
        <v>0.18</v>
      </c>
      <c r="C41" s="460">
        <v>0.18</v>
      </c>
      <c r="D41" s="461">
        <v>0.18</v>
      </c>
    </row>
    <row r="42" spans="1:4" ht="12.75" customHeight="1">
      <c r="A42" s="503" t="s">
        <v>612</v>
      </c>
      <c r="B42" s="501">
        <v>11</v>
      </c>
      <c r="C42" s="460">
        <v>50</v>
      </c>
      <c r="D42" s="461">
        <v>11</v>
      </c>
    </row>
    <row r="43" spans="1:4" ht="12.75" customHeight="1">
      <c r="A43" s="503" t="s">
        <v>779</v>
      </c>
      <c r="B43" s="501">
        <v>74</v>
      </c>
      <c r="C43" s="460">
        <v>20</v>
      </c>
      <c r="D43" s="461">
        <v>20</v>
      </c>
    </row>
    <row r="44" spans="1:4" ht="12.75" customHeight="1">
      <c r="A44" s="503" t="s">
        <v>780</v>
      </c>
      <c r="B44" s="501">
        <v>0.19900033728897804</v>
      </c>
      <c r="C44" s="460">
        <v>50</v>
      </c>
      <c r="D44" s="461">
        <v>11</v>
      </c>
    </row>
    <row r="45" spans="1:4" ht="12.75" customHeight="1">
      <c r="A45" s="503" t="s">
        <v>139</v>
      </c>
      <c r="B45" s="501">
        <v>1.7999999999999999E-2</v>
      </c>
      <c r="C45" s="460">
        <v>1.7999999999999999E-2</v>
      </c>
      <c r="D45" s="461">
        <v>1.7999999999999999E-2</v>
      </c>
    </row>
    <row r="46" spans="1:4" ht="12.75" customHeight="1">
      <c r="A46" s="503" t="s">
        <v>140</v>
      </c>
      <c r="B46" s="501">
        <v>2.4124513715922085</v>
      </c>
      <c r="C46" s="460">
        <v>23</v>
      </c>
      <c r="D46" s="461">
        <v>19</v>
      </c>
    </row>
    <row r="47" spans="1:4" ht="12.75" customHeight="1">
      <c r="A47" s="503" t="s">
        <v>141</v>
      </c>
      <c r="B47" s="501">
        <v>6</v>
      </c>
      <c r="C47" s="460">
        <v>2.9</v>
      </c>
      <c r="D47" s="461">
        <v>2.9</v>
      </c>
    </row>
    <row r="48" spans="1:4" ht="12.75" customHeight="1">
      <c r="A48" s="503" t="s">
        <v>142</v>
      </c>
      <c r="B48" s="501">
        <v>5.2</v>
      </c>
      <c r="C48" s="460">
        <v>1</v>
      </c>
      <c r="D48" s="461">
        <v>1</v>
      </c>
    </row>
    <row r="49" spans="1:4" ht="12.75" customHeight="1">
      <c r="A49" s="515" t="s">
        <v>96</v>
      </c>
      <c r="B49" s="501">
        <v>0.96590800338662852</v>
      </c>
      <c r="C49" s="460">
        <v>190</v>
      </c>
      <c r="D49" s="461">
        <v>79</v>
      </c>
    </row>
    <row r="50" spans="1:4" ht="12.75" customHeight="1">
      <c r="A50" s="503" t="s">
        <v>97</v>
      </c>
      <c r="B50" s="501">
        <v>200</v>
      </c>
      <c r="C50" s="460">
        <v>300</v>
      </c>
      <c r="D50" s="461">
        <v>300</v>
      </c>
    </row>
    <row r="51" spans="1:4" ht="12.75" customHeight="1">
      <c r="A51" s="503" t="s">
        <v>143</v>
      </c>
      <c r="B51" s="501">
        <v>4.814241578730157E-3</v>
      </c>
      <c r="C51" s="460">
        <v>1.7999999999999999E-2</v>
      </c>
      <c r="D51" s="461">
        <v>1.7999999999999999E-2</v>
      </c>
    </row>
    <row r="52" spans="1:4" ht="12.75" customHeight="1">
      <c r="A52" s="503" t="s">
        <v>381</v>
      </c>
      <c r="B52" s="501">
        <v>0.04</v>
      </c>
      <c r="C52" s="460">
        <v>0.04</v>
      </c>
      <c r="D52" s="461">
        <v>0.04</v>
      </c>
    </row>
    <row r="53" spans="1:4" ht="12.75" customHeight="1">
      <c r="A53" s="503" t="s">
        <v>144</v>
      </c>
      <c r="B53" s="501">
        <v>0.87111199475121337</v>
      </c>
      <c r="C53" s="460">
        <v>13</v>
      </c>
      <c r="D53" s="461">
        <v>13</v>
      </c>
    </row>
    <row r="54" spans="1:4" ht="12.75" customHeight="1">
      <c r="A54" s="503" t="s">
        <v>487</v>
      </c>
      <c r="B54" s="501">
        <v>0.04</v>
      </c>
      <c r="C54" s="460">
        <v>1400</v>
      </c>
      <c r="D54" s="461">
        <v>1400</v>
      </c>
    </row>
    <row r="55" spans="1:4" ht="12.75" customHeight="1">
      <c r="A55" s="503" t="s">
        <v>145</v>
      </c>
      <c r="B55" s="501">
        <v>10</v>
      </c>
      <c r="C55" s="460">
        <v>10</v>
      </c>
      <c r="D55" s="461">
        <v>10</v>
      </c>
    </row>
    <row r="56" spans="1:4" ht="12.75" customHeight="1">
      <c r="A56" s="503" t="s">
        <v>225</v>
      </c>
      <c r="B56" s="501">
        <v>22</v>
      </c>
      <c r="C56" s="460">
        <v>71</v>
      </c>
      <c r="D56" s="461">
        <v>22</v>
      </c>
    </row>
    <row r="57" spans="1:4" ht="12.75" customHeight="1">
      <c r="A57" s="503" t="s">
        <v>226</v>
      </c>
      <c r="B57" s="501">
        <v>5</v>
      </c>
      <c r="C57" s="460">
        <v>11</v>
      </c>
      <c r="D57" s="461">
        <v>9.4</v>
      </c>
    </row>
    <row r="58" spans="1:4" ht="12.75" customHeight="1">
      <c r="A58" s="503" t="s">
        <v>227</v>
      </c>
      <c r="B58" s="501">
        <v>7.0000000000000001E-3</v>
      </c>
      <c r="C58" s="460">
        <v>7.0000000000000001E-3</v>
      </c>
      <c r="D58" s="461">
        <v>7.0000000000000001E-3</v>
      </c>
    </row>
    <row r="59" spans="1:4" ht="12.75" customHeight="1">
      <c r="A59" s="503" t="s">
        <v>361</v>
      </c>
      <c r="B59" s="501">
        <v>3.1E-4</v>
      </c>
      <c r="C59" s="460">
        <v>3.1E-4</v>
      </c>
      <c r="D59" s="461">
        <v>3.1E-4</v>
      </c>
    </row>
    <row r="60" spans="1:4" ht="12.75" customHeight="1">
      <c r="A60" s="503" t="s">
        <v>362</v>
      </c>
      <c r="B60" s="501">
        <v>2.2000000000000001E-4</v>
      </c>
      <c r="C60" s="460">
        <v>2.2000000000000001E-4</v>
      </c>
      <c r="D60" s="461">
        <v>2.2000000000000001E-4</v>
      </c>
    </row>
    <row r="61" spans="1:4" ht="12.75" customHeight="1">
      <c r="A61" s="503" t="s">
        <v>363</v>
      </c>
      <c r="B61" s="501">
        <v>7.9999999999999996E-6</v>
      </c>
      <c r="C61" s="460">
        <v>7.9999999999999996E-6</v>
      </c>
      <c r="D61" s="461">
        <v>7.9999999999999996E-6</v>
      </c>
    </row>
    <row r="62" spans="1:4" ht="12.75" customHeight="1">
      <c r="A62" s="503" t="s">
        <v>234</v>
      </c>
      <c r="B62" s="501">
        <v>2.7505849956546897</v>
      </c>
      <c r="C62" s="460">
        <v>47</v>
      </c>
      <c r="D62" s="461">
        <v>47</v>
      </c>
    </row>
    <row r="63" spans="1:4" ht="12.75" customHeight="1">
      <c r="A63" s="503" t="s">
        <v>235</v>
      </c>
      <c r="B63" s="501">
        <v>5</v>
      </c>
      <c r="C63" s="460">
        <v>79</v>
      </c>
      <c r="D63" s="461">
        <v>79</v>
      </c>
    </row>
    <row r="64" spans="1:4" ht="12.75" customHeight="1">
      <c r="A64" s="503" t="s">
        <v>294</v>
      </c>
      <c r="B64" s="501">
        <v>0.6</v>
      </c>
      <c r="C64" s="460">
        <v>0.6</v>
      </c>
      <c r="D64" s="461">
        <v>0.6</v>
      </c>
    </row>
    <row r="65" spans="1:4" ht="12.75" customHeight="1">
      <c r="A65" s="503" t="s">
        <v>295</v>
      </c>
      <c r="B65" s="501">
        <v>70</v>
      </c>
      <c r="C65" s="460">
        <v>620</v>
      </c>
      <c r="D65" s="461">
        <v>620</v>
      </c>
    </row>
    <row r="66" spans="1:4" ht="12.75" customHeight="1">
      <c r="A66" s="503" t="s">
        <v>228</v>
      </c>
      <c r="B66" s="501">
        <v>100</v>
      </c>
      <c r="C66" s="460">
        <v>260</v>
      </c>
      <c r="D66" s="461">
        <v>260</v>
      </c>
    </row>
    <row r="67" spans="1:4" ht="12.75" customHeight="1">
      <c r="A67" s="503" t="s">
        <v>942</v>
      </c>
      <c r="B67" s="501">
        <v>0.3</v>
      </c>
      <c r="C67" s="460">
        <v>0.3</v>
      </c>
      <c r="D67" s="461">
        <v>0.3</v>
      </c>
    </row>
    <row r="68" spans="1:4" ht="12.75" customHeight="1">
      <c r="A68" s="503" t="s">
        <v>98</v>
      </c>
      <c r="B68" s="501">
        <v>70</v>
      </c>
      <c r="C68" s="460">
        <v>70</v>
      </c>
      <c r="D68" s="461">
        <v>70</v>
      </c>
    </row>
    <row r="69" spans="1:4" ht="12.75" customHeight="1">
      <c r="A69" s="503" t="s">
        <v>943</v>
      </c>
      <c r="B69" s="501">
        <v>5</v>
      </c>
      <c r="C69" s="460">
        <v>10</v>
      </c>
      <c r="D69" s="461">
        <v>10</v>
      </c>
    </row>
    <row r="70" spans="1:4" ht="12.75" customHeight="1">
      <c r="A70" s="503" t="s">
        <v>296</v>
      </c>
      <c r="B70" s="501">
        <v>0.47246971144685262</v>
      </c>
      <c r="C70" s="460">
        <v>0.06</v>
      </c>
      <c r="D70" s="461">
        <v>0.06</v>
      </c>
    </row>
    <row r="71" spans="1:4" ht="12.75" customHeight="1">
      <c r="A71" s="503" t="s">
        <v>944</v>
      </c>
      <c r="B71" s="501">
        <v>2.5000000000000001E-5</v>
      </c>
      <c r="C71" s="460">
        <v>2.5000000000000001E-5</v>
      </c>
      <c r="D71" s="461">
        <v>2.5000000000000001E-5</v>
      </c>
    </row>
    <row r="72" spans="1:4" ht="12.75" customHeight="1">
      <c r="A72" s="503" t="s">
        <v>945</v>
      </c>
      <c r="B72" s="501">
        <v>220</v>
      </c>
      <c r="C72" s="460">
        <v>210</v>
      </c>
      <c r="D72" s="461">
        <v>210</v>
      </c>
    </row>
    <row r="73" spans="1:4" ht="12.75" customHeight="1">
      <c r="A73" s="503" t="s">
        <v>947</v>
      </c>
      <c r="B73" s="501">
        <v>120</v>
      </c>
      <c r="C73" s="460">
        <v>120</v>
      </c>
      <c r="D73" s="461">
        <v>120</v>
      </c>
    </row>
    <row r="74" spans="1:4" ht="12.75" customHeight="1">
      <c r="A74" s="503" t="s">
        <v>946</v>
      </c>
      <c r="B74" s="501">
        <v>1100</v>
      </c>
      <c r="C74" s="460">
        <v>2900</v>
      </c>
      <c r="D74" s="461">
        <v>1100</v>
      </c>
    </row>
    <row r="75" spans="1:4" ht="12.75" customHeight="1">
      <c r="A75" s="515" t="s">
        <v>99</v>
      </c>
      <c r="B75" s="501">
        <v>1.9515311927751111</v>
      </c>
      <c r="C75" s="460">
        <v>10</v>
      </c>
      <c r="D75" s="461">
        <v>10</v>
      </c>
    </row>
    <row r="76" spans="1:4" ht="12.75" customHeight="1">
      <c r="A76" s="503" t="s">
        <v>297</v>
      </c>
      <c r="B76" s="501">
        <v>38.830541475137551</v>
      </c>
      <c r="C76" s="460">
        <v>14.3</v>
      </c>
      <c r="D76" s="461">
        <v>14.3</v>
      </c>
    </row>
    <row r="77" spans="1:4" ht="12.75" customHeight="1">
      <c r="A77" s="515" t="s">
        <v>100</v>
      </c>
      <c r="B77" s="501">
        <v>0.2374799832189621</v>
      </c>
      <c r="C77" s="460">
        <v>3</v>
      </c>
      <c r="D77" s="461">
        <v>3</v>
      </c>
    </row>
    <row r="78" spans="1:4" ht="12.75" customHeight="1">
      <c r="A78" s="515" t="s">
        <v>101</v>
      </c>
      <c r="B78" s="501">
        <v>4.8541215187419794E-2</v>
      </c>
      <c r="C78" s="460">
        <v>81</v>
      </c>
      <c r="D78" s="461">
        <v>81</v>
      </c>
    </row>
    <row r="79" spans="1:4" ht="12.75" customHeight="1">
      <c r="A79" s="503" t="s">
        <v>382</v>
      </c>
      <c r="B79" s="501">
        <v>0.45905899511359882</v>
      </c>
      <c r="C79" s="460">
        <v>50000</v>
      </c>
      <c r="D79" s="461">
        <v>50000</v>
      </c>
    </row>
    <row r="80" spans="1:4" ht="12.75" customHeight="1">
      <c r="A80" s="458" t="s">
        <v>594</v>
      </c>
      <c r="B80" s="501">
        <v>3.1E-9</v>
      </c>
      <c r="C80" s="460">
        <v>3.1E-9</v>
      </c>
      <c r="D80" s="461">
        <v>3.1E-9</v>
      </c>
    </row>
    <row r="81" spans="1:4" ht="12.75" customHeight="1">
      <c r="A81" s="503" t="s">
        <v>102</v>
      </c>
      <c r="B81" s="501">
        <v>36.050648892392552</v>
      </c>
      <c r="C81" s="460">
        <v>60</v>
      </c>
      <c r="D81" s="461">
        <v>60</v>
      </c>
    </row>
    <row r="82" spans="1:4" ht="12.75" customHeight="1">
      <c r="A82" s="503" t="s">
        <v>370</v>
      </c>
      <c r="B82" s="501">
        <v>5.6000000000000001E-2</v>
      </c>
      <c r="C82" s="460">
        <v>8.6999999999999994E-3</v>
      </c>
      <c r="D82" s="461">
        <v>8.6999999999999994E-3</v>
      </c>
    </row>
    <row r="83" spans="1:4" ht="12.75" customHeight="1">
      <c r="A83" s="503" t="s">
        <v>337</v>
      </c>
      <c r="B83" s="501">
        <v>2.3E-3</v>
      </c>
      <c r="C83" s="460">
        <v>2.3E-3</v>
      </c>
      <c r="D83" s="461">
        <v>2.3E-3</v>
      </c>
    </row>
    <row r="84" spans="1:4" ht="12.75" customHeight="1">
      <c r="A84" s="503" t="s">
        <v>28</v>
      </c>
      <c r="B84" s="501">
        <v>0</v>
      </c>
      <c r="C84" s="460">
        <v>0</v>
      </c>
      <c r="D84" s="461">
        <v>0</v>
      </c>
    </row>
    <row r="85" spans="1:4" ht="12.75" customHeight="1">
      <c r="A85" s="503" t="s">
        <v>338</v>
      </c>
      <c r="B85" s="501">
        <v>30</v>
      </c>
      <c r="C85" s="460">
        <v>7.3</v>
      </c>
      <c r="D85" s="461">
        <v>7.3</v>
      </c>
    </row>
    <row r="86" spans="1:4" ht="12.75" customHeight="1">
      <c r="A86" s="503" t="s">
        <v>339</v>
      </c>
      <c r="B86" s="501">
        <v>0.8</v>
      </c>
      <c r="C86" s="460">
        <v>7.1</v>
      </c>
      <c r="D86" s="461">
        <v>0.8</v>
      </c>
    </row>
    <row r="87" spans="1:4" ht="12.75" customHeight="1">
      <c r="A87" s="503" t="s">
        <v>340</v>
      </c>
      <c r="B87" s="501">
        <v>19</v>
      </c>
      <c r="C87" s="460">
        <v>3.9</v>
      </c>
      <c r="D87" s="461">
        <v>3.9</v>
      </c>
    </row>
    <row r="88" spans="1:4" ht="12.75" customHeight="1">
      <c r="A88" s="503" t="s">
        <v>103</v>
      </c>
      <c r="B88" s="501">
        <v>700</v>
      </c>
      <c r="C88" s="460">
        <v>1800</v>
      </c>
      <c r="D88" s="461">
        <v>1800</v>
      </c>
    </row>
    <row r="89" spans="1:4" ht="12.75" customHeight="1">
      <c r="A89" s="503" t="s">
        <v>341</v>
      </c>
      <c r="B89" s="501">
        <v>9.0000000000000006E-5</v>
      </c>
      <c r="C89" s="460">
        <v>9.0000000000000006E-5</v>
      </c>
      <c r="D89" s="461">
        <v>9.0000000000000006E-5</v>
      </c>
    </row>
    <row r="90" spans="1:4" ht="12.75" customHeight="1">
      <c r="A90" s="503" t="s">
        <v>342</v>
      </c>
      <c r="B90" s="501">
        <v>3.8999999999999999E-5</v>
      </c>
      <c r="C90" s="460">
        <v>3.8999999999999999E-5</v>
      </c>
      <c r="D90" s="461">
        <v>3.8999999999999999E-5</v>
      </c>
    </row>
    <row r="91" spans="1:4" ht="12.75" customHeight="1">
      <c r="A91" s="503" t="s">
        <v>371</v>
      </c>
      <c r="B91" s="501">
        <v>2.4000000000000001E-4</v>
      </c>
      <c r="C91" s="460">
        <v>2.4000000000000001E-4</v>
      </c>
      <c r="D91" s="461">
        <v>2.4000000000000001E-4</v>
      </c>
    </row>
    <row r="92" spans="1:4" ht="12.75" customHeight="1">
      <c r="A92" s="503" t="s">
        <v>343</v>
      </c>
      <c r="B92" s="501">
        <v>0.28185208671381157</v>
      </c>
      <c r="C92" s="460">
        <v>0.3</v>
      </c>
      <c r="D92" s="461">
        <v>0.3</v>
      </c>
    </row>
    <row r="93" spans="1:4" ht="12.75" customHeight="1">
      <c r="A93" s="503" t="s">
        <v>364</v>
      </c>
      <c r="B93" s="501">
        <v>0.02</v>
      </c>
      <c r="C93" s="460">
        <v>0.02</v>
      </c>
      <c r="D93" s="461">
        <v>0.02</v>
      </c>
    </row>
    <row r="94" spans="1:4" ht="12.75" customHeight="1">
      <c r="A94" s="503" t="s">
        <v>344</v>
      </c>
      <c r="B94" s="501">
        <v>0.92032782815026715</v>
      </c>
      <c r="C94" s="460">
        <v>2.9</v>
      </c>
      <c r="D94" s="461">
        <v>2.9</v>
      </c>
    </row>
    <row r="95" spans="1:4" ht="12.75" customHeight="1">
      <c r="A95" s="503" t="s">
        <v>104</v>
      </c>
      <c r="B95" s="501">
        <v>643.85147502055895</v>
      </c>
      <c r="C95" s="460">
        <v>17000</v>
      </c>
      <c r="D95" s="461">
        <v>17000</v>
      </c>
    </row>
    <row r="96" spans="1:4" ht="12.75" customHeight="1">
      <c r="A96" s="503" t="s">
        <v>345</v>
      </c>
      <c r="B96" s="501">
        <v>1.7683609753016836E-2</v>
      </c>
      <c r="C96" s="460">
        <v>1.7999999999999999E-2</v>
      </c>
      <c r="D96" s="461">
        <v>1.7999999999999999E-2</v>
      </c>
    </row>
    <row r="97" spans="1:4" ht="12.75" customHeight="1">
      <c r="A97" s="503" t="s">
        <v>105</v>
      </c>
      <c r="B97" s="501">
        <v>78.070039071294488</v>
      </c>
      <c r="C97" s="460">
        <v>920</v>
      </c>
      <c r="D97" s="461">
        <v>920</v>
      </c>
    </row>
    <row r="98" spans="1:4" ht="12.75" customHeight="1">
      <c r="A98" s="503" t="s">
        <v>346</v>
      </c>
      <c r="B98" s="501">
        <v>15</v>
      </c>
      <c r="C98" s="460">
        <v>5.6</v>
      </c>
      <c r="D98" s="461">
        <v>5.6</v>
      </c>
    </row>
    <row r="99" spans="1:4" ht="12.75" customHeight="1">
      <c r="A99" s="503" t="s">
        <v>347</v>
      </c>
      <c r="B99" s="501">
        <v>4.7E-2</v>
      </c>
      <c r="C99" s="460">
        <v>2.5000000000000001E-2</v>
      </c>
      <c r="D99" s="461">
        <v>2.5000000000000001E-2</v>
      </c>
    </row>
    <row r="100" spans="1:4" ht="12.75" customHeight="1">
      <c r="A100" s="503" t="s">
        <v>348</v>
      </c>
      <c r="B100" s="501">
        <v>0.03</v>
      </c>
      <c r="C100" s="460">
        <v>0.03</v>
      </c>
      <c r="D100" s="461">
        <v>0.03</v>
      </c>
    </row>
    <row r="101" spans="1:4" ht="12.75" customHeight="1">
      <c r="A101" s="503" t="s">
        <v>350</v>
      </c>
      <c r="B101" s="501">
        <v>8400</v>
      </c>
      <c r="C101" s="460">
        <v>8400</v>
      </c>
      <c r="D101" s="461">
        <v>8400</v>
      </c>
    </row>
    <row r="102" spans="1:4" ht="12.75" customHeight="1">
      <c r="A102" s="503" t="s">
        <v>351</v>
      </c>
      <c r="B102" s="501">
        <v>170</v>
      </c>
      <c r="C102" s="460">
        <v>170</v>
      </c>
      <c r="D102" s="461">
        <v>170</v>
      </c>
    </row>
    <row r="103" spans="1:4" ht="12.75" customHeight="1">
      <c r="A103" s="503" t="s">
        <v>352</v>
      </c>
      <c r="B103" s="501">
        <v>2.8E-3</v>
      </c>
      <c r="C103" s="460">
        <v>2.8E-3</v>
      </c>
      <c r="D103" s="461">
        <v>2.8E-3</v>
      </c>
    </row>
    <row r="104" spans="1:4" ht="12.75" customHeight="1">
      <c r="A104" s="503" t="s">
        <v>353</v>
      </c>
      <c r="B104" s="501">
        <v>5</v>
      </c>
      <c r="C104" s="460">
        <v>180</v>
      </c>
      <c r="D104" s="461">
        <v>180</v>
      </c>
    </row>
    <row r="105" spans="1:4" ht="12.75" customHeight="1">
      <c r="A105" s="503" t="s">
        <v>349</v>
      </c>
      <c r="B105" s="501">
        <v>5</v>
      </c>
      <c r="C105" s="460">
        <v>590</v>
      </c>
      <c r="D105" s="461">
        <v>590</v>
      </c>
    </row>
    <row r="106" spans="1:4" ht="12.75" customHeight="1">
      <c r="A106" s="458" t="s">
        <v>590</v>
      </c>
      <c r="B106" s="501">
        <v>2.1</v>
      </c>
      <c r="C106" s="460">
        <v>2.1</v>
      </c>
      <c r="D106" s="461">
        <v>2.1</v>
      </c>
    </row>
    <row r="107" spans="1:4" ht="12.75" customHeight="1">
      <c r="A107" s="458" t="s">
        <v>591</v>
      </c>
      <c r="B107" s="501">
        <v>4.7</v>
      </c>
      <c r="C107" s="460">
        <v>10</v>
      </c>
      <c r="D107" s="461">
        <v>4.7</v>
      </c>
    </row>
    <row r="108" spans="1:4" ht="12.75" customHeight="1">
      <c r="A108" s="503" t="s">
        <v>465</v>
      </c>
      <c r="B108" s="501">
        <v>99.283946060627287</v>
      </c>
      <c r="C108" s="460">
        <v>370</v>
      </c>
      <c r="D108" s="461">
        <v>370</v>
      </c>
    </row>
    <row r="109" spans="1:4" ht="12.75" customHeight="1">
      <c r="A109" s="503" t="s">
        <v>466</v>
      </c>
      <c r="B109" s="501">
        <v>17</v>
      </c>
      <c r="C109" s="460">
        <v>12</v>
      </c>
      <c r="D109" s="461">
        <v>12</v>
      </c>
    </row>
    <row r="110" spans="1:4" ht="12.75" customHeight="1">
      <c r="A110" s="503" t="s">
        <v>812</v>
      </c>
      <c r="B110" s="501">
        <v>5</v>
      </c>
      <c r="C110" s="460">
        <v>8.3000000000000007</v>
      </c>
      <c r="D110" s="461">
        <v>5</v>
      </c>
    </row>
    <row r="111" spans="1:4" ht="12.75" customHeight="1">
      <c r="A111" s="515" t="s">
        <v>106</v>
      </c>
      <c r="B111" s="501">
        <v>0.14038461538461536</v>
      </c>
      <c r="C111" s="460">
        <v>380</v>
      </c>
      <c r="D111" s="461">
        <v>380</v>
      </c>
    </row>
    <row r="112" spans="1:4" ht="12.75" customHeight="1">
      <c r="A112" s="515" t="s">
        <v>107</v>
      </c>
      <c r="B112" s="501">
        <v>1.9602041687573981</v>
      </c>
      <c r="C112" s="460">
        <v>18</v>
      </c>
      <c r="D112" s="461">
        <v>18</v>
      </c>
    </row>
    <row r="113" spans="1:4" ht="12.75" customHeight="1">
      <c r="A113" s="515" t="s">
        <v>108</v>
      </c>
      <c r="B113" s="501">
        <v>0.31415552893667309</v>
      </c>
      <c r="C113" s="460">
        <v>71</v>
      </c>
      <c r="D113" s="461">
        <v>71</v>
      </c>
    </row>
    <row r="114" spans="1:4" ht="12.75" customHeight="1">
      <c r="A114" s="515" t="s">
        <v>109</v>
      </c>
      <c r="B114" s="501">
        <v>1.7483564887195151</v>
      </c>
      <c r="C114" s="460">
        <v>42</v>
      </c>
      <c r="D114" s="461">
        <v>42</v>
      </c>
    </row>
    <row r="115" spans="1:4" ht="12.75" customHeight="1">
      <c r="A115" s="515" t="s">
        <v>110</v>
      </c>
      <c r="B115" s="501">
        <v>4.2655457130423766</v>
      </c>
      <c r="C115" s="460">
        <v>46</v>
      </c>
      <c r="D115" s="461">
        <v>46</v>
      </c>
    </row>
    <row r="116" spans="1:4" ht="12.75" customHeight="1">
      <c r="A116" s="503" t="s">
        <v>467</v>
      </c>
      <c r="B116" s="501">
        <v>1</v>
      </c>
      <c r="C116" s="460">
        <v>3</v>
      </c>
      <c r="D116" s="461">
        <v>3</v>
      </c>
    </row>
    <row r="117" spans="1:4" ht="12.75" customHeight="1">
      <c r="A117" s="515" t="s">
        <v>111</v>
      </c>
      <c r="B117" s="501">
        <v>17.332516072630696</v>
      </c>
      <c r="C117" s="460">
        <v>21500</v>
      </c>
      <c r="D117" s="461">
        <v>21500</v>
      </c>
    </row>
    <row r="118" spans="1:4" ht="12.75" customHeight="1">
      <c r="A118" s="503" t="s">
        <v>231</v>
      </c>
      <c r="B118" s="501">
        <v>15</v>
      </c>
      <c r="C118" s="460">
        <v>600</v>
      </c>
      <c r="D118" s="461">
        <v>600</v>
      </c>
    </row>
    <row r="119" spans="1:4" ht="12.75" customHeight="1">
      <c r="A119" s="503" t="s">
        <v>468</v>
      </c>
      <c r="B119" s="501">
        <v>2.2999999999999998</v>
      </c>
      <c r="C119" s="460">
        <v>4.5999999999999996</v>
      </c>
      <c r="D119" s="461">
        <v>2.2999999999999998</v>
      </c>
    </row>
    <row r="120" spans="1:4" ht="12.75" customHeight="1">
      <c r="A120" s="503" t="s">
        <v>469</v>
      </c>
      <c r="B120" s="501">
        <v>160</v>
      </c>
      <c r="C120" s="460">
        <v>58</v>
      </c>
      <c r="D120" s="461">
        <v>58</v>
      </c>
    </row>
    <row r="121" spans="1:4" ht="12.75" customHeight="1">
      <c r="A121" s="503" t="s">
        <v>365</v>
      </c>
      <c r="B121" s="501">
        <v>7.8999999999999996E-5</v>
      </c>
      <c r="C121" s="460">
        <v>7.8999999999999996E-5</v>
      </c>
      <c r="D121" s="461">
        <v>7.8999999999999996E-5</v>
      </c>
    </row>
    <row r="122" spans="1:4" ht="12.75" customHeight="1">
      <c r="A122" s="503" t="s">
        <v>112</v>
      </c>
      <c r="B122" s="501">
        <v>95</v>
      </c>
      <c r="C122" s="460">
        <v>95</v>
      </c>
      <c r="D122" s="461">
        <v>95</v>
      </c>
    </row>
    <row r="123" spans="1:4" ht="12.75" customHeight="1">
      <c r="A123" s="503" t="s">
        <v>470</v>
      </c>
      <c r="B123" s="501">
        <v>4.5999999999999996</v>
      </c>
      <c r="C123" s="460">
        <v>10</v>
      </c>
      <c r="D123" s="461">
        <v>4.5999999999999996</v>
      </c>
    </row>
    <row r="124" spans="1:4" ht="12.75" customHeight="1">
      <c r="A124" s="503" t="s">
        <v>471</v>
      </c>
      <c r="B124" s="501">
        <v>5</v>
      </c>
      <c r="C124" s="460">
        <v>71</v>
      </c>
      <c r="D124" s="461">
        <v>5</v>
      </c>
    </row>
    <row r="125" spans="1:4" ht="12.75" customHeight="1">
      <c r="A125" s="503" t="s">
        <v>813</v>
      </c>
      <c r="B125" s="501">
        <v>1</v>
      </c>
      <c r="C125" s="460">
        <v>0.1</v>
      </c>
      <c r="D125" s="461">
        <v>0.1</v>
      </c>
    </row>
    <row r="126" spans="1:4" ht="12.75" customHeight="1">
      <c r="A126" s="503" t="s">
        <v>113</v>
      </c>
      <c r="B126" s="501">
        <v>4</v>
      </c>
      <c r="C126" s="460">
        <v>9</v>
      </c>
      <c r="D126" s="461">
        <v>9</v>
      </c>
    </row>
    <row r="127" spans="1:4" ht="12.75" customHeight="1">
      <c r="A127" s="503" t="s">
        <v>472</v>
      </c>
      <c r="B127" s="501">
        <v>10</v>
      </c>
      <c r="C127" s="460">
        <v>11</v>
      </c>
      <c r="D127" s="461">
        <v>11</v>
      </c>
    </row>
    <row r="128" spans="1:4" ht="12.75" customHeight="1">
      <c r="A128" s="503" t="s">
        <v>114</v>
      </c>
      <c r="B128" s="501">
        <v>251.31929956026045</v>
      </c>
      <c r="C128" s="460">
        <v>251.31929956026045</v>
      </c>
      <c r="D128" s="461">
        <v>251.31929956026045</v>
      </c>
    </row>
    <row r="129" spans="1:4" ht="12.75" customHeight="1">
      <c r="A129" s="503" t="s">
        <v>19</v>
      </c>
      <c r="B129" s="501">
        <v>59.526771727540208</v>
      </c>
      <c r="C129" s="460">
        <v>18000</v>
      </c>
      <c r="D129" s="461">
        <v>18000</v>
      </c>
    </row>
    <row r="130" spans="1:4" ht="12.75" customHeight="1">
      <c r="A130" s="503" t="s">
        <v>473</v>
      </c>
      <c r="B130" s="501">
        <v>0.57369738025483408</v>
      </c>
      <c r="C130" s="460">
        <v>10.8</v>
      </c>
      <c r="D130" s="461">
        <v>10.8</v>
      </c>
    </row>
    <row r="131" spans="1:4" ht="12.75" customHeight="1">
      <c r="A131" s="503" t="s">
        <v>474</v>
      </c>
      <c r="B131" s="501">
        <v>7.5738899992116304E-2</v>
      </c>
      <c r="C131" s="460">
        <v>3.5</v>
      </c>
      <c r="D131" s="461">
        <v>3.5</v>
      </c>
    </row>
    <row r="132" spans="1:4" ht="12.75" customHeight="1">
      <c r="A132" s="503" t="s">
        <v>475</v>
      </c>
      <c r="B132" s="501">
        <v>2.9</v>
      </c>
      <c r="C132" s="460">
        <v>2.9</v>
      </c>
      <c r="D132" s="461">
        <v>2.9</v>
      </c>
    </row>
    <row r="133" spans="1:4" ht="12.75" customHeight="1">
      <c r="A133" s="503" t="s">
        <v>115</v>
      </c>
      <c r="B133" s="501">
        <v>1.2</v>
      </c>
      <c r="C133" s="460">
        <v>1.2</v>
      </c>
      <c r="D133" s="461">
        <v>1.2</v>
      </c>
    </row>
    <row r="134" spans="1:4" ht="12.75" customHeight="1">
      <c r="A134" s="515" t="s">
        <v>116</v>
      </c>
      <c r="B134" s="501">
        <v>220</v>
      </c>
      <c r="C134" s="460">
        <v>330</v>
      </c>
      <c r="D134" s="461">
        <v>220</v>
      </c>
    </row>
    <row r="135" spans="1:4" ht="12.75" customHeight="1">
      <c r="A135" s="503" t="s">
        <v>476</v>
      </c>
      <c r="B135" s="501">
        <v>2</v>
      </c>
      <c r="C135" s="460">
        <v>12</v>
      </c>
      <c r="D135" s="461">
        <v>6</v>
      </c>
    </row>
    <row r="136" spans="1:4" ht="12.75" customHeight="1">
      <c r="A136" s="503" t="s">
        <v>366</v>
      </c>
      <c r="B136" s="501">
        <v>40</v>
      </c>
      <c r="C136" s="460">
        <v>9.8000000000000007</v>
      </c>
      <c r="D136" s="461">
        <v>9.8000000000000007</v>
      </c>
    </row>
    <row r="137" spans="1:4" ht="12.75" customHeight="1">
      <c r="A137" s="503" t="s">
        <v>20</v>
      </c>
      <c r="B137" s="501">
        <v>2.0000000000000001E-4</v>
      </c>
      <c r="C137" s="460">
        <v>2.0000000000000001E-4</v>
      </c>
      <c r="D137" s="461">
        <v>2.0000000000000001E-4</v>
      </c>
    </row>
    <row r="138" spans="1:4" ht="12.75" customHeight="1">
      <c r="A138" s="503" t="s">
        <v>57</v>
      </c>
      <c r="B138" s="501">
        <v>73.986001486842099</v>
      </c>
      <c r="C138" s="460">
        <v>3700</v>
      </c>
      <c r="D138" s="461">
        <v>500</v>
      </c>
    </row>
    <row r="139" spans="1:4" ht="12.75" customHeight="1">
      <c r="A139" s="503" t="s">
        <v>56</v>
      </c>
      <c r="B139" s="501">
        <v>91.174062952030283</v>
      </c>
      <c r="C139" s="460">
        <v>640</v>
      </c>
      <c r="D139" s="461">
        <v>640</v>
      </c>
    </row>
    <row r="140" spans="1:4" ht="12.75" customHeight="1">
      <c r="A140" s="503" t="s">
        <v>777</v>
      </c>
      <c r="B140" s="501">
        <v>90.983894715319366</v>
      </c>
      <c r="C140" s="460">
        <v>640</v>
      </c>
      <c r="D140" s="461">
        <v>640</v>
      </c>
    </row>
    <row r="141" spans="1:4" ht="12.75" customHeight="1">
      <c r="A141" s="503" t="s">
        <v>814</v>
      </c>
      <c r="B141" s="501">
        <v>70</v>
      </c>
      <c r="C141" s="460">
        <v>110</v>
      </c>
      <c r="D141" s="461">
        <v>110</v>
      </c>
    </row>
    <row r="142" spans="1:4" ht="12.75" customHeight="1">
      <c r="A142" s="503" t="s">
        <v>815</v>
      </c>
      <c r="B142" s="501">
        <v>76</v>
      </c>
      <c r="C142" s="460">
        <v>11</v>
      </c>
      <c r="D142" s="461">
        <v>11</v>
      </c>
    </row>
    <row r="143" spans="1:4" ht="12.75" customHeight="1">
      <c r="A143" s="503" t="s">
        <v>477</v>
      </c>
      <c r="B143" s="501">
        <v>5</v>
      </c>
      <c r="C143" s="460">
        <v>14</v>
      </c>
      <c r="D143" s="461">
        <v>14</v>
      </c>
    </row>
    <row r="144" spans="1:4" ht="12.75" customHeight="1">
      <c r="A144" s="503" t="s">
        <v>478</v>
      </c>
      <c r="B144" s="501">
        <v>5</v>
      </c>
      <c r="C144" s="460">
        <v>26</v>
      </c>
      <c r="D144" s="461">
        <v>26</v>
      </c>
    </row>
    <row r="145" spans="1:4" ht="12.75" customHeight="1">
      <c r="A145" s="503" t="s">
        <v>479</v>
      </c>
      <c r="B145" s="501">
        <v>1.9</v>
      </c>
      <c r="C145" s="460">
        <v>12</v>
      </c>
      <c r="D145" s="461">
        <v>1.9</v>
      </c>
    </row>
    <row r="146" spans="1:4" ht="12.75" customHeight="1">
      <c r="A146" s="503" t="s">
        <v>480</v>
      </c>
      <c r="B146" s="501">
        <v>1.2</v>
      </c>
      <c r="C146" s="460">
        <v>1.2</v>
      </c>
      <c r="D146" s="461">
        <v>1.2</v>
      </c>
    </row>
    <row r="147" spans="1:4" ht="12.75" customHeight="1">
      <c r="A147" s="515" t="s">
        <v>117</v>
      </c>
      <c r="B147" s="501">
        <v>159.78212321874378</v>
      </c>
      <c r="C147" s="460">
        <v>686</v>
      </c>
      <c r="D147" s="461">
        <v>686</v>
      </c>
    </row>
    <row r="148" spans="1:4" ht="12.75" customHeight="1">
      <c r="A148" s="503" t="s">
        <v>118</v>
      </c>
      <c r="B148" s="501">
        <v>30</v>
      </c>
      <c r="C148" s="460">
        <v>50</v>
      </c>
      <c r="D148" s="461">
        <v>30</v>
      </c>
    </row>
    <row r="149" spans="1:4" ht="12.75" customHeight="1">
      <c r="A149" s="503" t="s">
        <v>119</v>
      </c>
      <c r="B149" s="501">
        <v>0.6</v>
      </c>
      <c r="C149" s="460">
        <v>14</v>
      </c>
      <c r="D149" s="461">
        <v>14</v>
      </c>
    </row>
    <row r="150" spans="1:4" ht="12.75" customHeight="1">
      <c r="A150" s="503" t="s">
        <v>120</v>
      </c>
      <c r="B150" s="501">
        <v>3.3315808860737541</v>
      </c>
      <c r="C150" s="460">
        <v>3.3315808860737541</v>
      </c>
      <c r="D150" s="461">
        <v>3.3315808860737541</v>
      </c>
    </row>
    <row r="151" spans="1:4" ht="12.75" customHeight="1">
      <c r="A151" s="503" t="s">
        <v>602</v>
      </c>
      <c r="B151" s="501">
        <v>1.1399999999999999</v>
      </c>
      <c r="C151" s="460">
        <v>1.1399999999999999</v>
      </c>
      <c r="D151" s="461">
        <v>1.1399999999999999</v>
      </c>
    </row>
    <row r="152" spans="1:4" ht="12.75" customHeight="1">
      <c r="A152" s="515" t="s">
        <v>939</v>
      </c>
      <c r="B152" s="501">
        <v>11</v>
      </c>
      <c r="C152" s="460">
        <v>10</v>
      </c>
      <c r="D152" s="461">
        <v>10</v>
      </c>
    </row>
    <row r="153" spans="1:4" ht="12.75" customHeight="1">
      <c r="A153" s="515" t="s">
        <v>603</v>
      </c>
      <c r="B153" s="501">
        <v>39.469382156875795</v>
      </c>
      <c r="C153" s="460">
        <v>39.469382156875795</v>
      </c>
      <c r="D153" s="461">
        <v>39.469382156875795</v>
      </c>
    </row>
    <row r="154" spans="1:4" ht="12.75" customHeight="1">
      <c r="A154" s="515" t="s">
        <v>605</v>
      </c>
      <c r="B154" s="501">
        <v>2.5352139902671289</v>
      </c>
      <c r="C154" s="460">
        <v>20</v>
      </c>
      <c r="D154" s="461">
        <v>13</v>
      </c>
    </row>
    <row r="155" spans="1:4" ht="12.75" customHeight="1">
      <c r="A155" s="503" t="s">
        <v>481</v>
      </c>
      <c r="B155" s="501">
        <v>27</v>
      </c>
      <c r="C155" s="460">
        <v>81</v>
      </c>
      <c r="D155" s="461">
        <v>27</v>
      </c>
    </row>
    <row r="156" spans="1:4" ht="12.75" customHeight="1">
      <c r="A156" s="503" t="s">
        <v>482</v>
      </c>
      <c r="B156" s="501">
        <v>2</v>
      </c>
      <c r="C156" s="460">
        <v>170</v>
      </c>
      <c r="D156" s="461">
        <v>170</v>
      </c>
    </row>
    <row r="157" spans="1:4" ht="12.75" customHeight="1">
      <c r="A157" s="503" t="s">
        <v>483</v>
      </c>
      <c r="B157" s="501">
        <v>20</v>
      </c>
      <c r="C157" s="460">
        <v>13</v>
      </c>
      <c r="D157" s="461">
        <v>13</v>
      </c>
    </row>
    <row r="158" spans="1:4" ht="12.75" customHeight="1">
      <c r="A158" s="503" t="s">
        <v>484</v>
      </c>
      <c r="B158" s="501">
        <v>22</v>
      </c>
      <c r="C158" s="460">
        <v>86</v>
      </c>
      <c r="D158" s="461">
        <v>22</v>
      </c>
    </row>
    <row r="159" spans="1:4" ht="25.5" customHeight="1">
      <c r="A159" s="465" t="s">
        <v>615</v>
      </c>
      <c r="B159" s="502" t="s">
        <v>796</v>
      </c>
      <c r="C159" s="460" t="s">
        <v>796</v>
      </c>
      <c r="D159" s="461" t="s">
        <v>796</v>
      </c>
    </row>
    <row r="160" spans="1:4" ht="12.75" customHeight="1" thickBot="1">
      <c r="A160" s="516" t="s">
        <v>616</v>
      </c>
      <c r="B160" s="509" t="s">
        <v>796</v>
      </c>
      <c r="C160" s="468" t="s">
        <v>796</v>
      </c>
      <c r="D160" s="469" t="s">
        <v>796</v>
      </c>
    </row>
    <row r="161" spans="1:4" ht="13.15" thickTop="1">
      <c r="A161" s="474" t="s">
        <v>488</v>
      </c>
      <c r="D161" s="483"/>
    </row>
    <row r="162" spans="1:4" ht="25.5" customHeight="1">
      <c r="A162" s="1389" t="s">
        <v>150</v>
      </c>
      <c r="B162" s="1181"/>
      <c r="C162" s="1181"/>
      <c r="D162" s="1387"/>
    </row>
    <row r="163" spans="1:4">
      <c r="A163" s="1389" t="s">
        <v>149</v>
      </c>
      <c r="B163" s="1181"/>
      <c r="C163" s="1181"/>
      <c r="D163" s="1387"/>
    </row>
    <row r="164" spans="1:4">
      <c r="A164" s="1393"/>
      <c r="B164" s="1181"/>
      <c r="C164" s="1181"/>
      <c r="D164" s="1387"/>
    </row>
    <row r="165" spans="1:4">
      <c r="A165" s="479" t="s">
        <v>722</v>
      </c>
      <c r="D165" s="483"/>
    </row>
    <row r="166" spans="1:4">
      <c r="A166" s="479" t="s">
        <v>831</v>
      </c>
      <c r="D166" s="483"/>
    </row>
    <row r="167" spans="1:4">
      <c r="A167" s="479"/>
      <c r="D167" s="483"/>
    </row>
    <row r="168" spans="1:4" ht="34.5" customHeight="1">
      <c r="A168" s="1388" t="s">
        <v>994</v>
      </c>
      <c r="B168" s="1181"/>
      <c r="C168" s="1181"/>
      <c r="D168" s="1387"/>
    </row>
    <row r="169" spans="1:4">
      <c r="A169" s="479" t="s">
        <v>537</v>
      </c>
      <c r="D169" s="483"/>
    </row>
    <row r="170" spans="1:4">
      <c r="A170" s="482" t="s">
        <v>538</v>
      </c>
      <c r="D170" s="483"/>
    </row>
    <row r="171" spans="1:4" ht="36.75" customHeight="1" thickBot="1">
      <c r="A171" s="1394" t="s">
        <v>995</v>
      </c>
      <c r="B171" s="1384"/>
      <c r="C171" s="1384"/>
      <c r="D171" s="1385"/>
    </row>
    <row r="172" spans="1:4" ht="13.15" thickTop="1"/>
  </sheetData>
  <sheetProtection algorithmName="SHA-512" hashValue="o0hdqeb5YFPmCG7uH8qedV8phBepAHnLs/7qo2mL2aVc4q3XiHFnBuUXxplLZQW0BNtQkqQbDA7+it2Cbpuveg==" saltValue="gvZiuGk0XnmNkr2UjTnsAQ==" spinCount="100000" sheet="1" objects="1" scenarios="1"/>
  <mergeCells count="4">
    <mergeCell ref="A162:D162"/>
    <mergeCell ref="A163:D164"/>
    <mergeCell ref="A168:D168"/>
    <mergeCell ref="A171:D171"/>
  </mergeCells>
  <phoneticPr fontId="0" type="noConversion"/>
  <printOptions horizontalCentered="1"/>
  <pageMargins left="0.92" right="0.41" top="0.53" bottom="1" header="0.5" footer="0.5"/>
  <pageSetup fitToHeight="4" orientation="portrait" r:id="rId1"/>
  <headerFooter alignWithMargins="0">
    <oddFooter>&amp;LHawai'i DOH
Spring 2024&amp;C&amp;8Page &amp;P of &amp;N&amp;R&amp;A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1"/>
  </sheetPr>
  <dimension ref="A1:C163"/>
  <sheetViews>
    <sheetView workbookViewId="0">
      <pane ySplit="2775" topLeftCell="A4" activePane="bottomLeft"/>
      <selection activeCell="B110" sqref="B110"/>
      <selection pane="bottomLeft" activeCell="B5" sqref="B5"/>
    </sheetView>
  </sheetViews>
  <sheetFormatPr defaultColWidth="8" defaultRowHeight="10.15"/>
  <cols>
    <col min="1" max="1" width="40.73046875" style="3" customWidth="1"/>
    <col min="2" max="2" width="22.1328125" style="518" customWidth="1"/>
    <col min="3" max="3" width="24.73046875" style="481" customWidth="1"/>
    <col min="4" max="257" width="8" style="3"/>
    <col min="258" max="258" width="40.73046875" style="3" customWidth="1"/>
    <col min="259" max="259" width="24.73046875" style="3" customWidth="1"/>
    <col min="260" max="513" width="8" style="3"/>
    <col min="514" max="514" width="40.73046875" style="3" customWidth="1"/>
    <col min="515" max="515" width="24.73046875" style="3" customWidth="1"/>
    <col min="516" max="769" width="8" style="3"/>
    <col min="770" max="770" width="40.73046875" style="3" customWidth="1"/>
    <col min="771" max="771" width="24.73046875" style="3" customWidth="1"/>
    <col min="772" max="1025" width="8" style="3"/>
    <col min="1026" max="1026" width="40.73046875" style="3" customWidth="1"/>
    <col min="1027" max="1027" width="24.73046875" style="3" customWidth="1"/>
    <col min="1028" max="1281" width="8" style="3"/>
    <col min="1282" max="1282" width="40.73046875" style="3" customWidth="1"/>
    <col min="1283" max="1283" width="24.73046875" style="3" customWidth="1"/>
    <col min="1284" max="1537" width="8" style="3"/>
    <col min="1538" max="1538" width="40.73046875" style="3" customWidth="1"/>
    <col min="1539" max="1539" width="24.73046875" style="3" customWidth="1"/>
    <col min="1540" max="1793" width="8" style="3"/>
    <col min="1794" max="1794" width="40.73046875" style="3" customWidth="1"/>
    <col min="1795" max="1795" width="24.73046875" style="3" customWidth="1"/>
    <col min="1796" max="2049" width="8" style="3"/>
    <col min="2050" max="2050" width="40.73046875" style="3" customWidth="1"/>
    <col min="2051" max="2051" width="24.73046875" style="3" customWidth="1"/>
    <col min="2052" max="2305" width="8" style="3"/>
    <col min="2306" max="2306" width="40.73046875" style="3" customWidth="1"/>
    <col min="2307" max="2307" width="24.73046875" style="3" customWidth="1"/>
    <col min="2308" max="2561" width="8" style="3"/>
    <col min="2562" max="2562" width="40.73046875" style="3" customWidth="1"/>
    <col min="2563" max="2563" width="24.73046875" style="3" customWidth="1"/>
    <col min="2564" max="2817" width="8" style="3"/>
    <col min="2818" max="2818" width="40.73046875" style="3" customWidth="1"/>
    <col min="2819" max="2819" width="24.73046875" style="3" customWidth="1"/>
    <col min="2820" max="3073" width="8" style="3"/>
    <col min="3074" max="3074" width="40.73046875" style="3" customWidth="1"/>
    <col min="3075" max="3075" width="24.73046875" style="3" customWidth="1"/>
    <col min="3076" max="3329" width="8" style="3"/>
    <col min="3330" max="3330" width="40.73046875" style="3" customWidth="1"/>
    <col min="3331" max="3331" width="24.73046875" style="3" customWidth="1"/>
    <col min="3332" max="3585" width="8" style="3"/>
    <col min="3586" max="3586" width="40.73046875" style="3" customWidth="1"/>
    <col min="3587" max="3587" width="24.73046875" style="3" customWidth="1"/>
    <col min="3588" max="3841" width="8" style="3"/>
    <col min="3842" max="3842" width="40.73046875" style="3" customWidth="1"/>
    <col min="3843" max="3843" width="24.73046875" style="3" customWidth="1"/>
    <col min="3844" max="4097" width="8" style="3"/>
    <col min="4098" max="4098" width="40.73046875" style="3" customWidth="1"/>
    <col min="4099" max="4099" width="24.73046875" style="3" customWidth="1"/>
    <col min="4100" max="4353" width="8" style="3"/>
    <col min="4354" max="4354" width="40.73046875" style="3" customWidth="1"/>
    <col min="4355" max="4355" width="24.73046875" style="3" customWidth="1"/>
    <col min="4356" max="4609" width="8" style="3"/>
    <col min="4610" max="4610" width="40.73046875" style="3" customWidth="1"/>
    <col min="4611" max="4611" width="24.73046875" style="3" customWidth="1"/>
    <col min="4612" max="4865" width="8" style="3"/>
    <col min="4866" max="4866" width="40.73046875" style="3" customWidth="1"/>
    <col min="4867" max="4867" width="24.73046875" style="3" customWidth="1"/>
    <col min="4868" max="5121" width="8" style="3"/>
    <col min="5122" max="5122" width="40.73046875" style="3" customWidth="1"/>
    <col min="5123" max="5123" width="24.73046875" style="3" customWidth="1"/>
    <col min="5124" max="5377" width="8" style="3"/>
    <col min="5378" max="5378" width="40.73046875" style="3" customWidth="1"/>
    <col min="5379" max="5379" width="24.73046875" style="3" customWidth="1"/>
    <col min="5380" max="5633" width="8" style="3"/>
    <col min="5634" max="5634" width="40.73046875" style="3" customWidth="1"/>
    <col min="5635" max="5635" width="24.73046875" style="3" customWidth="1"/>
    <col min="5636" max="5889" width="8" style="3"/>
    <col min="5890" max="5890" width="40.73046875" style="3" customWidth="1"/>
    <col min="5891" max="5891" width="24.73046875" style="3" customWidth="1"/>
    <col min="5892" max="6145" width="8" style="3"/>
    <col min="6146" max="6146" width="40.73046875" style="3" customWidth="1"/>
    <col min="6147" max="6147" width="24.73046875" style="3" customWidth="1"/>
    <col min="6148" max="6401" width="8" style="3"/>
    <col min="6402" max="6402" width="40.73046875" style="3" customWidth="1"/>
    <col min="6403" max="6403" width="24.73046875" style="3" customWidth="1"/>
    <col min="6404" max="6657" width="8" style="3"/>
    <col min="6658" max="6658" width="40.73046875" style="3" customWidth="1"/>
    <col min="6659" max="6659" width="24.73046875" style="3" customWidth="1"/>
    <col min="6660" max="6913" width="8" style="3"/>
    <col min="6914" max="6914" width="40.73046875" style="3" customWidth="1"/>
    <col min="6915" max="6915" width="24.73046875" style="3" customWidth="1"/>
    <col min="6916" max="7169" width="8" style="3"/>
    <col min="7170" max="7170" width="40.73046875" style="3" customWidth="1"/>
    <col min="7171" max="7171" width="24.73046875" style="3" customWidth="1"/>
    <col min="7172" max="7425" width="8" style="3"/>
    <col min="7426" max="7426" width="40.73046875" style="3" customWidth="1"/>
    <col min="7427" max="7427" width="24.73046875" style="3" customWidth="1"/>
    <col min="7428" max="7681" width="8" style="3"/>
    <col min="7682" max="7682" width="40.73046875" style="3" customWidth="1"/>
    <col min="7683" max="7683" width="24.73046875" style="3" customWidth="1"/>
    <col min="7684" max="7937" width="8" style="3"/>
    <col min="7938" max="7938" width="40.73046875" style="3" customWidth="1"/>
    <col min="7939" max="7939" width="24.73046875" style="3" customWidth="1"/>
    <col min="7940" max="8193" width="8" style="3"/>
    <col min="8194" max="8194" width="40.73046875" style="3" customWidth="1"/>
    <col min="8195" max="8195" width="24.73046875" style="3" customWidth="1"/>
    <col min="8196" max="8449" width="8" style="3"/>
    <col min="8450" max="8450" width="40.73046875" style="3" customWidth="1"/>
    <col min="8451" max="8451" width="24.73046875" style="3" customWidth="1"/>
    <col min="8452" max="8705" width="8" style="3"/>
    <col min="8706" max="8706" width="40.73046875" style="3" customWidth="1"/>
    <col min="8707" max="8707" width="24.73046875" style="3" customWidth="1"/>
    <col min="8708" max="8961" width="8" style="3"/>
    <col min="8962" max="8962" width="40.73046875" style="3" customWidth="1"/>
    <col min="8963" max="8963" width="24.73046875" style="3" customWidth="1"/>
    <col min="8964" max="9217" width="8" style="3"/>
    <col min="9218" max="9218" width="40.73046875" style="3" customWidth="1"/>
    <col min="9219" max="9219" width="24.73046875" style="3" customWidth="1"/>
    <col min="9220" max="9473" width="8" style="3"/>
    <col min="9474" max="9474" width="40.73046875" style="3" customWidth="1"/>
    <col min="9475" max="9475" width="24.73046875" style="3" customWidth="1"/>
    <col min="9476" max="9729" width="8" style="3"/>
    <col min="9730" max="9730" width="40.73046875" style="3" customWidth="1"/>
    <col min="9731" max="9731" width="24.73046875" style="3" customWidth="1"/>
    <col min="9732" max="9985" width="8" style="3"/>
    <col min="9986" max="9986" width="40.73046875" style="3" customWidth="1"/>
    <col min="9987" max="9987" width="24.73046875" style="3" customWidth="1"/>
    <col min="9988" max="10241" width="8" style="3"/>
    <col min="10242" max="10242" width="40.73046875" style="3" customWidth="1"/>
    <col min="10243" max="10243" width="24.73046875" style="3" customWidth="1"/>
    <col min="10244" max="10497" width="8" style="3"/>
    <col min="10498" max="10498" width="40.73046875" style="3" customWidth="1"/>
    <col min="10499" max="10499" width="24.73046875" style="3" customWidth="1"/>
    <col min="10500" max="10753" width="8" style="3"/>
    <col min="10754" max="10754" width="40.73046875" style="3" customWidth="1"/>
    <col min="10755" max="10755" width="24.73046875" style="3" customWidth="1"/>
    <col min="10756" max="11009" width="8" style="3"/>
    <col min="11010" max="11010" width="40.73046875" style="3" customWidth="1"/>
    <col min="11011" max="11011" width="24.73046875" style="3" customWidth="1"/>
    <col min="11012" max="11265" width="8" style="3"/>
    <col min="11266" max="11266" width="40.73046875" style="3" customWidth="1"/>
    <col min="11267" max="11267" width="24.73046875" style="3" customWidth="1"/>
    <col min="11268" max="11521" width="8" style="3"/>
    <col min="11522" max="11522" width="40.73046875" style="3" customWidth="1"/>
    <col min="11523" max="11523" width="24.73046875" style="3" customWidth="1"/>
    <col min="11524" max="11777" width="8" style="3"/>
    <col min="11778" max="11778" width="40.73046875" style="3" customWidth="1"/>
    <col min="11779" max="11779" width="24.73046875" style="3" customWidth="1"/>
    <col min="11780" max="12033" width="8" style="3"/>
    <col min="12034" max="12034" width="40.73046875" style="3" customWidth="1"/>
    <col min="12035" max="12035" width="24.73046875" style="3" customWidth="1"/>
    <col min="12036" max="12289" width="8" style="3"/>
    <col min="12290" max="12290" width="40.73046875" style="3" customWidth="1"/>
    <col min="12291" max="12291" width="24.73046875" style="3" customWidth="1"/>
    <col min="12292" max="12545" width="8" style="3"/>
    <col min="12546" max="12546" width="40.73046875" style="3" customWidth="1"/>
    <col min="12547" max="12547" width="24.73046875" style="3" customWidth="1"/>
    <col min="12548" max="12801" width="8" style="3"/>
    <col min="12802" max="12802" width="40.73046875" style="3" customWidth="1"/>
    <col min="12803" max="12803" width="24.73046875" style="3" customWidth="1"/>
    <col min="12804" max="13057" width="8" style="3"/>
    <col min="13058" max="13058" width="40.73046875" style="3" customWidth="1"/>
    <col min="13059" max="13059" width="24.73046875" style="3" customWidth="1"/>
    <col min="13060" max="13313" width="8" style="3"/>
    <col min="13314" max="13314" width="40.73046875" style="3" customWidth="1"/>
    <col min="13315" max="13315" width="24.73046875" style="3" customWidth="1"/>
    <col min="13316" max="13569" width="8" style="3"/>
    <col min="13570" max="13570" width="40.73046875" style="3" customWidth="1"/>
    <col min="13571" max="13571" width="24.73046875" style="3" customWidth="1"/>
    <col min="13572" max="13825" width="8" style="3"/>
    <col min="13826" max="13826" width="40.73046875" style="3" customWidth="1"/>
    <col min="13827" max="13827" width="24.73046875" style="3" customWidth="1"/>
    <col min="13828" max="14081" width="8" style="3"/>
    <col min="14082" max="14082" width="40.73046875" style="3" customWidth="1"/>
    <col min="14083" max="14083" width="24.73046875" style="3" customWidth="1"/>
    <col min="14084" max="14337" width="8" style="3"/>
    <col min="14338" max="14338" width="40.73046875" style="3" customWidth="1"/>
    <col min="14339" max="14339" width="24.73046875" style="3" customWidth="1"/>
    <col min="14340" max="14593" width="8" style="3"/>
    <col min="14594" max="14594" width="40.73046875" style="3" customWidth="1"/>
    <col min="14595" max="14595" width="24.73046875" style="3" customWidth="1"/>
    <col min="14596" max="14849" width="8" style="3"/>
    <col min="14850" max="14850" width="40.73046875" style="3" customWidth="1"/>
    <col min="14851" max="14851" width="24.73046875" style="3" customWidth="1"/>
    <col min="14852" max="15105" width="8" style="3"/>
    <col min="15106" max="15106" width="40.73046875" style="3" customWidth="1"/>
    <col min="15107" max="15107" width="24.73046875" style="3" customWidth="1"/>
    <col min="15108" max="15361" width="8" style="3"/>
    <col min="15362" max="15362" width="40.73046875" style="3" customWidth="1"/>
    <col min="15363" max="15363" width="24.73046875" style="3" customWidth="1"/>
    <col min="15364" max="15617" width="8" style="3"/>
    <col min="15618" max="15618" width="40.73046875" style="3" customWidth="1"/>
    <col min="15619" max="15619" width="24.73046875" style="3" customWidth="1"/>
    <col min="15620" max="15873" width="8" style="3"/>
    <col min="15874" max="15874" width="40.73046875" style="3" customWidth="1"/>
    <col min="15875" max="15875" width="24.73046875" style="3" customWidth="1"/>
    <col min="15876" max="16129" width="8" style="3"/>
    <col min="16130" max="16130" width="40.73046875" style="3" customWidth="1"/>
    <col min="16131" max="16131" width="24.73046875" style="3" customWidth="1"/>
    <col min="16132" max="16384" width="8" style="3"/>
  </cols>
  <sheetData>
    <row r="1" spans="1:3" ht="81" customHeight="1">
      <c r="A1" s="1395" t="s">
        <v>1375</v>
      </c>
      <c r="B1" s="1395"/>
      <c r="C1" s="1396"/>
    </row>
    <row r="2" spans="1:3" ht="10.5" thickBot="1"/>
    <row r="3" spans="1:3" ht="35.25" customHeight="1" thickTop="1" thickBot="1">
      <c r="A3" s="449" t="s">
        <v>232</v>
      </c>
      <c r="B3" s="519" t="s">
        <v>1376</v>
      </c>
      <c r="C3" s="520" t="s">
        <v>1374</v>
      </c>
    </row>
    <row r="4" spans="1:3" ht="12.75" customHeight="1">
      <c r="A4" s="454" t="s">
        <v>548</v>
      </c>
      <c r="B4" s="521" t="s">
        <v>367</v>
      </c>
      <c r="C4" s="522" t="s">
        <v>367</v>
      </c>
    </row>
    <row r="5" spans="1:3" ht="12.75" customHeight="1">
      <c r="A5" s="458" t="s">
        <v>549</v>
      </c>
      <c r="B5" s="501" t="s">
        <v>367</v>
      </c>
      <c r="C5" s="523" t="s">
        <v>367</v>
      </c>
    </row>
    <row r="6" spans="1:3" ht="12.75" customHeight="1">
      <c r="A6" s="458" t="s">
        <v>550</v>
      </c>
      <c r="B6" s="501">
        <v>6044.7756876580943</v>
      </c>
      <c r="C6" s="523">
        <v>169253.71925442666</v>
      </c>
    </row>
    <row r="7" spans="1:3" ht="12.75" customHeight="1">
      <c r="A7" s="458" t="s">
        <v>551</v>
      </c>
      <c r="B7" s="501" t="s">
        <v>367</v>
      </c>
      <c r="C7" s="523" t="s">
        <v>367</v>
      </c>
    </row>
    <row r="8" spans="1:3" ht="12.75" customHeight="1">
      <c r="A8" s="458" t="s">
        <v>161</v>
      </c>
      <c r="B8" s="501" t="s">
        <v>367</v>
      </c>
      <c r="C8" s="523" t="s">
        <v>367</v>
      </c>
    </row>
    <row r="9" spans="1:3" ht="12.75" customHeight="1">
      <c r="A9" s="462" t="s">
        <v>1364</v>
      </c>
      <c r="B9" s="501" t="s">
        <v>367</v>
      </c>
      <c r="C9" s="523" t="s">
        <v>367</v>
      </c>
    </row>
    <row r="10" spans="1:3" ht="12.75" customHeight="1">
      <c r="A10" s="462" t="s">
        <v>94</v>
      </c>
      <c r="B10" s="501" t="s">
        <v>367</v>
      </c>
      <c r="C10" s="523" t="s">
        <v>367</v>
      </c>
    </row>
    <row r="11" spans="1:3" ht="12.75" customHeight="1">
      <c r="A11" s="458" t="s">
        <v>552</v>
      </c>
      <c r="B11" s="501" t="s">
        <v>367</v>
      </c>
      <c r="C11" s="523" t="s">
        <v>367</v>
      </c>
    </row>
    <row r="12" spans="1:3" ht="12.75" customHeight="1">
      <c r="A12" s="458" t="s">
        <v>553</v>
      </c>
      <c r="B12" s="501" t="s">
        <v>367</v>
      </c>
      <c r="C12" s="523" t="s">
        <v>367</v>
      </c>
    </row>
    <row r="13" spans="1:3" ht="12.75" customHeight="1">
      <c r="A13" s="458" t="s">
        <v>686</v>
      </c>
      <c r="B13" s="501" t="s">
        <v>367</v>
      </c>
      <c r="C13" s="523" t="s">
        <v>367</v>
      </c>
    </row>
    <row r="14" spans="1:3" ht="12.75" customHeight="1">
      <c r="A14" s="458" t="s">
        <v>95</v>
      </c>
      <c r="B14" s="501" t="s">
        <v>367</v>
      </c>
      <c r="C14" s="523" t="s">
        <v>367</v>
      </c>
    </row>
    <row r="15" spans="1:3" ht="12.75" customHeight="1">
      <c r="A15" s="458" t="s">
        <v>687</v>
      </c>
      <c r="B15" s="501" t="s">
        <v>367</v>
      </c>
      <c r="C15" s="523" t="s">
        <v>367</v>
      </c>
    </row>
    <row r="16" spans="1:3" ht="12.75" customHeight="1">
      <c r="A16" s="524" t="s">
        <v>1156</v>
      </c>
      <c r="B16" s="501" t="s">
        <v>367</v>
      </c>
      <c r="C16" s="523" t="s">
        <v>367</v>
      </c>
    </row>
    <row r="17" spans="1:3" ht="12.75" customHeight="1">
      <c r="A17" s="458" t="s">
        <v>688</v>
      </c>
      <c r="B17" s="501">
        <v>5</v>
      </c>
      <c r="C17" s="523">
        <v>23000.000000000004</v>
      </c>
    </row>
    <row r="18" spans="1:3" ht="12.75" customHeight="1">
      <c r="A18" s="458" t="s">
        <v>689</v>
      </c>
      <c r="B18" s="501" t="s">
        <v>367</v>
      </c>
      <c r="C18" s="523" t="s">
        <v>367</v>
      </c>
    </row>
    <row r="19" spans="1:3" ht="12.75" customHeight="1">
      <c r="A19" s="458" t="s">
        <v>690</v>
      </c>
      <c r="B19" s="501" t="s">
        <v>367</v>
      </c>
      <c r="C19" s="523" t="s">
        <v>367</v>
      </c>
    </row>
    <row r="20" spans="1:3" ht="12.75" customHeight="1">
      <c r="A20" s="458" t="s">
        <v>691</v>
      </c>
      <c r="B20" s="501" t="s">
        <v>367</v>
      </c>
      <c r="C20" s="523" t="s">
        <v>367</v>
      </c>
    </row>
    <row r="21" spans="1:3" ht="12.75" customHeight="1">
      <c r="A21" s="458" t="s">
        <v>692</v>
      </c>
      <c r="B21" s="501" t="s">
        <v>367</v>
      </c>
      <c r="C21" s="523" t="s">
        <v>367</v>
      </c>
    </row>
    <row r="22" spans="1:3" ht="12.75" customHeight="1">
      <c r="A22" s="458" t="s">
        <v>693</v>
      </c>
      <c r="B22" s="501" t="s">
        <v>367</v>
      </c>
      <c r="C22" s="523" t="s">
        <v>367</v>
      </c>
    </row>
    <row r="23" spans="1:3" ht="12.75" customHeight="1">
      <c r="A23" s="458" t="s">
        <v>126</v>
      </c>
      <c r="B23" s="501" t="s">
        <v>367</v>
      </c>
      <c r="C23" s="523" t="s">
        <v>367</v>
      </c>
    </row>
    <row r="24" spans="1:3" ht="12.75" customHeight="1">
      <c r="A24" s="458" t="s">
        <v>233</v>
      </c>
      <c r="B24" s="501">
        <v>0.5</v>
      </c>
      <c r="C24" s="523">
        <v>130</v>
      </c>
    </row>
    <row r="25" spans="1:3" ht="12.75" customHeight="1">
      <c r="A25" s="458" t="s">
        <v>127</v>
      </c>
      <c r="B25" s="501">
        <v>1.3650810195927489E-2</v>
      </c>
      <c r="C25" s="523">
        <v>0.19111134274298486</v>
      </c>
    </row>
    <row r="26" spans="1:3" ht="12.75" customHeight="1">
      <c r="A26" s="458" t="s">
        <v>1103</v>
      </c>
      <c r="B26" s="501">
        <v>0.35711381953846194</v>
      </c>
      <c r="C26" s="523">
        <v>33.068739689261577</v>
      </c>
    </row>
    <row r="27" spans="1:3" ht="12.75" customHeight="1">
      <c r="A27" s="458" t="s">
        <v>128</v>
      </c>
      <c r="B27" s="501" t="s">
        <v>367</v>
      </c>
      <c r="C27" s="523" t="s">
        <v>367</v>
      </c>
    </row>
    <row r="28" spans="1:3" ht="12.75" customHeight="1">
      <c r="A28" s="458" t="s">
        <v>129</v>
      </c>
      <c r="B28" s="501" t="s">
        <v>367</v>
      </c>
      <c r="C28" s="523" t="s">
        <v>367</v>
      </c>
    </row>
    <row r="29" spans="1:3" ht="12.75" customHeight="1">
      <c r="A29" s="458" t="s">
        <v>130</v>
      </c>
      <c r="B29" s="501">
        <v>0.13443335759216019</v>
      </c>
      <c r="C29" s="523">
        <v>233.9140422103587</v>
      </c>
    </row>
    <row r="30" spans="1:3" ht="12.75" customHeight="1">
      <c r="A30" s="458" t="s">
        <v>131</v>
      </c>
      <c r="B30" s="501" t="s">
        <v>367</v>
      </c>
      <c r="C30" s="523" t="s">
        <v>367</v>
      </c>
    </row>
    <row r="31" spans="1:3" ht="12.75" customHeight="1">
      <c r="A31" s="458" t="s">
        <v>132</v>
      </c>
      <c r="B31" s="501">
        <v>18.72653049057315</v>
      </c>
      <c r="C31" s="523">
        <v>112359.18294343891</v>
      </c>
    </row>
    <row r="32" spans="1:3" ht="12.75" customHeight="1">
      <c r="A32" s="458" t="s">
        <v>133</v>
      </c>
      <c r="B32" s="501" t="s">
        <v>367</v>
      </c>
      <c r="C32" s="523" t="s">
        <v>367</v>
      </c>
    </row>
    <row r="33" spans="1:3" ht="12.75" customHeight="1">
      <c r="A33" s="458" t="s">
        <v>134</v>
      </c>
      <c r="B33" s="501">
        <v>5</v>
      </c>
      <c r="C33" s="523">
        <v>110000</v>
      </c>
    </row>
    <row r="34" spans="1:3" ht="12.75" customHeight="1">
      <c r="A34" s="458" t="s">
        <v>614</v>
      </c>
      <c r="B34" s="501" t="s">
        <v>367</v>
      </c>
      <c r="C34" s="523" t="s">
        <v>367</v>
      </c>
    </row>
    <row r="35" spans="1:3" ht="12.75" customHeight="1">
      <c r="A35" s="458" t="s">
        <v>135</v>
      </c>
      <c r="B35" s="501" t="s">
        <v>367</v>
      </c>
      <c r="C35" s="523" t="s">
        <v>367</v>
      </c>
    </row>
    <row r="36" spans="1:3" ht="12.75" customHeight="1">
      <c r="A36" s="458" t="s">
        <v>136</v>
      </c>
      <c r="B36" s="501">
        <v>50</v>
      </c>
      <c r="C36" s="523">
        <v>130000</v>
      </c>
    </row>
    <row r="37" spans="1:3" ht="12.75" customHeight="1">
      <c r="A37" s="458" t="s">
        <v>781</v>
      </c>
      <c r="B37" s="501">
        <v>16</v>
      </c>
      <c r="C37" s="523">
        <v>144000</v>
      </c>
    </row>
    <row r="38" spans="1:3" ht="12.75" customHeight="1">
      <c r="A38" s="464" t="s">
        <v>137</v>
      </c>
      <c r="B38" s="501">
        <v>70</v>
      </c>
      <c r="C38" s="523">
        <v>210000</v>
      </c>
    </row>
    <row r="39" spans="1:3" ht="12.75" customHeight="1">
      <c r="A39" s="458" t="s">
        <v>782</v>
      </c>
      <c r="B39" s="501">
        <v>1072.6530612244896</v>
      </c>
      <c r="C39" s="523">
        <v>7723102.0408163257</v>
      </c>
    </row>
    <row r="40" spans="1:3" ht="12.75" customHeight="1">
      <c r="A40" s="458" t="s">
        <v>138</v>
      </c>
      <c r="B40" s="501">
        <v>0.18</v>
      </c>
      <c r="C40" s="523">
        <v>1.6559999999999999</v>
      </c>
    </row>
    <row r="41" spans="1:3" ht="12.75" customHeight="1">
      <c r="A41" s="458" t="s">
        <v>612</v>
      </c>
      <c r="B41" s="501" t="s">
        <v>367</v>
      </c>
      <c r="C41" s="523" t="s">
        <v>367</v>
      </c>
    </row>
    <row r="42" spans="1:3" ht="12.75" customHeight="1">
      <c r="A42" s="458" t="s">
        <v>779</v>
      </c>
      <c r="B42" s="501" t="s">
        <v>367</v>
      </c>
      <c r="C42" s="523" t="s">
        <v>367</v>
      </c>
    </row>
    <row r="43" spans="1:3" ht="12.75" customHeight="1">
      <c r="A43" s="458" t="s">
        <v>780</v>
      </c>
      <c r="B43" s="501" t="s">
        <v>367</v>
      </c>
      <c r="C43" s="523" t="s">
        <v>367</v>
      </c>
    </row>
    <row r="44" spans="1:3" ht="12.75" customHeight="1">
      <c r="A44" s="458" t="s">
        <v>139</v>
      </c>
      <c r="B44" s="501" t="s">
        <v>367</v>
      </c>
      <c r="C44" s="523" t="s">
        <v>367</v>
      </c>
    </row>
    <row r="45" spans="1:3" ht="12.75" customHeight="1">
      <c r="A45" s="458" t="s">
        <v>140</v>
      </c>
      <c r="B45" s="501" t="s">
        <v>367</v>
      </c>
      <c r="C45" s="523" t="s">
        <v>367</v>
      </c>
    </row>
    <row r="46" spans="1:3" ht="12.75" customHeight="1">
      <c r="A46" s="458" t="s">
        <v>141</v>
      </c>
      <c r="B46" s="501" t="s">
        <v>367</v>
      </c>
      <c r="C46" s="523" t="s">
        <v>367</v>
      </c>
    </row>
    <row r="47" spans="1:3" ht="12.75" customHeight="1">
      <c r="A47" s="458" t="s">
        <v>142</v>
      </c>
      <c r="B47" s="501" t="s">
        <v>367</v>
      </c>
      <c r="C47" s="523" t="s">
        <v>367</v>
      </c>
    </row>
    <row r="48" spans="1:3" ht="12.75" customHeight="1">
      <c r="A48" s="462" t="s">
        <v>96</v>
      </c>
      <c r="B48" s="501" t="s">
        <v>367</v>
      </c>
      <c r="C48" s="523" t="s">
        <v>367</v>
      </c>
    </row>
    <row r="49" spans="1:3" ht="12.75" customHeight="1">
      <c r="A49" s="458" t="s">
        <v>97</v>
      </c>
      <c r="B49" s="501" t="s">
        <v>367</v>
      </c>
      <c r="C49" s="523" t="s">
        <v>367</v>
      </c>
    </row>
    <row r="50" spans="1:3" ht="12.75" customHeight="1">
      <c r="A50" s="458" t="s">
        <v>143</v>
      </c>
      <c r="B50" s="501" t="s">
        <v>367</v>
      </c>
      <c r="C50" s="523" t="s">
        <v>367</v>
      </c>
    </row>
    <row r="51" spans="1:3" ht="12.75" customHeight="1">
      <c r="A51" s="458" t="s">
        <v>381</v>
      </c>
      <c r="B51" s="501">
        <v>0.04</v>
      </c>
      <c r="C51" s="523">
        <v>4.8000000000000007</v>
      </c>
    </row>
    <row r="52" spans="1:3" ht="12.75" customHeight="1">
      <c r="A52" s="458" t="s">
        <v>144</v>
      </c>
      <c r="B52" s="501">
        <v>0.87111199475121337</v>
      </c>
      <c r="C52" s="523">
        <v>557.51167664077661</v>
      </c>
    </row>
    <row r="53" spans="1:3" ht="12.75" customHeight="1">
      <c r="A53" s="458" t="s">
        <v>487</v>
      </c>
      <c r="B53" s="501">
        <v>0.04</v>
      </c>
      <c r="C53" s="523">
        <v>21.6</v>
      </c>
    </row>
    <row r="54" spans="1:3" ht="12.75" customHeight="1">
      <c r="A54" s="458" t="s">
        <v>145</v>
      </c>
      <c r="B54" s="501">
        <v>10</v>
      </c>
      <c r="C54" s="523">
        <v>15600</v>
      </c>
    </row>
    <row r="55" spans="1:3" ht="12.75" customHeight="1">
      <c r="A55" s="458" t="s">
        <v>225</v>
      </c>
      <c r="B55" s="501">
        <v>5</v>
      </c>
      <c r="C55" s="523">
        <v>7789.9999999999991</v>
      </c>
    </row>
    <row r="56" spans="1:3" ht="12.75" customHeight="1">
      <c r="A56" s="458" t="s">
        <v>226</v>
      </c>
      <c r="B56" s="501">
        <v>5</v>
      </c>
      <c r="C56" s="523">
        <v>9900</v>
      </c>
    </row>
    <row r="57" spans="1:3" ht="12.75" customHeight="1">
      <c r="A57" s="458" t="s">
        <v>227</v>
      </c>
      <c r="B57" s="501" t="s">
        <v>367</v>
      </c>
      <c r="C57" s="523" t="s">
        <v>367</v>
      </c>
    </row>
    <row r="58" spans="1:3" ht="12.75" customHeight="1">
      <c r="A58" s="458" t="s">
        <v>361</v>
      </c>
      <c r="B58" s="501" t="s">
        <v>367</v>
      </c>
      <c r="C58" s="523" t="s">
        <v>367</v>
      </c>
    </row>
    <row r="59" spans="1:3" ht="12.75" customHeight="1">
      <c r="A59" s="458" t="s">
        <v>362</v>
      </c>
      <c r="B59" s="501" t="s">
        <v>367</v>
      </c>
      <c r="C59" s="523" t="s">
        <v>367</v>
      </c>
    </row>
    <row r="60" spans="1:3" ht="12.75" customHeight="1">
      <c r="A60" s="458" t="s">
        <v>363</v>
      </c>
      <c r="B60" s="501" t="s">
        <v>367</v>
      </c>
      <c r="C60" s="523" t="s">
        <v>367</v>
      </c>
    </row>
    <row r="61" spans="1:3" ht="12.75" customHeight="1">
      <c r="A61" s="458" t="s">
        <v>234</v>
      </c>
      <c r="B61" s="501">
        <v>2.7505849956546897</v>
      </c>
      <c r="C61" s="523">
        <v>12652.690980011574</v>
      </c>
    </row>
    <row r="62" spans="1:3" ht="12.75" customHeight="1">
      <c r="A62" s="458" t="s">
        <v>235</v>
      </c>
      <c r="B62" s="501">
        <v>5</v>
      </c>
      <c r="C62" s="523">
        <v>4800</v>
      </c>
    </row>
    <row r="63" spans="1:3" ht="12.75" customHeight="1">
      <c r="A63" s="458" t="s">
        <v>294</v>
      </c>
      <c r="B63" s="501">
        <v>7</v>
      </c>
      <c r="C63" s="523">
        <v>154000.00000000003</v>
      </c>
    </row>
    <row r="64" spans="1:3" ht="12.75" customHeight="1">
      <c r="A64" s="458" t="s">
        <v>295</v>
      </c>
      <c r="B64" s="501">
        <v>70</v>
      </c>
      <c r="C64" s="523">
        <v>238000</v>
      </c>
    </row>
    <row r="65" spans="1:3" ht="12.75" customHeight="1">
      <c r="A65" s="458" t="s">
        <v>228</v>
      </c>
      <c r="B65" s="501">
        <v>100</v>
      </c>
      <c r="C65" s="523">
        <v>760000</v>
      </c>
    </row>
    <row r="66" spans="1:3" ht="12.75" customHeight="1">
      <c r="A66" s="458" t="s">
        <v>942</v>
      </c>
      <c r="B66" s="501" t="s">
        <v>367</v>
      </c>
      <c r="C66" s="523" t="s">
        <v>367</v>
      </c>
    </row>
    <row r="67" spans="1:3" ht="12.75" customHeight="1">
      <c r="A67" s="458" t="s">
        <v>98</v>
      </c>
      <c r="B67" s="501" t="s">
        <v>367</v>
      </c>
      <c r="C67" s="523" t="s">
        <v>367</v>
      </c>
    </row>
    <row r="68" spans="1:3" ht="12.75" customHeight="1">
      <c r="A68" s="458" t="s">
        <v>943</v>
      </c>
      <c r="B68" s="501">
        <v>5</v>
      </c>
      <c r="C68" s="523">
        <v>12000</v>
      </c>
    </row>
    <row r="69" spans="1:3" ht="12.75" customHeight="1">
      <c r="A69" s="458" t="s">
        <v>296</v>
      </c>
      <c r="B69" s="501">
        <v>0.47246971144685262</v>
      </c>
      <c r="C69" s="523">
        <v>1417.4091343405578</v>
      </c>
    </row>
    <row r="70" spans="1:3" ht="12.75" customHeight="1">
      <c r="A70" s="458" t="s">
        <v>944</v>
      </c>
      <c r="B70" s="501" t="s">
        <v>367</v>
      </c>
      <c r="C70" s="523" t="s">
        <v>367</v>
      </c>
    </row>
    <row r="71" spans="1:3" ht="12.75" customHeight="1">
      <c r="A71" s="458" t="s">
        <v>945</v>
      </c>
      <c r="B71" s="501" t="s">
        <v>367</v>
      </c>
      <c r="C71" s="523" t="s">
        <v>367</v>
      </c>
    </row>
    <row r="72" spans="1:3" ht="12.75" customHeight="1">
      <c r="A72" s="458" t="s">
        <v>947</v>
      </c>
      <c r="B72" s="501">
        <v>355.32722285616643</v>
      </c>
      <c r="C72" s="523" t="s">
        <v>367</v>
      </c>
    </row>
    <row r="73" spans="1:3" ht="12.75" customHeight="1">
      <c r="A73" s="458" t="s">
        <v>946</v>
      </c>
      <c r="B73" s="501" t="s">
        <v>367</v>
      </c>
      <c r="C73" s="523" t="s">
        <v>367</v>
      </c>
    </row>
    <row r="74" spans="1:3" ht="12.75" customHeight="1">
      <c r="A74" s="462" t="s">
        <v>99</v>
      </c>
      <c r="B74" s="501" t="s">
        <v>367</v>
      </c>
      <c r="C74" s="523" t="s">
        <v>367</v>
      </c>
    </row>
    <row r="75" spans="1:3" ht="12.75" customHeight="1">
      <c r="A75" s="458" t="s">
        <v>297</v>
      </c>
      <c r="B75" s="501" t="s">
        <v>367</v>
      </c>
      <c r="C75" s="523" t="s">
        <v>367</v>
      </c>
    </row>
    <row r="76" spans="1:3" ht="12.75" customHeight="1">
      <c r="A76" s="462" t="s">
        <v>100</v>
      </c>
      <c r="B76" s="501" t="s">
        <v>367</v>
      </c>
      <c r="C76" s="523" t="s">
        <v>367</v>
      </c>
    </row>
    <row r="77" spans="1:3" ht="12.75" customHeight="1">
      <c r="A77" s="462" t="s">
        <v>101</v>
      </c>
      <c r="B77" s="501" t="s">
        <v>367</v>
      </c>
      <c r="C77" s="523" t="s">
        <v>367</v>
      </c>
    </row>
    <row r="78" spans="1:3" ht="12.75" customHeight="1">
      <c r="A78" s="458" t="s">
        <v>382</v>
      </c>
      <c r="B78" s="501" t="s">
        <v>367</v>
      </c>
      <c r="C78" s="523" t="s">
        <v>367</v>
      </c>
    </row>
    <row r="79" spans="1:3" ht="12.75" customHeight="1">
      <c r="A79" s="458" t="s">
        <v>1365</v>
      </c>
      <c r="B79" s="501" t="s">
        <v>367</v>
      </c>
      <c r="C79" s="523" t="s">
        <v>367</v>
      </c>
    </row>
    <row r="80" spans="1:3" ht="12.75" customHeight="1">
      <c r="A80" s="458" t="s">
        <v>102</v>
      </c>
      <c r="B80" s="501" t="s">
        <v>367</v>
      </c>
      <c r="C80" s="523" t="s">
        <v>367</v>
      </c>
    </row>
    <row r="81" spans="1:3" ht="12.75" customHeight="1">
      <c r="A81" s="458" t="s">
        <v>370</v>
      </c>
      <c r="B81" s="501" t="s">
        <v>367</v>
      </c>
      <c r="C81" s="523" t="s">
        <v>367</v>
      </c>
    </row>
    <row r="82" spans="1:3" ht="12.75" customHeight="1">
      <c r="A82" s="458" t="s">
        <v>337</v>
      </c>
      <c r="B82" s="501" t="s">
        <v>367</v>
      </c>
      <c r="C82" s="523" t="s">
        <v>367</v>
      </c>
    </row>
    <row r="83" spans="1:3" ht="12.75" customHeight="1">
      <c r="A83" s="458" t="s">
        <v>28</v>
      </c>
      <c r="B83" s="501" t="s">
        <v>367</v>
      </c>
      <c r="C83" s="523" t="s">
        <v>367</v>
      </c>
    </row>
    <row r="84" spans="1:3" ht="12.75" customHeight="1">
      <c r="A84" s="458" t="s">
        <v>338</v>
      </c>
      <c r="B84" s="501">
        <v>30</v>
      </c>
      <c r="C84" s="523">
        <v>192000</v>
      </c>
    </row>
    <row r="85" spans="1:3" ht="12.75" customHeight="1">
      <c r="A85" s="458" t="s">
        <v>339</v>
      </c>
      <c r="B85" s="501" t="s">
        <v>367</v>
      </c>
      <c r="C85" s="523" t="s">
        <v>367</v>
      </c>
    </row>
    <row r="86" spans="1:3" ht="12.75" customHeight="1">
      <c r="A86" s="458" t="s">
        <v>340</v>
      </c>
      <c r="B86" s="501" t="s">
        <v>367</v>
      </c>
      <c r="C86" s="523" t="s">
        <v>367</v>
      </c>
    </row>
    <row r="87" spans="1:3" ht="12.75" customHeight="1">
      <c r="A87" s="458" t="s">
        <v>103</v>
      </c>
      <c r="B87" s="501" t="s">
        <v>367</v>
      </c>
      <c r="C87" s="523" t="s">
        <v>367</v>
      </c>
    </row>
    <row r="88" spans="1:3" ht="12.75" customHeight="1">
      <c r="A88" s="458" t="s">
        <v>341</v>
      </c>
      <c r="B88" s="501" t="s">
        <v>367</v>
      </c>
      <c r="C88" s="523" t="s">
        <v>367</v>
      </c>
    </row>
    <row r="89" spans="1:3" ht="12.75" customHeight="1">
      <c r="A89" s="458" t="s">
        <v>342</v>
      </c>
      <c r="B89" s="501" t="s">
        <v>367</v>
      </c>
      <c r="C89" s="523" t="s">
        <v>367</v>
      </c>
    </row>
    <row r="90" spans="1:3" ht="12.75" customHeight="1">
      <c r="A90" s="458" t="s">
        <v>371</v>
      </c>
      <c r="B90" s="501" t="s">
        <v>367</v>
      </c>
      <c r="C90" s="523" t="s">
        <v>367</v>
      </c>
    </row>
    <row r="91" spans="1:3" ht="12.75" customHeight="1">
      <c r="A91" s="458" t="s">
        <v>343</v>
      </c>
      <c r="B91" s="501" t="s">
        <v>367</v>
      </c>
      <c r="C91" s="523" t="s">
        <v>367</v>
      </c>
    </row>
    <row r="92" spans="1:3" ht="12.75" customHeight="1">
      <c r="A92" s="458" t="s">
        <v>364</v>
      </c>
      <c r="B92" s="501" t="s">
        <v>367</v>
      </c>
      <c r="C92" s="523" t="s">
        <v>367</v>
      </c>
    </row>
    <row r="93" spans="1:3" ht="12.75" customHeight="1">
      <c r="A93" s="458" t="s">
        <v>344</v>
      </c>
      <c r="B93" s="501" t="s">
        <v>367</v>
      </c>
      <c r="C93" s="523" t="s">
        <v>367</v>
      </c>
    </row>
    <row r="94" spans="1:3" ht="12.75" customHeight="1">
      <c r="A94" s="458" t="s">
        <v>104</v>
      </c>
      <c r="B94" s="501" t="s">
        <v>367</v>
      </c>
      <c r="C94" s="523" t="s">
        <v>367</v>
      </c>
    </row>
    <row r="95" spans="1:3" ht="12.75" customHeight="1">
      <c r="A95" s="458" t="s">
        <v>345</v>
      </c>
      <c r="B95" s="501" t="s">
        <v>367</v>
      </c>
      <c r="C95" s="523" t="s">
        <v>367</v>
      </c>
    </row>
    <row r="96" spans="1:3" ht="12.75" customHeight="1">
      <c r="A96" s="458" t="s">
        <v>105</v>
      </c>
      <c r="B96" s="501" t="s">
        <v>367</v>
      </c>
      <c r="C96" s="523" t="s">
        <v>367</v>
      </c>
    </row>
    <row r="97" spans="1:3" ht="12.75" customHeight="1">
      <c r="A97" s="458" t="s">
        <v>346</v>
      </c>
      <c r="B97" s="501" t="s">
        <v>367</v>
      </c>
      <c r="C97" s="523" t="s">
        <v>367</v>
      </c>
    </row>
    <row r="98" spans="1:3" ht="12.75" customHeight="1">
      <c r="A98" s="458" t="s">
        <v>347</v>
      </c>
      <c r="B98" s="501" t="s">
        <v>367</v>
      </c>
      <c r="C98" s="523" t="s">
        <v>367</v>
      </c>
    </row>
    <row r="99" spans="1:3" ht="12.75" customHeight="1">
      <c r="A99" s="458" t="s">
        <v>348</v>
      </c>
      <c r="B99" s="501" t="s">
        <v>367</v>
      </c>
      <c r="C99" s="523" t="s">
        <v>367</v>
      </c>
    </row>
    <row r="100" spans="1:3" ht="12.75" customHeight="1">
      <c r="A100" s="458" t="s">
        <v>350</v>
      </c>
      <c r="B100" s="501">
        <v>8400</v>
      </c>
      <c r="C100" s="523">
        <v>386400</v>
      </c>
    </row>
    <row r="101" spans="1:3" ht="12.75" customHeight="1">
      <c r="A101" s="458" t="s">
        <v>351</v>
      </c>
      <c r="B101" s="501">
        <v>1300</v>
      </c>
      <c r="C101" s="523">
        <v>145600</v>
      </c>
    </row>
    <row r="102" spans="1:3" ht="12.75" customHeight="1">
      <c r="A102" s="458" t="s">
        <v>352</v>
      </c>
      <c r="B102" s="501" t="s">
        <v>367</v>
      </c>
      <c r="C102" s="523" t="s">
        <v>367</v>
      </c>
    </row>
    <row r="103" spans="1:3" ht="12.75" customHeight="1">
      <c r="A103" s="458" t="s">
        <v>353</v>
      </c>
      <c r="B103" s="501">
        <v>5</v>
      </c>
      <c r="C103" s="523">
        <v>2400</v>
      </c>
    </row>
    <row r="104" spans="1:3" ht="12.75" customHeight="1">
      <c r="A104" s="458" t="s">
        <v>349</v>
      </c>
      <c r="B104" s="501">
        <v>5</v>
      </c>
      <c r="C104" s="523">
        <v>13000</v>
      </c>
    </row>
    <row r="105" spans="1:3" ht="12.75" customHeight="1">
      <c r="A105" s="458" t="s">
        <v>590</v>
      </c>
      <c r="B105" s="501" t="s">
        <v>367</v>
      </c>
      <c r="C105" s="523" t="s">
        <v>367</v>
      </c>
    </row>
    <row r="106" spans="1:3" ht="12.75" customHeight="1">
      <c r="A106" s="458" t="s">
        <v>591</v>
      </c>
      <c r="B106" s="501" t="s">
        <v>367</v>
      </c>
      <c r="C106" s="523" t="s">
        <v>367</v>
      </c>
    </row>
    <row r="107" spans="1:3" ht="12.75" customHeight="1">
      <c r="A107" s="458" t="s">
        <v>465</v>
      </c>
      <c r="B107" s="501" t="s">
        <v>367</v>
      </c>
      <c r="C107" s="523" t="s">
        <v>367</v>
      </c>
    </row>
    <row r="108" spans="1:3" ht="12.75" customHeight="1">
      <c r="A108" s="458" t="s">
        <v>466</v>
      </c>
      <c r="B108" s="501">
        <v>17</v>
      </c>
      <c r="C108" s="523">
        <v>6120</v>
      </c>
    </row>
    <row r="109" spans="1:3" ht="12.75" customHeight="1">
      <c r="A109" s="458" t="s">
        <v>812</v>
      </c>
      <c r="B109" s="501" t="s">
        <v>367</v>
      </c>
      <c r="C109" s="523" t="s">
        <v>367</v>
      </c>
    </row>
    <row r="110" spans="1:3" ht="12.75" customHeight="1">
      <c r="A110" s="462" t="s">
        <v>106</v>
      </c>
      <c r="B110" s="501">
        <v>0.14038461538461536</v>
      </c>
      <c r="C110" s="523">
        <v>2.7515384615384608</v>
      </c>
    </row>
    <row r="111" spans="1:3" ht="12.75" customHeight="1">
      <c r="A111" s="462" t="s">
        <v>107</v>
      </c>
      <c r="B111" s="501" t="s">
        <v>367</v>
      </c>
      <c r="C111" s="523" t="s">
        <v>367</v>
      </c>
    </row>
    <row r="112" spans="1:3" ht="12.75" customHeight="1">
      <c r="A112" s="462" t="s">
        <v>108</v>
      </c>
      <c r="B112" s="501">
        <v>0.31415552893667309</v>
      </c>
      <c r="C112" s="523">
        <v>3.2043863951540659</v>
      </c>
    </row>
    <row r="113" spans="1:3" ht="12.75" customHeight="1">
      <c r="A113" s="462" t="s">
        <v>109</v>
      </c>
      <c r="B113" s="501">
        <v>1.7483564887195151</v>
      </c>
      <c r="C113" s="523" t="s">
        <v>367</v>
      </c>
    </row>
    <row r="114" spans="1:3" ht="12.75" customHeight="1">
      <c r="A114" s="462" t="s">
        <v>110</v>
      </c>
      <c r="B114" s="501" t="s">
        <v>367</v>
      </c>
      <c r="C114" s="523" t="s">
        <v>367</v>
      </c>
    </row>
    <row r="115" spans="1:3" ht="12.75" customHeight="1">
      <c r="A115" s="458" t="s">
        <v>467</v>
      </c>
      <c r="B115" s="501" t="s">
        <v>367</v>
      </c>
      <c r="C115" s="523" t="s">
        <v>367</v>
      </c>
    </row>
    <row r="116" spans="1:3" ht="12.75" customHeight="1">
      <c r="A116" s="462" t="s">
        <v>111</v>
      </c>
      <c r="B116" s="501" t="s">
        <v>367</v>
      </c>
      <c r="C116" s="523" t="s">
        <v>367</v>
      </c>
    </row>
    <row r="117" spans="1:3" ht="12.75" customHeight="1">
      <c r="A117" s="458" t="s">
        <v>231</v>
      </c>
      <c r="B117" s="501" t="s">
        <v>367</v>
      </c>
      <c r="C117" s="523" t="s">
        <v>367</v>
      </c>
    </row>
    <row r="118" spans="1:3" ht="12.75" customHeight="1">
      <c r="A118" s="458" t="s">
        <v>468</v>
      </c>
      <c r="B118" s="501" t="s">
        <v>367</v>
      </c>
      <c r="C118" s="523" t="s">
        <v>367</v>
      </c>
    </row>
    <row r="119" spans="1:3" ht="12.75" customHeight="1">
      <c r="A119" s="458" t="s">
        <v>469</v>
      </c>
      <c r="B119" s="501" t="s">
        <v>367</v>
      </c>
      <c r="C119" s="523" t="s">
        <v>367</v>
      </c>
    </row>
    <row r="120" spans="1:3" ht="12.75" customHeight="1">
      <c r="A120" s="458" t="s">
        <v>365</v>
      </c>
      <c r="B120" s="501" t="s">
        <v>367</v>
      </c>
      <c r="C120" s="523" t="s">
        <v>367</v>
      </c>
    </row>
    <row r="121" spans="1:3" ht="12.75" customHeight="1">
      <c r="A121" s="458" t="s">
        <v>112</v>
      </c>
      <c r="B121" s="501" t="s">
        <v>367</v>
      </c>
      <c r="C121" s="523" t="s">
        <v>367</v>
      </c>
    </row>
    <row r="122" spans="1:3" ht="12.75" customHeight="1">
      <c r="A122" s="458" t="s">
        <v>470</v>
      </c>
      <c r="B122" s="501" t="s">
        <v>367</v>
      </c>
      <c r="C122" s="523" t="s">
        <v>367</v>
      </c>
    </row>
    <row r="123" spans="1:3" ht="12.75" customHeight="1">
      <c r="A123" s="458" t="s">
        <v>471</v>
      </c>
      <c r="B123" s="501" t="s">
        <v>367</v>
      </c>
      <c r="C123" s="523" t="s">
        <v>367</v>
      </c>
    </row>
    <row r="124" spans="1:3" ht="12.75" customHeight="1">
      <c r="A124" s="458" t="s">
        <v>813</v>
      </c>
      <c r="B124" s="501" t="s">
        <v>367</v>
      </c>
      <c r="C124" s="523" t="s">
        <v>367</v>
      </c>
    </row>
    <row r="125" spans="1:3" ht="12.75" customHeight="1">
      <c r="A125" s="458" t="s">
        <v>113</v>
      </c>
      <c r="B125" s="501" t="s">
        <v>367</v>
      </c>
      <c r="C125" s="523" t="s">
        <v>367</v>
      </c>
    </row>
    <row r="126" spans="1:3" ht="12.75" customHeight="1">
      <c r="A126" s="458" t="s">
        <v>472</v>
      </c>
      <c r="B126" s="501">
        <v>10</v>
      </c>
      <c r="C126" s="523">
        <v>22000</v>
      </c>
    </row>
    <row r="127" spans="1:3" ht="12.75" customHeight="1">
      <c r="A127" s="458" t="s">
        <v>114</v>
      </c>
      <c r="B127" s="501" t="s">
        <v>367</v>
      </c>
      <c r="C127" s="523" t="s">
        <v>367</v>
      </c>
    </row>
    <row r="128" spans="1:3" ht="12.75" customHeight="1">
      <c r="A128" s="458" t="s">
        <v>19</v>
      </c>
      <c r="B128" s="501">
        <v>59.526771727540208</v>
      </c>
      <c r="C128" s="523">
        <v>440.49811078379753</v>
      </c>
    </row>
    <row r="129" spans="1:3" ht="12.75" customHeight="1">
      <c r="A129" s="458" t="s">
        <v>473</v>
      </c>
      <c r="B129" s="501">
        <v>0.57369738025483408</v>
      </c>
      <c r="C129" s="523">
        <v>1147.3947605096682</v>
      </c>
    </row>
    <row r="130" spans="1:3" ht="12.75" customHeight="1">
      <c r="A130" s="458" t="s">
        <v>474</v>
      </c>
      <c r="B130" s="501">
        <v>7.5738899992116304E-2</v>
      </c>
      <c r="C130" s="523">
        <v>22.721669997634887</v>
      </c>
    </row>
    <row r="131" spans="1:3" ht="12.75" customHeight="1">
      <c r="A131" s="458" t="s">
        <v>475</v>
      </c>
      <c r="B131" s="501">
        <v>5</v>
      </c>
      <c r="C131" s="523">
        <v>71999.999999999985</v>
      </c>
    </row>
    <row r="132" spans="1:3" ht="12.75" customHeight="1">
      <c r="A132" s="458" t="s">
        <v>115</v>
      </c>
      <c r="B132" s="501" t="s">
        <v>367</v>
      </c>
      <c r="C132" s="523" t="s">
        <v>367</v>
      </c>
    </row>
    <row r="133" spans="1:3" ht="12.75" customHeight="1">
      <c r="A133" s="462" t="s">
        <v>116</v>
      </c>
      <c r="B133" s="501" t="s">
        <v>367</v>
      </c>
      <c r="C133" s="523" t="s">
        <v>367</v>
      </c>
    </row>
    <row r="134" spans="1:3" ht="12.75" customHeight="1">
      <c r="A134" s="458" t="s">
        <v>476</v>
      </c>
      <c r="B134" s="501" t="s">
        <v>367</v>
      </c>
      <c r="C134" s="523" t="s">
        <v>367</v>
      </c>
    </row>
    <row r="135" spans="1:3" ht="12.75" customHeight="1">
      <c r="A135" s="458" t="s">
        <v>366</v>
      </c>
      <c r="B135" s="501">
        <v>40</v>
      </c>
      <c r="C135" s="523">
        <v>216000</v>
      </c>
    </row>
    <row r="136" spans="1:3" ht="12.75" customHeight="1">
      <c r="A136" s="458" t="s">
        <v>20</v>
      </c>
      <c r="B136" s="501" t="s">
        <v>367</v>
      </c>
      <c r="C136" s="523" t="s">
        <v>367</v>
      </c>
    </row>
    <row r="137" spans="1:3" ht="12.75" customHeight="1">
      <c r="A137" s="458" t="s">
        <v>57</v>
      </c>
      <c r="B137" s="501">
        <v>73.986001486842099</v>
      </c>
      <c r="C137" s="523">
        <v>20568108.413342103</v>
      </c>
    </row>
    <row r="138" spans="1:3" ht="12.75" customHeight="1">
      <c r="A138" s="458" t="s">
        <v>56</v>
      </c>
      <c r="B138" s="501">
        <v>91.174062952030283</v>
      </c>
      <c r="C138" s="523">
        <v>25346389.500664417</v>
      </c>
    </row>
    <row r="139" spans="1:3" ht="12.75" customHeight="1">
      <c r="A139" s="458" t="s">
        <v>777</v>
      </c>
      <c r="B139" s="501" t="s">
        <v>367</v>
      </c>
      <c r="C139" s="523" t="s">
        <v>367</v>
      </c>
    </row>
    <row r="140" spans="1:3" ht="12.75" customHeight="1">
      <c r="A140" s="458" t="s">
        <v>814</v>
      </c>
      <c r="B140" s="501">
        <v>70</v>
      </c>
      <c r="C140" s="523">
        <v>81200.000000000015</v>
      </c>
    </row>
    <row r="141" spans="1:3" ht="12.75" customHeight="1">
      <c r="A141" s="458" t="s">
        <v>815</v>
      </c>
      <c r="B141" s="501">
        <v>200</v>
      </c>
      <c r="C141" s="523">
        <v>2800000</v>
      </c>
    </row>
    <row r="142" spans="1:3" ht="12.75" customHeight="1">
      <c r="A142" s="458" t="s">
        <v>477</v>
      </c>
      <c r="B142" s="501">
        <v>5</v>
      </c>
      <c r="C142" s="523">
        <v>3400</v>
      </c>
    </row>
    <row r="143" spans="1:3" ht="12.75" customHeight="1">
      <c r="A143" s="458" t="s">
        <v>478</v>
      </c>
      <c r="B143" s="501">
        <v>5</v>
      </c>
      <c r="C143" s="523">
        <v>40000</v>
      </c>
    </row>
    <row r="144" spans="1:3" ht="12.75" customHeight="1">
      <c r="A144" s="458" t="s">
        <v>479</v>
      </c>
      <c r="B144" s="501" t="s">
        <v>367</v>
      </c>
      <c r="C144" s="523" t="s">
        <v>367</v>
      </c>
    </row>
    <row r="145" spans="1:3" ht="12.75" customHeight="1">
      <c r="A145" s="458" t="s">
        <v>480</v>
      </c>
      <c r="B145" s="501" t="s">
        <v>367</v>
      </c>
      <c r="C145" s="523" t="s">
        <v>367</v>
      </c>
    </row>
    <row r="146" spans="1:3" ht="12.75" customHeight="1">
      <c r="A146" s="462" t="s">
        <v>117</v>
      </c>
      <c r="B146" s="501" t="s">
        <v>367</v>
      </c>
      <c r="C146" s="523" t="s">
        <v>367</v>
      </c>
    </row>
    <row r="147" spans="1:3" ht="12.75" customHeight="1">
      <c r="A147" s="458" t="s">
        <v>118</v>
      </c>
      <c r="B147" s="501" t="s">
        <v>367</v>
      </c>
      <c r="C147" s="523" t="s">
        <v>367</v>
      </c>
    </row>
    <row r="148" spans="1:3" ht="12.75" customHeight="1">
      <c r="A148" s="458" t="s">
        <v>119</v>
      </c>
      <c r="B148" s="501">
        <v>0.6</v>
      </c>
      <c r="C148" s="523">
        <v>168</v>
      </c>
    </row>
    <row r="149" spans="1:3" ht="12.75" customHeight="1">
      <c r="A149" s="458" t="s">
        <v>120</v>
      </c>
      <c r="B149" s="501">
        <v>3.3315808860737541</v>
      </c>
      <c r="C149" s="523">
        <v>47974.764759462058</v>
      </c>
    </row>
    <row r="150" spans="1:3" ht="12.75" customHeight="1">
      <c r="A150" s="458" t="s">
        <v>602</v>
      </c>
      <c r="B150" s="501" t="s">
        <v>367</v>
      </c>
      <c r="C150" s="523" t="s">
        <v>367</v>
      </c>
    </row>
    <row r="151" spans="1:3" ht="12.75" customHeight="1">
      <c r="A151" s="462" t="s">
        <v>939</v>
      </c>
      <c r="B151" s="501" t="s">
        <v>367</v>
      </c>
      <c r="C151" s="523" t="s">
        <v>367</v>
      </c>
    </row>
    <row r="152" spans="1:3" ht="12.75" customHeight="1">
      <c r="A152" s="462" t="s">
        <v>603</v>
      </c>
      <c r="B152" s="501" t="s">
        <v>367</v>
      </c>
      <c r="C152" s="523" t="s">
        <v>367</v>
      </c>
    </row>
    <row r="153" spans="1:3" ht="12.75" customHeight="1">
      <c r="A153" s="462" t="s">
        <v>605</v>
      </c>
      <c r="B153" s="501" t="s">
        <v>367</v>
      </c>
      <c r="C153" s="523" t="s">
        <v>367</v>
      </c>
    </row>
    <row r="154" spans="1:3" ht="12.75" customHeight="1">
      <c r="A154" s="458" t="s">
        <v>481</v>
      </c>
      <c r="B154" s="501" t="s">
        <v>367</v>
      </c>
      <c r="C154" s="523" t="s">
        <v>367</v>
      </c>
    </row>
    <row r="155" spans="1:3" ht="12.75" customHeight="1">
      <c r="A155" s="458" t="s">
        <v>482</v>
      </c>
      <c r="B155" s="501">
        <v>2</v>
      </c>
      <c r="C155" s="523">
        <v>44000</v>
      </c>
    </row>
    <row r="156" spans="1:3" ht="12.75" customHeight="1">
      <c r="A156" s="458" t="s">
        <v>483</v>
      </c>
      <c r="B156" s="501">
        <v>20</v>
      </c>
      <c r="C156" s="523">
        <v>108000</v>
      </c>
    </row>
    <row r="157" spans="1:3" ht="12.75" customHeight="1">
      <c r="A157" s="458" t="s">
        <v>484</v>
      </c>
      <c r="B157" s="501" t="s">
        <v>367</v>
      </c>
      <c r="C157" s="523" t="s">
        <v>367</v>
      </c>
    </row>
    <row r="158" spans="1:3" ht="25.5" customHeight="1">
      <c r="A158" s="465" t="s">
        <v>615</v>
      </c>
      <c r="B158" s="501" t="s">
        <v>367</v>
      </c>
      <c r="C158" s="523" t="s">
        <v>367</v>
      </c>
    </row>
    <row r="159" spans="1:3" ht="12.75" customHeight="1" thickBot="1">
      <c r="A159" s="466" t="s">
        <v>616</v>
      </c>
      <c r="B159" s="501" t="s">
        <v>367</v>
      </c>
      <c r="C159" s="525" t="s">
        <v>367</v>
      </c>
    </row>
    <row r="160" spans="1:3" ht="10.5" thickTop="1">
      <c r="A160" s="526" t="s">
        <v>488</v>
      </c>
      <c r="B160" s="527"/>
      <c r="C160" s="528"/>
    </row>
    <row r="161" spans="1:3" ht="47.25" customHeight="1">
      <c r="A161" s="1386" t="s">
        <v>1378</v>
      </c>
      <c r="B161" s="1398"/>
      <c r="C161" s="1387"/>
    </row>
    <row r="162" spans="1:3" ht="25.5" customHeight="1" thickBot="1">
      <c r="A162" s="1392" t="s">
        <v>1377</v>
      </c>
      <c r="B162" s="1397"/>
      <c r="C162" s="1385"/>
    </row>
    <row r="163" spans="1:3" ht="10.5" thickTop="1"/>
  </sheetData>
  <sheetProtection algorithmName="SHA-512" hashValue="ij+Ld5JUJ0V/XZ2Kl2zWNXTzniA3XrsfpODTEc4l+zgY+QIr24+16FqkaO5Z+Tjdqzk/xD0gqZn1tPVjI3L6hg==" saltValue="7EC5lRjFTJPiwfwLLsEZBA==" spinCount="100000" sheet="1" objects="1" scenarios="1"/>
  <mergeCells count="3">
    <mergeCell ref="A1:C1"/>
    <mergeCell ref="A162:C162"/>
    <mergeCell ref="A161:C161"/>
  </mergeCells>
  <pageMargins left="0.7" right="0.7" top="0.75" bottom="0.75" header="0.3" footer="0.3"/>
  <pageSetup orientation="portrait" r:id="rId1"/>
  <headerFooter>
    <oddFooter>&amp;LHawai'i DOH
Spring 2024&amp;CPage &amp;P of &amp;N&amp;R&amp;A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670FD-6301-4B8A-A7EF-044F403F17D1}">
  <sheetPr>
    <tabColor indexed="11"/>
  </sheetPr>
  <dimension ref="A1:F157"/>
  <sheetViews>
    <sheetView workbookViewId="0">
      <selection activeCell="B3" sqref="B3"/>
    </sheetView>
  </sheetViews>
  <sheetFormatPr defaultColWidth="8.73046875" defaultRowHeight="12.75"/>
  <cols>
    <col min="1" max="1" width="15.73046875" style="1173" customWidth="1"/>
    <col min="2" max="2" width="48.73046875" style="1162" customWidth="1"/>
    <col min="3" max="3" width="15.73046875" style="1162" customWidth="1"/>
    <col min="4" max="4" width="49.73046875" style="1162" customWidth="1"/>
    <col min="5" max="5" width="15.73046875" style="1162" customWidth="1"/>
    <col min="6" max="6" width="48.73046875" style="1162" customWidth="1"/>
    <col min="7" max="16384" width="8.73046875" style="1162"/>
  </cols>
  <sheetData>
    <row r="1" spans="1:2" ht="15" customHeight="1">
      <c r="A1" s="1399" t="s">
        <v>1438</v>
      </c>
      <c r="B1" s="1400"/>
    </row>
    <row r="2" spans="1:2" ht="11.25" customHeight="1">
      <c r="A2" s="1400"/>
      <c r="B2" s="1400"/>
    </row>
    <row r="3" spans="1:2" ht="11.25" customHeight="1">
      <c r="A3" s="1163" t="s">
        <v>1439</v>
      </c>
      <c r="B3" s="1164" t="s">
        <v>1440</v>
      </c>
    </row>
    <row r="4" spans="1:2" ht="11.25" customHeight="1">
      <c r="A4" s="1165" t="s">
        <v>1441</v>
      </c>
      <c r="B4" s="1166" t="s">
        <v>1442</v>
      </c>
    </row>
    <row r="5" spans="1:2" ht="11.25" customHeight="1">
      <c r="A5" s="1165" t="s">
        <v>1443</v>
      </c>
      <c r="B5" s="1166" t="s">
        <v>1444</v>
      </c>
    </row>
    <row r="6" spans="1:2" ht="11.25" customHeight="1">
      <c r="A6" s="1165" t="s">
        <v>1445</v>
      </c>
      <c r="B6" s="1166" t="s">
        <v>1446</v>
      </c>
    </row>
    <row r="7" spans="1:2" ht="11.25" customHeight="1">
      <c r="A7" s="1165" t="s">
        <v>1447</v>
      </c>
      <c r="B7" s="1166" t="s">
        <v>1448</v>
      </c>
    </row>
    <row r="8" spans="1:2" ht="11.25" customHeight="1">
      <c r="A8" s="1165" t="s">
        <v>1449</v>
      </c>
      <c r="B8" s="1166" t="s">
        <v>1450</v>
      </c>
    </row>
    <row r="9" spans="1:2" ht="11.25" customHeight="1">
      <c r="A9" s="1165" t="s">
        <v>1451</v>
      </c>
      <c r="B9" s="1166" t="s">
        <v>1452</v>
      </c>
    </row>
    <row r="10" spans="1:2" ht="11.25" customHeight="1">
      <c r="A10" s="1165" t="s">
        <v>1453</v>
      </c>
      <c r="B10" s="1166" t="s">
        <v>1454</v>
      </c>
    </row>
    <row r="11" spans="1:2" ht="11.25" customHeight="1">
      <c r="A11" s="1165" t="s">
        <v>1455</v>
      </c>
      <c r="B11" s="1166" t="s">
        <v>1456</v>
      </c>
    </row>
    <row r="12" spans="1:2" ht="11.25" customHeight="1">
      <c r="A12" s="1165" t="s">
        <v>1457</v>
      </c>
      <c r="B12" s="1166" t="s">
        <v>1458</v>
      </c>
    </row>
    <row r="13" spans="1:2" ht="11.25" customHeight="1">
      <c r="A13" s="1165" t="s">
        <v>1459</v>
      </c>
      <c r="B13" s="1166" t="s">
        <v>1460</v>
      </c>
    </row>
    <row r="14" spans="1:2" ht="11.25" customHeight="1">
      <c r="A14" s="1165" t="s">
        <v>1461</v>
      </c>
      <c r="B14" s="1166" t="s">
        <v>1462</v>
      </c>
    </row>
    <row r="15" spans="1:2" ht="11.25" customHeight="1">
      <c r="A15" s="1167" t="s">
        <v>1463</v>
      </c>
      <c r="B15" s="1166" t="s">
        <v>1464</v>
      </c>
    </row>
    <row r="16" spans="1:2" ht="11.25" customHeight="1">
      <c r="A16" s="1168" t="s">
        <v>1465</v>
      </c>
      <c r="B16" s="1169" t="s">
        <v>1466</v>
      </c>
    </row>
    <row r="17" spans="1:6" ht="11.25" customHeight="1">
      <c r="A17" s="1170" t="s">
        <v>1467</v>
      </c>
      <c r="B17" s="1166" t="s">
        <v>1468</v>
      </c>
    </row>
    <row r="18" spans="1:6" ht="11.25" customHeight="1">
      <c r="A18" s="1165" t="s">
        <v>1469</v>
      </c>
      <c r="B18" s="1166" t="s">
        <v>1470</v>
      </c>
      <c r="E18" s="441"/>
      <c r="F18" s="441"/>
    </row>
    <row r="19" spans="1:6" ht="11.25" customHeight="1">
      <c r="A19" s="1165" t="s">
        <v>1471</v>
      </c>
      <c r="B19" s="1166" t="s">
        <v>1472</v>
      </c>
      <c r="E19" s="441"/>
      <c r="F19" s="441"/>
    </row>
    <row r="20" spans="1:6" ht="11.25" customHeight="1">
      <c r="A20" s="1165" t="s">
        <v>1473</v>
      </c>
      <c r="B20" s="1166" t="s">
        <v>1474</v>
      </c>
      <c r="E20" s="441"/>
      <c r="F20" s="441"/>
    </row>
    <row r="21" spans="1:6" ht="11.25" customHeight="1">
      <c r="A21" s="1165" t="s">
        <v>1475</v>
      </c>
      <c r="B21" s="1166" t="s">
        <v>1476</v>
      </c>
      <c r="E21" s="441"/>
      <c r="F21" s="441"/>
    </row>
    <row r="22" spans="1:6" ht="11.25" customHeight="1">
      <c r="A22" s="1165" t="s">
        <v>1477</v>
      </c>
      <c r="B22" s="1166" t="s">
        <v>1478</v>
      </c>
      <c r="E22" s="441"/>
      <c r="F22" s="441"/>
    </row>
    <row r="23" spans="1:6" ht="11.25" customHeight="1">
      <c r="A23" s="1165" t="s">
        <v>1479</v>
      </c>
      <c r="B23" s="1166" t="s">
        <v>1480</v>
      </c>
      <c r="E23" s="441"/>
      <c r="F23" s="441"/>
    </row>
    <row r="24" spans="1:6" ht="11.25" customHeight="1">
      <c r="A24" s="1165" t="s">
        <v>1481</v>
      </c>
      <c r="B24" s="1166" t="s">
        <v>1482</v>
      </c>
      <c r="E24" s="441"/>
      <c r="F24" s="441"/>
    </row>
    <row r="25" spans="1:6" ht="11.25" customHeight="1">
      <c r="A25" s="1165" t="s">
        <v>1483</v>
      </c>
      <c r="B25" s="1166" t="s">
        <v>1484</v>
      </c>
      <c r="E25" s="441"/>
      <c r="F25" s="441"/>
    </row>
    <row r="26" spans="1:6" ht="11.25" customHeight="1">
      <c r="A26" s="1165" t="s">
        <v>1485</v>
      </c>
      <c r="B26" s="1166" t="s">
        <v>1486</v>
      </c>
      <c r="E26" s="441"/>
      <c r="F26" s="441"/>
    </row>
    <row r="27" spans="1:6" ht="11.25" customHeight="1">
      <c r="A27" s="1165" t="s">
        <v>1487</v>
      </c>
      <c r="B27" s="1166" t="s">
        <v>1488</v>
      </c>
      <c r="E27" s="441"/>
      <c r="F27" s="441"/>
    </row>
    <row r="28" spans="1:6" ht="11.25" customHeight="1">
      <c r="A28" s="1165" t="s">
        <v>1489</v>
      </c>
      <c r="B28" s="1166" t="s">
        <v>1490</v>
      </c>
      <c r="E28" s="441"/>
      <c r="F28" s="441"/>
    </row>
    <row r="29" spans="1:6" ht="11.25" customHeight="1">
      <c r="A29" s="1165" t="s">
        <v>1491</v>
      </c>
      <c r="B29" s="1166" t="s">
        <v>1492</v>
      </c>
      <c r="E29" s="441"/>
      <c r="F29" s="441"/>
    </row>
    <row r="30" spans="1:6" ht="11.25" customHeight="1">
      <c r="A30" s="1165" t="s">
        <v>1493</v>
      </c>
      <c r="B30" s="1166" t="s">
        <v>1494</v>
      </c>
      <c r="E30" s="441"/>
      <c r="F30" s="441"/>
    </row>
    <row r="31" spans="1:6" ht="11.25" customHeight="1">
      <c r="A31" s="1165" t="s">
        <v>1495</v>
      </c>
      <c r="B31" s="1166" t="s">
        <v>1496</v>
      </c>
      <c r="E31" s="441"/>
      <c r="F31" s="441"/>
    </row>
    <row r="32" spans="1:6" ht="11.25" customHeight="1">
      <c r="A32" s="1165" t="s">
        <v>1497</v>
      </c>
      <c r="B32" s="1166" t="s">
        <v>1498</v>
      </c>
      <c r="E32" s="441"/>
      <c r="F32" s="441"/>
    </row>
    <row r="33" spans="1:6" ht="11.25" customHeight="1">
      <c r="A33" s="1165" t="s">
        <v>1499</v>
      </c>
      <c r="B33" s="1166" t="s">
        <v>1500</v>
      </c>
      <c r="E33" s="441"/>
      <c r="F33" s="441"/>
    </row>
    <row r="34" spans="1:6" ht="11.25" customHeight="1">
      <c r="A34" s="1165" t="s">
        <v>1501</v>
      </c>
      <c r="B34" s="1166" t="s">
        <v>1502</v>
      </c>
      <c r="E34" s="441"/>
      <c r="F34" s="441"/>
    </row>
    <row r="35" spans="1:6" ht="11.25" customHeight="1">
      <c r="A35" s="1165" t="s">
        <v>1503</v>
      </c>
      <c r="B35" s="1166" t="s">
        <v>1504</v>
      </c>
      <c r="E35" s="441"/>
      <c r="F35" s="441"/>
    </row>
    <row r="36" spans="1:6" ht="11.25" customHeight="1">
      <c r="A36" s="1165" t="s">
        <v>1505</v>
      </c>
      <c r="B36" s="1166" t="s">
        <v>1506</v>
      </c>
      <c r="E36" s="441"/>
      <c r="F36" s="441"/>
    </row>
    <row r="37" spans="1:6" ht="11.25" customHeight="1">
      <c r="A37" s="1165" t="s">
        <v>1507</v>
      </c>
      <c r="B37" s="1166" t="s">
        <v>1508</v>
      </c>
      <c r="E37" s="441"/>
      <c r="F37" s="441"/>
    </row>
    <row r="38" spans="1:6" ht="11.25" customHeight="1">
      <c r="A38" s="1165" t="s">
        <v>1509</v>
      </c>
      <c r="B38" s="1166" t="s">
        <v>1510</v>
      </c>
      <c r="E38" s="441"/>
      <c r="F38" s="441"/>
    </row>
    <row r="39" spans="1:6" ht="11.25" customHeight="1">
      <c r="A39" s="1165" t="s">
        <v>1511</v>
      </c>
      <c r="B39" s="1166" t="s">
        <v>1512</v>
      </c>
      <c r="E39" s="441"/>
      <c r="F39" s="441"/>
    </row>
    <row r="40" spans="1:6" ht="11.25" customHeight="1">
      <c r="A40" s="1165" t="s">
        <v>1513</v>
      </c>
      <c r="B40" s="1166" t="s">
        <v>1514</v>
      </c>
      <c r="E40" s="441"/>
      <c r="F40" s="441"/>
    </row>
    <row r="41" spans="1:6" ht="11.25" customHeight="1">
      <c r="A41" s="1165" t="s">
        <v>1515</v>
      </c>
      <c r="B41" s="1166" t="s">
        <v>1516</v>
      </c>
      <c r="E41" s="441"/>
      <c r="F41" s="441"/>
    </row>
    <row r="42" spans="1:6" ht="11.25" customHeight="1">
      <c r="A42" s="1165" t="s">
        <v>1517</v>
      </c>
      <c r="B42" s="1166" t="s">
        <v>1518</v>
      </c>
      <c r="E42" s="441"/>
      <c r="F42" s="441"/>
    </row>
    <row r="43" spans="1:6" ht="11.25" customHeight="1">
      <c r="A43" s="1165" t="s">
        <v>1519</v>
      </c>
      <c r="B43" s="1166" t="s">
        <v>1520</v>
      </c>
      <c r="E43" s="441"/>
      <c r="F43" s="441"/>
    </row>
    <row r="44" spans="1:6" ht="11.25" customHeight="1">
      <c r="A44" s="1165" t="s">
        <v>1521</v>
      </c>
      <c r="B44" s="1166" t="s">
        <v>1522</v>
      </c>
      <c r="E44" s="441"/>
      <c r="F44" s="441"/>
    </row>
    <row r="45" spans="1:6" ht="11.25" customHeight="1">
      <c r="A45" s="1165" t="s">
        <v>1523</v>
      </c>
      <c r="B45" s="1166" t="s">
        <v>1524</v>
      </c>
      <c r="E45" s="441"/>
      <c r="F45" s="441"/>
    </row>
    <row r="46" spans="1:6" ht="11.25" customHeight="1">
      <c r="A46" s="1165" t="s">
        <v>1525</v>
      </c>
      <c r="B46" s="1166" t="s">
        <v>1526</v>
      </c>
      <c r="E46" s="441"/>
      <c r="F46" s="441"/>
    </row>
    <row r="47" spans="1:6" ht="11.25" customHeight="1">
      <c r="A47" s="1171">
        <v>57684</v>
      </c>
      <c r="B47" s="1166" t="s">
        <v>1527</v>
      </c>
      <c r="E47" s="441"/>
      <c r="F47" s="441"/>
    </row>
    <row r="48" spans="1:6" ht="11.25" customHeight="1">
      <c r="A48" s="1165" t="s">
        <v>1528</v>
      </c>
      <c r="B48" s="1166" t="s">
        <v>1529</v>
      </c>
      <c r="E48" s="441"/>
      <c r="F48" s="441"/>
    </row>
    <row r="49" spans="1:6" ht="11.25" customHeight="1">
      <c r="A49" s="1165" t="s">
        <v>1530</v>
      </c>
      <c r="B49" s="1166" t="s">
        <v>1531</v>
      </c>
      <c r="E49" s="441"/>
      <c r="F49" s="441"/>
    </row>
    <row r="50" spans="1:6" ht="11.25" customHeight="1">
      <c r="A50" s="1165" t="s">
        <v>1532</v>
      </c>
      <c r="B50" s="1166" t="s">
        <v>1533</v>
      </c>
      <c r="E50" s="441"/>
      <c r="F50" s="441"/>
    </row>
    <row r="51" spans="1:6" ht="11.25" customHeight="1">
      <c r="A51" s="1171">
        <v>71932</v>
      </c>
      <c r="B51" s="1166" t="s">
        <v>1534</v>
      </c>
      <c r="E51" s="441"/>
      <c r="F51" s="441"/>
    </row>
    <row r="52" spans="1:6" ht="11.25" customHeight="1">
      <c r="A52" s="1165" t="s">
        <v>1535</v>
      </c>
      <c r="B52" s="1166" t="s">
        <v>1536</v>
      </c>
      <c r="E52" s="441"/>
      <c r="F52" s="441"/>
    </row>
    <row r="53" spans="1:6" ht="11.25" customHeight="1">
      <c r="A53" s="1165" t="s">
        <v>1537</v>
      </c>
      <c r="B53" s="1166" t="s">
        <v>1538</v>
      </c>
      <c r="E53" s="441"/>
      <c r="F53" s="441"/>
    </row>
    <row r="54" spans="1:6" ht="11.25" customHeight="1">
      <c r="A54" s="1165" t="s">
        <v>1539</v>
      </c>
      <c r="B54" s="1166" t="s">
        <v>1540</v>
      </c>
      <c r="E54" s="441"/>
      <c r="F54" s="441"/>
    </row>
    <row r="55" spans="1:6" ht="11.25" customHeight="1">
      <c r="A55" s="1165" t="s">
        <v>1541</v>
      </c>
      <c r="B55" s="1166" t="s">
        <v>1542</v>
      </c>
      <c r="E55" s="441"/>
      <c r="F55" s="441"/>
    </row>
    <row r="56" spans="1:6" ht="11.25" customHeight="1">
      <c r="A56" s="1165" t="s">
        <v>1543</v>
      </c>
      <c r="B56" s="1166" t="s">
        <v>1544</v>
      </c>
      <c r="E56" s="441"/>
      <c r="F56" s="441"/>
    </row>
    <row r="57" spans="1:6" ht="11.25" customHeight="1">
      <c r="A57" s="1165" t="s">
        <v>1545</v>
      </c>
      <c r="B57" s="1166" t="s">
        <v>1546</v>
      </c>
      <c r="E57" s="441"/>
      <c r="F57" s="441"/>
    </row>
    <row r="58" spans="1:6" ht="11.25" customHeight="1">
      <c r="A58" s="1165" t="s">
        <v>1547</v>
      </c>
      <c r="B58" s="1166" t="s">
        <v>1548</v>
      </c>
      <c r="E58" s="441"/>
      <c r="F58" s="441"/>
    </row>
    <row r="59" spans="1:6" ht="11.25" customHeight="1">
      <c r="A59" s="1165" t="s">
        <v>1549</v>
      </c>
      <c r="B59" s="1166" t="s">
        <v>1550</v>
      </c>
      <c r="E59" s="441"/>
      <c r="F59" s="441"/>
    </row>
    <row r="60" spans="1:6" ht="11.25" customHeight="1">
      <c r="A60" s="1165" t="s">
        <v>1551</v>
      </c>
      <c r="B60" s="1166" t="s">
        <v>1552</v>
      </c>
      <c r="E60" s="441"/>
      <c r="F60" s="441"/>
    </row>
    <row r="61" spans="1:6" ht="11.25" customHeight="1">
      <c r="A61" s="1165" t="s">
        <v>1553</v>
      </c>
      <c r="B61" s="1166" t="s">
        <v>1554</v>
      </c>
      <c r="E61" s="441"/>
      <c r="F61" s="441"/>
    </row>
    <row r="62" spans="1:6" ht="11.25" customHeight="1">
      <c r="A62" s="1165" t="s">
        <v>1555</v>
      </c>
      <c r="B62" s="1166" t="s">
        <v>1556</v>
      </c>
      <c r="E62" s="441"/>
      <c r="F62" s="441"/>
    </row>
    <row r="63" spans="1:6" ht="11.25" customHeight="1">
      <c r="A63" s="1165" t="s">
        <v>1557</v>
      </c>
      <c r="B63" s="1166" t="s">
        <v>1558</v>
      </c>
      <c r="E63" s="441"/>
      <c r="F63" s="441"/>
    </row>
    <row r="64" spans="1:6" ht="11.25" customHeight="1">
      <c r="A64" s="1165" t="s">
        <v>1559</v>
      </c>
      <c r="B64" s="1166" t="s">
        <v>1560</v>
      </c>
      <c r="E64" s="441"/>
      <c r="F64" s="441"/>
    </row>
    <row r="65" spans="1:6" ht="11.25" customHeight="1">
      <c r="A65" s="1165" t="s">
        <v>1561</v>
      </c>
      <c r="B65" s="1166" t="s">
        <v>1562</v>
      </c>
      <c r="E65" s="441"/>
      <c r="F65" s="441"/>
    </row>
    <row r="66" spans="1:6" ht="11.25" customHeight="1">
      <c r="A66" s="1165" t="s">
        <v>1563</v>
      </c>
      <c r="B66" s="1166" t="s">
        <v>1564</v>
      </c>
      <c r="E66" s="441"/>
      <c r="F66" s="441"/>
    </row>
    <row r="67" spans="1:6" ht="11.25" customHeight="1">
      <c r="A67" s="1165" t="s">
        <v>1565</v>
      </c>
      <c r="B67" s="1166" t="s">
        <v>1566</v>
      </c>
      <c r="E67" s="441"/>
      <c r="F67" s="441"/>
    </row>
    <row r="68" spans="1:6" ht="11.25" customHeight="1">
      <c r="A68" s="1165" t="s">
        <v>1567</v>
      </c>
      <c r="B68" s="1166" t="s">
        <v>1568</v>
      </c>
      <c r="E68" s="441"/>
      <c r="F68" s="441"/>
    </row>
    <row r="69" spans="1:6" ht="11.25" customHeight="1">
      <c r="A69" s="1165" t="s">
        <v>1569</v>
      </c>
      <c r="B69" s="1166" t="s">
        <v>1570</v>
      </c>
      <c r="E69" s="441"/>
      <c r="F69" s="441"/>
    </row>
    <row r="70" spans="1:6" ht="11.25" customHeight="1">
      <c r="A70" s="1165" t="s">
        <v>1571</v>
      </c>
      <c r="B70" s="1166" t="s">
        <v>1572</v>
      </c>
      <c r="E70" s="441"/>
      <c r="F70" s="441"/>
    </row>
    <row r="71" spans="1:6">
      <c r="A71" s="1165" t="s">
        <v>1573</v>
      </c>
      <c r="B71" s="1172" t="s">
        <v>1574</v>
      </c>
    </row>
    <row r="72" spans="1:6">
      <c r="A72" s="1165" t="s">
        <v>1575</v>
      </c>
      <c r="B72" s="1172" t="s">
        <v>1576</v>
      </c>
    </row>
    <row r="73" spans="1:6">
      <c r="A73" s="1165" t="s">
        <v>1577</v>
      </c>
      <c r="B73" s="1172" t="s">
        <v>1578</v>
      </c>
    </row>
    <row r="74" spans="1:6">
      <c r="A74" s="1165" t="s">
        <v>1579</v>
      </c>
      <c r="B74" s="1172" t="s">
        <v>1580</v>
      </c>
    </row>
    <row r="75" spans="1:6">
      <c r="A75" s="1165" t="s">
        <v>1581</v>
      </c>
      <c r="B75" s="1172" t="s">
        <v>1582</v>
      </c>
    </row>
    <row r="76" spans="1:6">
      <c r="A76" s="1165" t="s">
        <v>1583</v>
      </c>
      <c r="B76" s="1172" t="s">
        <v>1584</v>
      </c>
    </row>
    <row r="77" spans="1:6">
      <c r="A77" s="1165" t="s">
        <v>1585</v>
      </c>
      <c r="B77" s="1172" t="s">
        <v>1586</v>
      </c>
    </row>
    <row r="78" spans="1:6">
      <c r="A78" s="1165" t="s">
        <v>1587</v>
      </c>
      <c r="B78" s="1172" t="s">
        <v>1588</v>
      </c>
    </row>
    <row r="79" spans="1:6">
      <c r="A79" s="1165" t="s">
        <v>1589</v>
      </c>
      <c r="B79" s="1172" t="s">
        <v>1590</v>
      </c>
    </row>
    <row r="80" spans="1:6">
      <c r="A80" s="1165" t="s">
        <v>1591</v>
      </c>
      <c r="B80" s="1172" t="s">
        <v>1592</v>
      </c>
    </row>
    <row r="81" spans="1:2">
      <c r="A81" s="1165" t="s">
        <v>1593</v>
      </c>
      <c r="B81" s="1172" t="s">
        <v>1594</v>
      </c>
    </row>
    <row r="82" spans="1:2">
      <c r="A82" s="1165" t="s">
        <v>1595</v>
      </c>
      <c r="B82" s="1172" t="s">
        <v>1596</v>
      </c>
    </row>
    <row r="83" spans="1:2">
      <c r="A83" s="1165" t="s">
        <v>1597</v>
      </c>
      <c r="B83" s="1172" t="s">
        <v>1598</v>
      </c>
    </row>
    <row r="84" spans="1:2">
      <c r="A84" s="1165" t="s">
        <v>1599</v>
      </c>
      <c r="B84" s="1172" t="s">
        <v>1600</v>
      </c>
    </row>
    <row r="85" spans="1:2">
      <c r="A85" s="1165" t="s">
        <v>1601</v>
      </c>
      <c r="B85" s="1172" t="s">
        <v>1602</v>
      </c>
    </row>
    <row r="86" spans="1:2">
      <c r="A86" s="1165" t="s">
        <v>1603</v>
      </c>
      <c r="B86" s="1172" t="s">
        <v>1604</v>
      </c>
    </row>
    <row r="87" spans="1:2">
      <c r="A87" s="1165" t="s">
        <v>1605</v>
      </c>
      <c r="B87" s="1172" t="s">
        <v>1606</v>
      </c>
    </row>
    <row r="88" spans="1:2">
      <c r="A88" s="1165" t="s">
        <v>1607</v>
      </c>
      <c r="B88" s="1172" t="s">
        <v>1608</v>
      </c>
    </row>
    <row r="89" spans="1:2">
      <c r="A89" s="1165" t="s">
        <v>1609</v>
      </c>
      <c r="B89" s="1172" t="s">
        <v>1610</v>
      </c>
    </row>
    <row r="90" spans="1:2">
      <c r="A90" s="1165" t="s">
        <v>1611</v>
      </c>
      <c r="B90" s="1172" t="s">
        <v>1612</v>
      </c>
    </row>
    <row r="91" spans="1:2">
      <c r="A91" s="1165" t="s">
        <v>1613</v>
      </c>
      <c r="B91" s="1172" t="s">
        <v>1614</v>
      </c>
    </row>
    <row r="92" spans="1:2">
      <c r="A92" s="1165" t="s">
        <v>1615</v>
      </c>
      <c r="B92" s="1172" t="s">
        <v>1616</v>
      </c>
    </row>
    <row r="93" spans="1:2">
      <c r="A93" s="1165" t="s">
        <v>1617</v>
      </c>
      <c r="B93" s="1172" t="s">
        <v>1618</v>
      </c>
    </row>
    <row r="94" spans="1:2">
      <c r="A94" s="1165" t="s">
        <v>1619</v>
      </c>
      <c r="B94" s="1172" t="s">
        <v>1620</v>
      </c>
    </row>
    <row r="95" spans="1:2">
      <c r="A95" s="1165" t="s">
        <v>1621</v>
      </c>
      <c r="B95" s="1172" t="s">
        <v>1622</v>
      </c>
    </row>
    <row r="96" spans="1:2">
      <c r="A96" s="1165" t="s">
        <v>1623</v>
      </c>
      <c r="B96" s="1172" t="s">
        <v>1624</v>
      </c>
    </row>
    <row r="97" spans="1:2">
      <c r="A97" s="1165" t="s">
        <v>1625</v>
      </c>
      <c r="B97" s="1172" t="s">
        <v>1626</v>
      </c>
    </row>
    <row r="98" spans="1:2">
      <c r="A98" s="1165" t="s">
        <v>1627</v>
      </c>
      <c r="B98" s="1172" t="s">
        <v>1628</v>
      </c>
    </row>
    <row r="99" spans="1:2">
      <c r="A99" s="1165" t="s">
        <v>1629</v>
      </c>
      <c r="B99" s="1172" t="s">
        <v>1630</v>
      </c>
    </row>
    <row r="100" spans="1:2">
      <c r="A100" s="1165" t="s">
        <v>1631</v>
      </c>
      <c r="B100" s="1172" t="s">
        <v>1632</v>
      </c>
    </row>
    <row r="101" spans="1:2">
      <c r="A101" s="1165" t="s">
        <v>1633</v>
      </c>
      <c r="B101" s="1172" t="s">
        <v>1634</v>
      </c>
    </row>
    <row r="102" spans="1:2">
      <c r="A102" s="1165" t="s">
        <v>1635</v>
      </c>
      <c r="B102" s="1172" t="s">
        <v>1636</v>
      </c>
    </row>
    <row r="103" spans="1:2">
      <c r="A103" s="1165" t="s">
        <v>1637</v>
      </c>
      <c r="B103" s="1172" t="s">
        <v>1638</v>
      </c>
    </row>
    <row r="104" spans="1:2">
      <c r="A104" s="1171">
        <v>64164</v>
      </c>
      <c r="B104" s="1172" t="s">
        <v>1639</v>
      </c>
    </row>
    <row r="105" spans="1:2">
      <c r="A105" s="1165" t="s">
        <v>1640</v>
      </c>
      <c r="B105" s="1172" t="s">
        <v>1641</v>
      </c>
    </row>
    <row r="106" spans="1:2">
      <c r="A106" s="1165" t="s">
        <v>1642</v>
      </c>
      <c r="B106" s="1172" t="s">
        <v>1643</v>
      </c>
    </row>
    <row r="107" spans="1:2">
      <c r="A107" s="1165" t="s">
        <v>1644</v>
      </c>
      <c r="B107" s="1172" t="s">
        <v>1645</v>
      </c>
    </row>
    <row r="108" spans="1:2">
      <c r="A108" s="1165" t="s">
        <v>1646</v>
      </c>
      <c r="B108" s="1172" t="s">
        <v>1647</v>
      </c>
    </row>
    <row r="109" spans="1:2">
      <c r="A109" s="1165" t="s">
        <v>1648</v>
      </c>
      <c r="B109" s="1172" t="s">
        <v>1649</v>
      </c>
    </row>
    <row r="110" spans="1:2">
      <c r="A110" s="1165" t="s">
        <v>1650</v>
      </c>
      <c r="B110" s="1172" t="s">
        <v>1651</v>
      </c>
    </row>
    <row r="111" spans="1:2">
      <c r="A111" s="1165" t="s">
        <v>1652</v>
      </c>
      <c r="B111" s="1172" t="s">
        <v>1653</v>
      </c>
    </row>
    <row r="112" spans="1:2">
      <c r="A112" s="1165" t="s">
        <v>1654</v>
      </c>
      <c r="B112" s="1172" t="s">
        <v>1655</v>
      </c>
    </row>
    <row r="113" spans="1:2">
      <c r="A113" s="1171">
        <v>72898</v>
      </c>
      <c r="B113" s="1172" t="s">
        <v>1656</v>
      </c>
    </row>
    <row r="114" spans="1:2">
      <c r="A114" s="1165" t="s">
        <v>1657</v>
      </c>
      <c r="B114" s="1172" t="s">
        <v>1658</v>
      </c>
    </row>
    <row r="115" spans="1:2">
      <c r="A115" s="1165" t="s">
        <v>1659</v>
      </c>
      <c r="B115" s="1172" t="s">
        <v>1660</v>
      </c>
    </row>
    <row r="116" spans="1:2">
      <c r="A116" s="1171">
        <v>65324</v>
      </c>
      <c r="B116" s="1172" t="s">
        <v>1661</v>
      </c>
    </row>
    <row r="117" spans="1:2">
      <c r="A117" s="1165" t="s">
        <v>1662</v>
      </c>
      <c r="B117" s="1172" t="s">
        <v>1663</v>
      </c>
    </row>
    <row r="118" spans="1:2">
      <c r="A118" s="1171">
        <v>67580</v>
      </c>
      <c r="B118" s="1172" t="s">
        <v>1664</v>
      </c>
    </row>
    <row r="119" spans="1:2">
      <c r="A119" s="1165" t="s">
        <v>1665</v>
      </c>
      <c r="B119" s="1172" t="s">
        <v>1666</v>
      </c>
    </row>
    <row r="120" spans="1:2">
      <c r="A120" s="1165" t="s">
        <v>1667</v>
      </c>
      <c r="B120" s="1172" t="s">
        <v>1668</v>
      </c>
    </row>
    <row r="121" spans="1:2">
      <c r="A121" s="1165" t="s">
        <v>1669</v>
      </c>
      <c r="B121" s="1172" t="s">
        <v>1670</v>
      </c>
    </row>
    <row r="122" spans="1:2">
      <c r="A122" s="1165" t="s">
        <v>1671</v>
      </c>
      <c r="B122" s="1172" t="s">
        <v>1672</v>
      </c>
    </row>
    <row r="123" spans="1:2">
      <c r="A123" s="1165" t="s">
        <v>1673</v>
      </c>
      <c r="B123" s="1172" t="s">
        <v>1674</v>
      </c>
    </row>
    <row r="124" spans="1:2">
      <c r="A124" s="1165" t="s">
        <v>1675</v>
      </c>
      <c r="B124" s="1172" t="s">
        <v>1676</v>
      </c>
    </row>
    <row r="125" spans="1:2">
      <c r="A125" s="1165" t="s">
        <v>1677</v>
      </c>
      <c r="B125" s="1172" t="s">
        <v>1678</v>
      </c>
    </row>
    <row r="126" spans="1:2">
      <c r="A126" s="1165" t="s">
        <v>1679</v>
      </c>
      <c r="B126" s="1172" t="s">
        <v>1680</v>
      </c>
    </row>
    <row r="127" spans="1:2">
      <c r="A127" s="1165" t="s">
        <v>1681</v>
      </c>
      <c r="B127" s="1172" t="s">
        <v>1682</v>
      </c>
    </row>
    <row r="128" spans="1:2">
      <c r="A128" s="1165" t="s">
        <v>1683</v>
      </c>
      <c r="B128" s="1172" t="s">
        <v>1684</v>
      </c>
    </row>
    <row r="129" spans="1:2">
      <c r="A129" s="1165" t="s">
        <v>1685</v>
      </c>
      <c r="B129" s="1172" t="s">
        <v>1686</v>
      </c>
    </row>
    <row r="130" spans="1:2">
      <c r="A130" s="1165" t="s">
        <v>1687</v>
      </c>
      <c r="B130" s="1172" t="s">
        <v>1688</v>
      </c>
    </row>
    <row r="131" spans="1:2">
      <c r="A131" s="1165" t="s">
        <v>1689</v>
      </c>
      <c r="B131" s="1172" t="s">
        <v>1690</v>
      </c>
    </row>
    <row r="132" spans="1:2">
      <c r="A132" s="1165" t="s">
        <v>1691</v>
      </c>
      <c r="B132" s="1172" t="s">
        <v>1692</v>
      </c>
    </row>
    <row r="133" spans="1:2">
      <c r="A133" s="1165" t="s">
        <v>1693</v>
      </c>
      <c r="B133" s="1172" t="s">
        <v>1694</v>
      </c>
    </row>
    <row r="134" spans="1:2">
      <c r="A134" s="1165" t="s">
        <v>1695</v>
      </c>
      <c r="B134" s="1172" t="s">
        <v>1696</v>
      </c>
    </row>
    <row r="135" spans="1:2">
      <c r="A135" s="1165" t="s">
        <v>1697</v>
      </c>
      <c r="B135" s="1172" t="s">
        <v>1698</v>
      </c>
    </row>
    <row r="136" spans="1:2">
      <c r="A136" s="1165" t="s">
        <v>1699</v>
      </c>
      <c r="B136" s="1172" t="s">
        <v>1700</v>
      </c>
    </row>
    <row r="137" spans="1:2">
      <c r="A137" s="1165" t="s">
        <v>1701</v>
      </c>
      <c r="B137" s="1172" t="s">
        <v>1702</v>
      </c>
    </row>
    <row r="138" spans="1:2">
      <c r="A138" s="1165" t="s">
        <v>1703</v>
      </c>
      <c r="B138" s="1172" t="s">
        <v>1704</v>
      </c>
    </row>
    <row r="139" spans="1:2">
      <c r="A139" s="1165" t="s">
        <v>1705</v>
      </c>
      <c r="B139" s="1172" t="s">
        <v>1706</v>
      </c>
    </row>
    <row r="140" spans="1:2">
      <c r="A140" s="1165" t="s">
        <v>1707</v>
      </c>
      <c r="B140" s="1172" t="s">
        <v>1708</v>
      </c>
    </row>
    <row r="141" spans="1:2">
      <c r="A141" s="1165" t="s">
        <v>1709</v>
      </c>
      <c r="B141" s="1166" t="s">
        <v>1710</v>
      </c>
    </row>
    <row r="142" spans="1:2">
      <c r="A142" s="1165" t="s">
        <v>1711</v>
      </c>
      <c r="B142" s="1166" t="s">
        <v>1712</v>
      </c>
    </row>
    <row r="143" spans="1:2">
      <c r="A143" s="1171">
        <v>65386</v>
      </c>
      <c r="B143" s="1166" t="s">
        <v>1713</v>
      </c>
    </row>
    <row r="144" spans="1:2">
      <c r="A144" s="1165" t="s">
        <v>1714</v>
      </c>
      <c r="B144" s="1166" t="s">
        <v>1715</v>
      </c>
    </row>
    <row r="145" spans="1:2">
      <c r="A145" s="1171">
        <v>68821</v>
      </c>
      <c r="B145" s="1166" t="s">
        <v>1716</v>
      </c>
    </row>
    <row r="146" spans="1:2">
      <c r="A146" s="1165" t="s">
        <v>1717</v>
      </c>
      <c r="B146" s="1166" t="s">
        <v>1718</v>
      </c>
    </row>
    <row r="147" spans="1:2">
      <c r="A147" s="1165" t="s">
        <v>1719</v>
      </c>
      <c r="B147" s="1166" t="s">
        <v>1720</v>
      </c>
    </row>
    <row r="148" spans="1:2">
      <c r="A148" s="1165" t="s">
        <v>1721</v>
      </c>
      <c r="B148" s="1166" t="s">
        <v>1722</v>
      </c>
    </row>
    <row r="149" spans="1:2">
      <c r="A149" s="1165" t="s">
        <v>1723</v>
      </c>
      <c r="B149" s="1166" t="s">
        <v>1724</v>
      </c>
    </row>
    <row r="150" spans="1:2">
      <c r="A150" s="1165" t="s">
        <v>1725</v>
      </c>
      <c r="B150" s="1166" t="s">
        <v>1726</v>
      </c>
    </row>
    <row r="151" spans="1:2">
      <c r="A151" s="1165" t="s">
        <v>1727</v>
      </c>
      <c r="B151" s="1166" t="s">
        <v>1728</v>
      </c>
    </row>
    <row r="152" spans="1:2">
      <c r="A152" s="1165" t="s">
        <v>1729</v>
      </c>
      <c r="B152" s="1166" t="s">
        <v>1730</v>
      </c>
    </row>
    <row r="153" spans="1:2">
      <c r="A153" s="1165" t="s">
        <v>1731</v>
      </c>
      <c r="B153" s="1166" t="s">
        <v>1732</v>
      </c>
    </row>
    <row r="154" spans="1:2">
      <c r="A154" s="1165" t="s">
        <v>1733</v>
      </c>
      <c r="B154" s="1166" t="s">
        <v>1734</v>
      </c>
    </row>
    <row r="155" spans="1:2">
      <c r="A155" s="1171">
        <v>63923</v>
      </c>
      <c r="B155" s="1166" t="s">
        <v>1735</v>
      </c>
    </row>
    <row r="156" spans="1:2">
      <c r="A156" s="1165" t="s">
        <v>1736</v>
      </c>
      <c r="B156" s="1166" t="s">
        <v>1737</v>
      </c>
    </row>
    <row r="157" spans="1:2">
      <c r="A157" s="1165" t="s">
        <v>1738</v>
      </c>
      <c r="B157" s="1166" t="s">
        <v>1739</v>
      </c>
    </row>
  </sheetData>
  <sheetProtection algorithmName="SHA-512" hashValue="xyma+I6LjXfw1LqXtq2UgKCD+kC2+rQIeCHK54hgrVE/NGGTvZWRQwatXvsE5ZuRHz+UiYgBQfDr000kOWtkyg==" saltValue="0WddR1pjOG8KhfKdk2ukxg==" spinCount="100000" sheet="1" objects="1" scenarios="1"/>
  <mergeCells count="1">
    <mergeCell ref="A1:B2"/>
  </mergeCells>
  <pageMargins left="0.7" right="0.7" top="0.75" bottom="0.75" header="0.3" footer="0.3"/>
  <pageSetup orientation="portrait" r:id="rId1"/>
  <headerFooter>
    <oddFooter>&amp;LHawai'i DOH
Spring 2024&amp;C&amp;P OF &amp;N&amp;R&amp;A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29"/>
    <pageSetUpPr fitToPage="1"/>
  </sheetPr>
  <dimension ref="A1:K171"/>
  <sheetViews>
    <sheetView zoomScale="85" zoomScaleNormal="85" workbookViewId="0">
      <pane ySplit="3180" topLeftCell="A7" activePane="bottomLeft"/>
      <selection activeCell="A4" sqref="A4"/>
      <selection pane="bottomLeft" activeCell="C14" sqref="C14"/>
    </sheetView>
  </sheetViews>
  <sheetFormatPr defaultColWidth="9.1328125" defaultRowHeight="12.75"/>
  <cols>
    <col min="1" max="1" width="40.59765625" style="3" customWidth="1"/>
    <col min="2" max="2" width="12.265625" style="481" customWidth="1"/>
    <col min="3" max="3" width="19.73046875" style="481" customWidth="1"/>
    <col min="4" max="4" width="14.1328125" style="481" customWidth="1"/>
    <col min="5" max="5" width="13.59765625" style="481" customWidth="1"/>
    <col min="6" max="6" width="11.59765625" style="3" customWidth="1"/>
    <col min="7" max="7" width="10.1328125" style="582" customWidth="1"/>
    <col min="8" max="8" width="11.3984375" style="583" customWidth="1"/>
    <col min="9" max="9" width="12.59765625" style="583" customWidth="1"/>
    <col min="10" max="10" width="9.1328125" style="532"/>
    <col min="11" max="16384" width="9.1328125" style="3"/>
  </cols>
  <sheetData>
    <row r="1" spans="1:11" ht="45">
      <c r="A1" s="6" t="s">
        <v>151</v>
      </c>
      <c r="B1" s="530"/>
      <c r="C1" s="530"/>
      <c r="D1" s="530"/>
      <c r="E1" s="444"/>
      <c r="F1" s="531"/>
      <c r="G1" s="531"/>
      <c r="H1" s="530"/>
      <c r="I1" s="530"/>
      <c r="J1" s="530"/>
      <c r="K1" s="2"/>
    </row>
    <row r="2" spans="1:11" ht="15.4" thickBot="1">
      <c r="A2" s="6"/>
      <c r="B2" s="530"/>
      <c r="C2" s="530"/>
      <c r="D2" s="530"/>
      <c r="E2" s="444"/>
      <c r="F2" s="531"/>
      <c r="G2" s="531"/>
      <c r="H2" s="530"/>
      <c r="I2" s="530"/>
    </row>
    <row r="3" spans="1:11" ht="14.1" customHeight="1" thickTop="1" thickBot="1">
      <c r="A3" s="533"/>
      <c r="B3" s="534" t="s">
        <v>841</v>
      </c>
      <c r="C3" s="535"/>
      <c r="D3" s="536"/>
      <c r="E3" s="536"/>
      <c r="F3" s="537"/>
      <c r="G3" s="536"/>
      <c r="H3" s="536"/>
      <c r="I3" s="538"/>
      <c r="J3" s="3"/>
    </row>
    <row r="4" spans="1:11" ht="35.25" customHeight="1" thickTop="1" thickBot="1">
      <c r="A4" s="1403" t="s">
        <v>232</v>
      </c>
      <c r="B4" s="1408" t="s">
        <v>842</v>
      </c>
      <c r="C4" s="541"/>
      <c r="D4" s="1406" t="s">
        <v>909</v>
      </c>
      <c r="E4" s="1401" t="s">
        <v>1027</v>
      </c>
      <c r="F4" s="1401" t="s">
        <v>380</v>
      </c>
      <c r="G4" s="542" t="s">
        <v>907</v>
      </c>
      <c r="H4" s="543"/>
      <c r="I4" s="544" t="s">
        <v>390</v>
      </c>
      <c r="J4" s="3"/>
    </row>
    <row r="5" spans="1:11" ht="48.75" customHeight="1">
      <c r="A5" s="1404"/>
      <c r="B5" s="1409"/>
      <c r="C5" s="545"/>
      <c r="D5" s="1407"/>
      <c r="E5" s="1402"/>
      <c r="F5" s="1402"/>
      <c r="G5" s="546" t="s">
        <v>606</v>
      </c>
      <c r="H5" s="547" t="s">
        <v>547</v>
      </c>
      <c r="I5" s="548" t="s">
        <v>607</v>
      </c>
      <c r="J5" s="3"/>
    </row>
    <row r="6" spans="1:11" ht="10.5" thickBot="1">
      <c r="A6" s="1405"/>
      <c r="B6" s="1410"/>
      <c r="C6" s="549" t="s">
        <v>485</v>
      </c>
      <c r="D6" s="550" t="s">
        <v>837</v>
      </c>
      <c r="E6" s="551" t="s">
        <v>838</v>
      </c>
      <c r="F6" s="552" t="s">
        <v>836</v>
      </c>
      <c r="G6" s="553" t="s">
        <v>464</v>
      </c>
      <c r="H6" s="554" t="s">
        <v>839</v>
      </c>
      <c r="I6" s="555" t="s">
        <v>989</v>
      </c>
      <c r="J6" s="3"/>
    </row>
    <row r="7" spans="1:11" ht="11.45" customHeight="1">
      <c r="A7" s="454" t="s">
        <v>548</v>
      </c>
      <c r="B7" s="556">
        <v>118.02725999999998</v>
      </c>
      <c r="C7" s="557" t="s">
        <v>673</v>
      </c>
      <c r="D7" s="558">
        <v>1000</v>
      </c>
      <c r="E7" s="556" t="s">
        <v>979</v>
      </c>
      <c r="F7" s="556" t="s">
        <v>954</v>
      </c>
      <c r="G7" s="559">
        <v>647.71344582513132</v>
      </c>
      <c r="H7" s="560">
        <v>118.02725999999998</v>
      </c>
      <c r="I7" s="561">
        <v>118.02733726415093</v>
      </c>
      <c r="J7" s="3"/>
    </row>
    <row r="8" spans="1:11" ht="11.45" customHeight="1">
      <c r="A8" s="458" t="s">
        <v>549</v>
      </c>
      <c r="B8" s="562">
        <v>127.20004500000002</v>
      </c>
      <c r="C8" s="563" t="s">
        <v>1407</v>
      </c>
      <c r="D8" s="564">
        <v>500</v>
      </c>
      <c r="E8" s="562" t="s">
        <v>979</v>
      </c>
      <c r="F8" s="562" t="s">
        <v>954</v>
      </c>
      <c r="G8" s="565">
        <v>339.48905290891071</v>
      </c>
      <c r="H8" s="566" t="s">
        <v>1394</v>
      </c>
      <c r="I8" s="567">
        <v>127.20004500000002</v>
      </c>
      <c r="J8" s="3"/>
    </row>
    <row r="9" spans="1:11" ht="11.45" customHeight="1">
      <c r="A9" s="458" t="s">
        <v>550</v>
      </c>
      <c r="B9" s="562">
        <v>3.7214359282282676</v>
      </c>
      <c r="C9" s="563" t="s">
        <v>1407</v>
      </c>
      <c r="D9" s="564">
        <v>500</v>
      </c>
      <c r="E9" s="562" t="s">
        <v>979</v>
      </c>
      <c r="F9" s="562" t="s">
        <v>954</v>
      </c>
      <c r="G9" s="565">
        <v>5739.0879292078434</v>
      </c>
      <c r="H9" s="566">
        <v>1420.3494838238926</v>
      </c>
      <c r="I9" s="567">
        <v>3.7214359282282676</v>
      </c>
      <c r="J9" s="3"/>
    </row>
    <row r="10" spans="1:11" ht="11.45" customHeight="1">
      <c r="A10" s="458" t="s">
        <v>551</v>
      </c>
      <c r="B10" s="562">
        <v>3.910714285714286</v>
      </c>
      <c r="C10" s="563" t="s">
        <v>674</v>
      </c>
      <c r="D10" s="564">
        <v>1000</v>
      </c>
      <c r="E10" s="562" t="s">
        <v>979</v>
      </c>
      <c r="F10" s="562" t="s">
        <v>954</v>
      </c>
      <c r="G10" s="565">
        <v>3.910714285714286</v>
      </c>
      <c r="H10" s="566" t="s">
        <v>954</v>
      </c>
      <c r="I10" s="567">
        <v>8.3677457928301884</v>
      </c>
      <c r="J10" s="3"/>
    </row>
    <row r="11" spans="1:11" ht="11.45" customHeight="1">
      <c r="A11" s="458" t="s">
        <v>161</v>
      </c>
      <c r="B11" s="562">
        <v>10.828215092807262</v>
      </c>
      <c r="C11" s="563" t="s">
        <v>1407</v>
      </c>
      <c r="D11" s="564">
        <v>500</v>
      </c>
      <c r="E11" s="562" t="s">
        <v>979</v>
      </c>
      <c r="F11" s="562" t="s">
        <v>954</v>
      </c>
      <c r="G11" s="565">
        <v>113.78462320028632</v>
      </c>
      <c r="H11" s="566" t="s">
        <v>954</v>
      </c>
      <c r="I11" s="567">
        <v>10.828215092807262</v>
      </c>
      <c r="J11" s="3"/>
    </row>
    <row r="12" spans="1:11" ht="11.45" customHeight="1">
      <c r="A12" s="462" t="s">
        <v>162</v>
      </c>
      <c r="B12" s="562">
        <v>9.066944184765767E-2</v>
      </c>
      <c r="C12" s="563" t="s">
        <v>1407</v>
      </c>
      <c r="D12" s="564">
        <v>500</v>
      </c>
      <c r="E12" s="562" t="s">
        <v>979</v>
      </c>
      <c r="F12" s="562" t="s">
        <v>954</v>
      </c>
      <c r="G12" s="565">
        <v>1.5423260756210222</v>
      </c>
      <c r="H12" s="566" t="s">
        <v>954</v>
      </c>
      <c r="I12" s="567">
        <v>9.066944184765767E-2</v>
      </c>
      <c r="J12" s="3"/>
    </row>
    <row r="13" spans="1:11" ht="11.45" customHeight="1">
      <c r="A13" s="462" t="s">
        <v>94</v>
      </c>
      <c r="B13" s="562">
        <v>9.066944184765767E-2</v>
      </c>
      <c r="C13" s="563" t="s">
        <v>1407</v>
      </c>
      <c r="D13" s="564">
        <v>500</v>
      </c>
      <c r="E13" s="562" t="s">
        <v>979</v>
      </c>
      <c r="F13" s="562" t="s">
        <v>954</v>
      </c>
      <c r="G13" s="565">
        <v>1.5315758488811595</v>
      </c>
      <c r="H13" s="566" t="s">
        <v>954</v>
      </c>
      <c r="I13" s="567">
        <v>9.066944184765767E-2</v>
      </c>
      <c r="J13" s="3"/>
    </row>
    <row r="14" spans="1:11" ht="11.45" customHeight="1">
      <c r="A14" s="458" t="s">
        <v>552</v>
      </c>
      <c r="B14" s="562">
        <v>4.2251984613333331</v>
      </c>
      <c r="C14" s="563" t="s">
        <v>673</v>
      </c>
      <c r="D14" s="564">
        <v>500</v>
      </c>
      <c r="E14" s="562" t="s">
        <v>979</v>
      </c>
      <c r="F14" s="562" t="s">
        <v>954</v>
      </c>
      <c r="G14" s="565">
        <v>3489.8853344626582</v>
      </c>
      <c r="H14" s="566">
        <v>4.2251984613333331</v>
      </c>
      <c r="I14" s="567">
        <v>4.2251987225786163</v>
      </c>
      <c r="J14" s="3"/>
    </row>
    <row r="15" spans="1:11" ht="11.45" customHeight="1">
      <c r="A15" s="458" t="s">
        <v>553</v>
      </c>
      <c r="B15" s="562">
        <v>6.2566828069364648</v>
      </c>
      <c r="C15" s="563" t="s">
        <v>674</v>
      </c>
      <c r="D15" s="564">
        <v>1000</v>
      </c>
      <c r="E15" s="562" t="s">
        <v>979</v>
      </c>
      <c r="F15" s="562">
        <v>2.4</v>
      </c>
      <c r="G15" s="565">
        <v>6.2566828069364648</v>
      </c>
      <c r="H15" s="566" t="s">
        <v>954</v>
      </c>
      <c r="I15" s="567" t="s">
        <v>1408</v>
      </c>
      <c r="J15" s="518"/>
      <c r="K15" s="481"/>
    </row>
    <row r="16" spans="1:11" ht="11.45" customHeight="1">
      <c r="A16" s="458" t="s">
        <v>686</v>
      </c>
      <c r="B16" s="562">
        <v>24</v>
      </c>
      <c r="C16" s="563" t="s">
        <v>380</v>
      </c>
      <c r="D16" s="564">
        <v>1000</v>
      </c>
      <c r="E16" s="562" t="s">
        <v>979</v>
      </c>
      <c r="F16" s="562">
        <v>24</v>
      </c>
      <c r="G16" s="565">
        <v>23</v>
      </c>
      <c r="H16" s="566" t="s">
        <v>954</v>
      </c>
      <c r="I16" s="567" t="s">
        <v>1408</v>
      </c>
      <c r="J16" s="3"/>
    </row>
    <row r="17" spans="1:9" s="3" customFormat="1" ht="11.45" customHeight="1">
      <c r="A17" s="458" t="s">
        <v>95</v>
      </c>
      <c r="B17" s="562">
        <v>0.11180104469040002</v>
      </c>
      <c r="C17" s="563" t="s">
        <v>1407</v>
      </c>
      <c r="D17" s="564">
        <v>500</v>
      </c>
      <c r="E17" s="562" t="s">
        <v>979</v>
      </c>
      <c r="F17" s="562" t="s">
        <v>954</v>
      </c>
      <c r="G17" s="565">
        <v>2.2732603019174396</v>
      </c>
      <c r="H17" s="566" t="s">
        <v>954</v>
      </c>
      <c r="I17" s="567">
        <v>0.11180104469040002</v>
      </c>
    </row>
    <row r="18" spans="1:9" s="3" customFormat="1" ht="11.45" customHeight="1">
      <c r="A18" s="458" t="s">
        <v>687</v>
      </c>
      <c r="B18" s="562">
        <v>1000</v>
      </c>
      <c r="C18" s="563" t="s">
        <v>1409</v>
      </c>
      <c r="D18" s="564">
        <v>1000</v>
      </c>
      <c r="E18" s="562" t="s">
        <v>979</v>
      </c>
      <c r="F18" s="562">
        <v>690</v>
      </c>
      <c r="G18" s="565">
        <v>3061.0483042137716</v>
      </c>
      <c r="H18" s="566" t="s">
        <v>954</v>
      </c>
      <c r="I18" s="567" t="s">
        <v>1408</v>
      </c>
    </row>
    <row r="19" spans="1:9" s="3" customFormat="1" ht="11.45" customHeight="1">
      <c r="A19" s="458" t="s">
        <v>1156</v>
      </c>
      <c r="B19" s="562">
        <v>0.15626576008516002</v>
      </c>
      <c r="C19" s="563" t="s">
        <v>1407</v>
      </c>
      <c r="D19" s="564">
        <v>1000</v>
      </c>
      <c r="E19" s="562" t="s">
        <v>979</v>
      </c>
      <c r="F19" s="562" t="s">
        <v>954</v>
      </c>
      <c r="G19" s="565">
        <v>632.13679555714634</v>
      </c>
      <c r="H19" s="566" t="s">
        <v>954</v>
      </c>
      <c r="I19" s="567">
        <v>0.15626576008516002</v>
      </c>
    </row>
    <row r="20" spans="1:9" s="3" customFormat="1" ht="11.45" customHeight="1">
      <c r="A20" s="458" t="s">
        <v>688</v>
      </c>
      <c r="B20" s="562">
        <v>0.29829600000000001</v>
      </c>
      <c r="C20" s="563" t="s">
        <v>1407</v>
      </c>
      <c r="D20" s="564">
        <v>500</v>
      </c>
      <c r="E20" s="562" t="s">
        <v>979</v>
      </c>
      <c r="F20" s="562" t="s">
        <v>954</v>
      </c>
      <c r="G20" s="565">
        <v>1.2457241814692348</v>
      </c>
      <c r="H20" s="566">
        <v>0.76939408284023669</v>
      </c>
      <c r="I20" s="567">
        <v>0.29829600000000001</v>
      </c>
    </row>
    <row r="21" spans="1:9" s="3" customFormat="1" ht="11.45" customHeight="1">
      <c r="A21" s="458" t="s">
        <v>689</v>
      </c>
      <c r="B21" s="562">
        <v>9.9781008719534601</v>
      </c>
      <c r="C21" s="563" t="s">
        <v>1407</v>
      </c>
      <c r="D21" s="564">
        <v>500</v>
      </c>
      <c r="E21" s="562" t="s">
        <v>979</v>
      </c>
      <c r="F21" s="562" t="s">
        <v>954</v>
      </c>
      <c r="G21" s="565">
        <v>11.131115733318255</v>
      </c>
      <c r="H21" s="566" t="s">
        <v>954</v>
      </c>
      <c r="I21" s="567">
        <v>9.9781008719534601</v>
      </c>
    </row>
    <row r="22" spans="1:9" s="3" customFormat="1" ht="11.45" customHeight="1">
      <c r="A22" s="458" t="s">
        <v>690</v>
      </c>
      <c r="B22" s="562">
        <v>3.5639370920589939</v>
      </c>
      <c r="C22" s="563" t="s">
        <v>674</v>
      </c>
      <c r="D22" s="564">
        <v>500</v>
      </c>
      <c r="E22" s="562" t="s">
        <v>979</v>
      </c>
      <c r="F22" s="562" t="s">
        <v>954</v>
      </c>
      <c r="G22" s="565">
        <v>3.5639370920589939</v>
      </c>
      <c r="H22" s="566" t="s">
        <v>954</v>
      </c>
      <c r="I22" s="567">
        <v>19.501680571044002</v>
      </c>
    </row>
    <row r="23" spans="1:9" s="3" customFormat="1" ht="11.45" customHeight="1">
      <c r="A23" s="458" t="s">
        <v>691</v>
      </c>
      <c r="B23" s="562">
        <v>5.7840402228293977</v>
      </c>
      <c r="C23" s="563" t="s">
        <v>1407</v>
      </c>
      <c r="D23" s="564">
        <v>500</v>
      </c>
      <c r="E23" s="562" t="s">
        <v>979</v>
      </c>
      <c r="F23" s="562" t="s">
        <v>954</v>
      </c>
      <c r="G23" s="565">
        <v>11.285807709958021</v>
      </c>
      <c r="H23" s="566" t="s">
        <v>954</v>
      </c>
      <c r="I23" s="567">
        <v>5.7840402228293977</v>
      </c>
    </row>
    <row r="24" spans="1:9" s="3" customFormat="1" ht="11.45" customHeight="1">
      <c r="A24" s="458" t="s">
        <v>692</v>
      </c>
      <c r="B24" s="562">
        <v>34.528000116195038</v>
      </c>
      <c r="C24" s="563" t="s">
        <v>1407</v>
      </c>
      <c r="D24" s="564">
        <v>500</v>
      </c>
      <c r="E24" s="562" t="s">
        <v>979</v>
      </c>
      <c r="F24" s="562" t="s">
        <v>954</v>
      </c>
      <c r="G24" s="565">
        <v>478.19569558367709</v>
      </c>
      <c r="H24" s="566" t="s">
        <v>954</v>
      </c>
      <c r="I24" s="567">
        <v>34.528000116195038</v>
      </c>
    </row>
    <row r="25" spans="1:9" s="3" customFormat="1" ht="11.45" customHeight="1">
      <c r="A25" s="458" t="s">
        <v>693</v>
      </c>
      <c r="B25" s="562">
        <v>35.249239258001005</v>
      </c>
      <c r="C25" s="563" t="s">
        <v>1407</v>
      </c>
      <c r="D25" s="564">
        <v>500</v>
      </c>
      <c r="E25" s="562" t="s">
        <v>979</v>
      </c>
      <c r="F25" s="562" t="s">
        <v>954</v>
      </c>
      <c r="G25" s="565">
        <v>112.85807709958023</v>
      </c>
      <c r="H25" s="566" t="s">
        <v>954</v>
      </c>
      <c r="I25" s="567">
        <v>35.249239258001005</v>
      </c>
    </row>
    <row r="26" spans="1:9" s="3" customFormat="1" ht="11.45" customHeight="1">
      <c r="A26" s="458" t="s">
        <v>126</v>
      </c>
      <c r="B26" s="562">
        <v>31.114129015408725</v>
      </c>
      <c r="C26" s="563" t="s">
        <v>674</v>
      </c>
      <c r="D26" s="564">
        <v>1000</v>
      </c>
      <c r="E26" s="562" t="s">
        <v>979</v>
      </c>
      <c r="F26" s="562">
        <v>3</v>
      </c>
      <c r="G26" s="565">
        <v>31.114129015408725</v>
      </c>
      <c r="H26" s="566" t="s">
        <v>954</v>
      </c>
      <c r="I26" s="567" t="s">
        <v>1408</v>
      </c>
    </row>
    <row r="27" spans="1:9" s="3" customFormat="1" ht="11.45" customHeight="1">
      <c r="A27" s="458" t="s">
        <v>233</v>
      </c>
      <c r="B27" s="562">
        <v>10.157103856679932</v>
      </c>
      <c r="C27" s="563" t="s">
        <v>674</v>
      </c>
      <c r="D27" s="564">
        <v>500</v>
      </c>
      <c r="E27" s="562" t="s">
        <v>979</v>
      </c>
      <c r="F27" s="562" t="s">
        <v>954</v>
      </c>
      <c r="G27" s="565">
        <v>10.157103856679932</v>
      </c>
      <c r="H27" s="566" t="s">
        <v>1394</v>
      </c>
      <c r="I27" s="567">
        <v>230.95592832704406</v>
      </c>
    </row>
    <row r="28" spans="1:9" s="3" customFormat="1" ht="11.45" customHeight="1">
      <c r="A28" s="458" t="s">
        <v>127</v>
      </c>
      <c r="B28" s="562">
        <v>7.4429390845260929E-5</v>
      </c>
      <c r="C28" s="563" t="s">
        <v>1407</v>
      </c>
      <c r="D28" s="564">
        <v>500</v>
      </c>
      <c r="E28" s="562" t="s">
        <v>979</v>
      </c>
      <c r="F28" s="562" t="s">
        <v>954</v>
      </c>
      <c r="G28" s="565">
        <v>0.23842763078674306</v>
      </c>
      <c r="H28" s="566">
        <v>7.8962365734984701E-3</v>
      </c>
      <c r="I28" s="567">
        <v>7.4429390845260929E-5</v>
      </c>
    </row>
    <row r="29" spans="1:9" s="3" customFormat="1" ht="11.45" customHeight="1">
      <c r="A29" s="503" t="s">
        <v>1103</v>
      </c>
      <c r="B29" s="562">
        <v>3.8666109556463671E-3</v>
      </c>
      <c r="C29" s="563" t="s">
        <v>1407</v>
      </c>
      <c r="D29" s="564">
        <v>500</v>
      </c>
      <c r="E29" s="562" t="s">
        <v>979</v>
      </c>
      <c r="F29" s="562" t="s">
        <v>954</v>
      </c>
      <c r="G29" s="565">
        <v>3.7245820040701219</v>
      </c>
      <c r="H29" s="566" t="s">
        <v>1394</v>
      </c>
      <c r="I29" s="567">
        <v>3.8666109556463671E-3</v>
      </c>
    </row>
    <row r="30" spans="1:9" s="3" customFormat="1" ht="11.45" customHeight="1">
      <c r="A30" s="458" t="s">
        <v>128</v>
      </c>
      <c r="B30" s="562">
        <v>37.34554262742413</v>
      </c>
      <c r="C30" s="563" t="s">
        <v>674</v>
      </c>
      <c r="D30" s="564">
        <v>500</v>
      </c>
      <c r="E30" s="562" t="s">
        <v>979</v>
      </c>
      <c r="F30" s="562" t="s">
        <v>954</v>
      </c>
      <c r="G30" s="565">
        <v>37.34554262742413</v>
      </c>
      <c r="H30" s="566" t="s">
        <v>954</v>
      </c>
      <c r="I30" s="567">
        <v>193.77900056224536</v>
      </c>
    </row>
    <row r="31" spans="1:9" s="3" customFormat="1" ht="11.45" customHeight="1">
      <c r="A31" s="458" t="s">
        <v>129</v>
      </c>
      <c r="B31" s="562">
        <v>1000</v>
      </c>
      <c r="C31" s="563" t="s">
        <v>1409</v>
      </c>
      <c r="D31" s="564">
        <v>1000</v>
      </c>
      <c r="E31" s="562" t="s">
        <v>979</v>
      </c>
      <c r="F31" s="562" t="s">
        <v>954</v>
      </c>
      <c r="G31" s="565">
        <v>3126.8470643815126</v>
      </c>
      <c r="H31" s="566" t="s">
        <v>954</v>
      </c>
      <c r="I31" s="567" t="s">
        <v>1408</v>
      </c>
    </row>
    <row r="32" spans="1:9" s="3" customFormat="1" ht="11.45" customHeight="1">
      <c r="A32" s="458" t="s">
        <v>130</v>
      </c>
      <c r="B32" s="562">
        <v>2.4623916130112316E-3</v>
      </c>
      <c r="C32" s="563" t="s">
        <v>1407</v>
      </c>
      <c r="D32" s="564">
        <v>932.0059079245284</v>
      </c>
      <c r="E32" s="562" t="s">
        <v>979</v>
      </c>
      <c r="F32" s="562" t="s">
        <v>954</v>
      </c>
      <c r="G32" s="565">
        <v>0.31751238306685059</v>
      </c>
      <c r="H32" s="566">
        <v>1.6219659043659043E-2</v>
      </c>
      <c r="I32" s="567">
        <v>2.4623916130112316E-3</v>
      </c>
    </row>
    <row r="33" spans="1:9" s="3" customFormat="1" ht="11.45" customHeight="1">
      <c r="A33" s="458" t="s">
        <v>131</v>
      </c>
      <c r="B33" s="562">
        <v>0.69071199999999999</v>
      </c>
      <c r="C33" s="563" t="s">
        <v>1407</v>
      </c>
      <c r="D33" s="564">
        <v>500</v>
      </c>
      <c r="E33" s="562" t="s">
        <v>979</v>
      </c>
      <c r="F33" s="562" t="s">
        <v>954</v>
      </c>
      <c r="G33" s="565">
        <v>20.335256675423288</v>
      </c>
      <c r="H33" s="566" t="s">
        <v>954</v>
      </c>
      <c r="I33" s="567">
        <v>0.69071199999999999</v>
      </c>
    </row>
    <row r="34" spans="1:9" s="3" customFormat="1" ht="11.45" customHeight="1">
      <c r="A34" s="458" t="s">
        <v>132</v>
      </c>
      <c r="B34" s="562">
        <v>0.22290445714285717</v>
      </c>
      <c r="C34" s="563" t="s">
        <v>673</v>
      </c>
      <c r="D34" s="564">
        <v>500</v>
      </c>
      <c r="E34" s="562" t="s">
        <v>979</v>
      </c>
      <c r="F34" s="562" t="s">
        <v>954</v>
      </c>
      <c r="G34" s="565">
        <v>1.4804724326703158</v>
      </c>
      <c r="H34" s="566">
        <v>0.22290445714285717</v>
      </c>
      <c r="I34" s="567">
        <v>0.88961544140358173</v>
      </c>
    </row>
    <row r="35" spans="1:9" s="3" customFormat="1" ht="11.45" customHeight="1">
      <c r="A35" s="458" t="s">
        <v>133</v>
      </c>
      <c r="B35" s="562">
        <v>17</v>
      </c>
      <c r="C35" s="563" t="s">
        <v>380</v>
      </c>
      <c r="D35" s="564">
        <v>1000</v>
      </c>
      <c r="E35" s="562" t="s">
        <v>979</v>
      </c>
      <c r="F35" s="562">
        <v>17</v>
      </c>
      <c r="G35" s="565">
        <v>1.492622703268411</v>
      </c>
      <c r="H35" s="566" t="s">
        <v>954</v>
      </c>
      <c r="I35" s="567" t="s">
        <v>1408</v>
      </c>
    </row>
    <row r="36" spans="1:9" s="3" customFormat="1" ht="11.45" customHeight="1">
      <c r="A36" s="458" t="s">
        <v>134</v>
      </c>
      <c r="B36" s="562">
        <v>0.10002123076923075</v>
      </c>
      <c r="C36" s="563" t="s">
        <v>673</v>
      </c>
      <c r="D36" s="564">
        <v>453.26214201257858</v>
      </c>
      <c r="E36" s="562" t="s">
        <v>979</v>
      </c>
      <c r="F36" s="562" t="s">
        <v>954</v>
      </c>
      <c r="G36" s="565">
        <v>0.71011514254445907</v>
      </c>
      <c r="H36" s="566">
        <v>0.10002123076923075</v>
      </c>
      <c r="I36" s="567">
        <v>0.90540869999999996</v>
      </c>
    </row>
    <row r="37" spans="1:9" s="3" customFormat="1" ht="11.45" customHeight="1">
      <c r="A37" s="458" t="s">
        <v>614</v>
      </c>
      <c r="B37" s="562">
        <v>16.627770348612255</v>
      </c>
      <c r="C37" s="563" t="s">
        <v>674</v>
      </c>
      <c r="D37" s="564">
        <v>1000</v>
      </c>
      <c r="E37" s="562" t="s">
        <v>979</v>
      </c>
      <c r="F37" s="562" t="s">
        <v>954</v>
      </c>
      <c r="G37" s="565">
        <v>16.627770348612255</v>
      </c>
      <c r="H37" s="566" t="s">
        <v>954</v>
      </c>
      <c r="I37" s="567">
        <v>22.699061202515725</v>
      </c>
    </row>
    <row r="38" spans="1:9" s="3" customFormat="1" ht="11.45" customHeight="1">
      <c r="A38" s="458" t="s">
        <v>135</v>
      </c>
      <c r="B38" s="562">
        <v>6.839130220938904E-3</v>
      </c>
      <c r="C38" s="563" t="s">
        <v>1407</v>
      </c>
      <c r="D38" s="564">
        <v>1000</v>
      </c>
      <c r="E38" s="562" t="s">
        <v>979</v>
      </c>
      <c r="F38" s="562" t="s">
        <v>954</v>
      </c>
      <c r="G38" s="565">
        <v>2.6142493472050554</v>
      </c>
      <c r="H38" s="566" t="s">
        <v>954</v>
      </c>
      <c r="I38" s="567">
        <v>6.839130220938904E-3</v>
      </c>
    </row>
    <row r="39" spans="1:9" s="3" customFormat="1" ht="11.45" customHeight="1">
      <c r="A39" s="458" t="s">
        <v>136</v>
      </c>
      <c r="B39" s="562">
        <v>2.229044571428572</v>
      </c>
      <c r="C39" s="563" t="s">
        <v>673</v>
      </c>
      <c r="D39" s="564">
        <v>500</v>
      </c>
      <c r="E39" s="562" t="s">
        <v>979</v>
      </c>
      <c r="F39" s="562" t="s">
        <v>954</v>
      </c>
      <c r="G39" s="565">
        <v>58.735856754033783</v>
      </c>
      <c r="H39" s="566">
        <v>2.229044571428572</v>
      </c>
      <c r="I39" s="567">
        <v>2.9034550000000006</v>
      </c>
    </row>
    <row r="40" spans="1:9" s="3" customFormat="1" ht="11.45" customHeight="1">
      <c r="A40" s="458" t="s">
        <v>781</v>
      </c>
      <c r="B40" s="562">
        <v>1.1501468800000001</v>
      </c>
      <c r="C40" s="563" t="s">
        <v>1407</v>
      </c>
      <c r="D40" s="564">
        <v>500</v>
      </c>
      <c r="E40" s="562" t="s">
        <v>979</v>
      </c>
      <c r="F40" s="562" t="s">
        <v>954</v>
      </c>
      <c r="G40" s="565">
        <v>1199.043520033186</v>
      </c>
      <c r="H40" s="566">
        <v>178.32356571428573</v>
      </c>
      <c r="I40" s="567">
        <v>1.1501468800000001</v>
      </c>
    </row>
    <row r="41" spans="1:9" s="1" customFormat="1" ht="11.45" customHeight="1">
      <c r="A41" s="514" t="s">
        <v>137</v>
      </c>
      <c r="B41" s="562">
        <v>2.6092494983277589E-2</v>
      </c>
      <c r="C41" s="563" t="s">
        <v>673</v>
      </c>
      <c r="D41" s="564">
        <v>500</v>
      </c>
      <c r="E41" s="562" t="s">
        <v>979</v>
      </c>
      <c r="F41" s="562" t="s">
        <v>954</v>
      </c>
      <c r="G41" s="565">
        <v>0.34283322379966413</v>
      </c>
      <c r="H41" s="566">
        <v>2.6092494983277589E-2</v>
      </c>
      <c r="I41" s="567">
        <v>1.9773613999999999</v>
      </c>
    </row>
    <row r="42" spans="1:9" s="1" customFormat="1" ht="11.25" customHeight="1">
      <c r="A42" s="503" t="s">
        <v>782</v>
      </c>
      <c r="B42" s="562">
        <v>4.012280228571429</v>
      </c>
      <c r="C42" s="563" t="s">
        <v>673</v>
      </c>
      <c r="D42" s="564">
        <v>100</v>
      </c>
      <c r="E42" s="562" t="s">
        <v>979</v>
      </c>
      <c r="F42" s="562" t="s">
        <v>954</v>
      </c>
      <c r="G42" s="565">
        <v>24.383473244162705</v>
      </c>
      <c r="H42" s="566">
        <v>4.012280228571429</v>
      </c>
      <c r="I42" s="567">
        <v>60.94398504489795</v>
      </c>
    </row>
    <row r="43" spans="1:9" s="1" customFormat="1" ht="11.25" customHeight="1">
      <c r="A43" s="503" t="s">
        <v>138</v>
      </c>
      <c r="B43" s="562">
        <v>1.1605729859999999E-2</v>
      </c>
      <c r="C43" s="563" t="s">
        <v>1407</v>
      </c>
      <c r="D43" s="564">
        <v>100</v>
      </c>
      <c r="E43" s="562" t="s">
        <v>979</v>
      </c>
      <c r="F43" s="562" t="s">
        <v>954</v>
      </c>
      <c r="G43" s="565">
        <v>68.476431433471518</v>
      </c>
      <c r="H43" s="566">
        <v>36.555936436299852</v>
      </c>
      <c r="I43" s="567">
        <v>1.1605729859999999E-2</v>
      </c>
    </row>
    <row r="44" spans="1:9" s="1" customFormat="1" ht="11.25" customHeight="1">
      <c r="A44" s="503" t="s">
        <v>612</v>
      </c>
      <c r="B44" s="562">
        <v>1145</v>
      </c>
      <c r="C44" s="563" t="s">
        <v>380</v>
      </c>
      <c r="D44" s="564" t="s">
        <v>367</v>
      </c>
      <c r="E44" s="562" t="s">
        <v>979</v>
      </c>
      <c r="F44" s="562">
        <v>1145</v>
      </c>
      <c r="G44" s="565" t="s">
        <v>954</v>
      </c>
      <c r="H44" s="566" t="s">
        <v>954</v>
      </c>
      <c r="I44" s="567" t="s">
        <v>1408</v>
      </c>
    </row>
    <row r="45" spans="1:9" s="1" customFormat="1" ht="11.25" customHeight="1">
      <c r="A45" s="503" t="s">
        <v>779</v>
      </c>
      <c r="B45" s="562">
        <v>1000</v>
      </c>
      <c r="C45" s="563" t="s">
        <v>1409</v>
      </c>
      <c r="D45" s="564">
        <v>1000</v>
      </c>
      <c r="E45" s="562" t="s">
        <v>979</v>
      </c>
      <c r="F45" s="562" t="s">
        <v>954</v>
      </c>
      <c r="G45" s="565" t="s">
        <v>954</v>
      </c>
      <c r="H45" s="566" t="s">
        <v>954</v>
      </c>
      <c r="I45" s="567" t="s">
        <v>1408</v>
      </c>
    </row>
    <row r="46" spans="1:9" s="1" customFormat="1" ht="11.25" customHeight="1">
      <c r="A46" s="503" t="s">
        <v>780</v>
      </c>
      <c r="B46" s="562">
        <v>29.632417484956957</v>
      </c>
      <c r="C46" s="563" t="s">
        <v>674</v>
      </c>
      <c r="D46" s="564">
        <v>1000</v>
      </c>
      <c r="E46" s="562" t="s">
        <v>979</v>
      </c>
      <c r="F46" s="562" t="s">
        <v>954</v>
      </c>
      <c r="G46" s="565">
        <v>29.632417484956957</v>
      </c>
      <c r="H46" s="566" t="s">
        <v>954</v>
      </c>
      <c r="I46" s="567" t="s">
        <v>1408</v>
      </c>
    </row>
    <row r="47" spans="1:9" s="1" customFormat="1" ht="11.25" customHeight="1">
      <c r="A47" s="503" t="s">
        <v>139</v>
      </c>
      <c r="B47" s="562">
        <v>7.3218203526607688</v>
      </c>
      <c r="C47" s="563" t="s">
        <v>1407</v>
      </c>
      <c r="D47" s="564">
        <v>1000</v>
      </c>
      <c r="E47" s="562" t="s">
        <v>979</v>
      </c>
      <c r="F47" s="562" t="s">
        <v>954</v>
      </c>
      <c r="G47" s="565">
        <v>1128.5807709958024</v>
      </c>
      <c r="H47" s="566" t="s">
        <v>954</v>
      </c>
      <c r="I47" s="567">
        <v>7.3218203526607688</v>
      </c>
    </row>
    <row r="48" spans="1:9" s="1" customFormat="1" ht="11.25" customHeight="1">
      <c r="A48" s="503" t="s">
        <v>140</v>
      </c>
      <c r="B48" s="562">
        <v>80</v>
      </c>
      <c r="C48" s="563" t="s">
        <v>380</v>
      </c>
      <c r="D48" s="564">
        <v>1000</v>
      </c>
      <c r="E48" s="562" t="s">
        <v>979</v>
      </c>
      <c r="F48" s="562">
        <v>80</v>
      </c>
      <c r="G48" s="565">
        <v>4.6799528610711016</v>
      </c>
      <c r="H48" s="566" t="s">
        <v>954</v>
      </c>
      <c r="I48" s="567" t="s">
        <v>1408</v>
      </c>
    </row>
    <row r="49" spans="1:9" s="1" customFormat="1" ht="11.25" customHeight="1">
      <c r="A49" s="503" t="s">
        <v>141</v>
      </c>
      <c r="B49" s="562">
        <v>625.71428571428567</v>
      </c>
      <c r="C49" s="563" t="s">
        <v>674</v>
      </c>
      <c r="D49" s="564">
        <v>1000</v>
      </c>
      <c r="E49" s="562" t="s">
        <v>979</v>
      </c>
      <c r="F49" s="562">
        <v>252</v>
      </c>
      <c r="G49" s="565">
        <v>625.71428571428567</v>
      </c>
      <c r="H49" s="566" t="s">
        <v>954</v>
      </c>
      <c r="I49" s="567" t="s">
        <v>1408</v>
      </c>
    </row>
    <row r="50" spans="1:9" s="1" customFormat="1" ht="11.25" customHeight="1">
      <c r="A50" s="503" t="s">
        <v>142</v>
      </c>
      <c r="B50" s="562">
        <v>4.7522674398767206</v>
      </c>
      <c r="C50" s="563" t="s">
        <v>674</v>
      </c>
      <c r="D50" s="564">
        <v>100</v>
      </c>
      <c r="E50" s="562" t="s">
        <v>979</v>
      </c>
      <c r="F50" s="562" t="s">
        <v>954</v>
      </c>
      <c r="G50" s="565">
        <v>4.7522674398767206</v>
      </c>
      <c r="H50" s="566" t="s">
        <v>1394</v>
      </c>
      <c r="I50" s="567" t="s">
        <v>1408</v>
      </c>
    </row>
    <row r="51" spans="1:9" s="1" customFormat="1" ht="11.25" customHeight="1">
      <c r="A51" s="515" t="s">
        <v>96</v>
      </c>
      <c r="B51" s="562">
        <v>1.4281548812941221E-2</v>
      </c>
      <c r="C51" s="563" t="s">
        <v>1407</v>
      </c>
      <c r="D51" s="564">
        <v>500</v>
      </c>
      <c r="E51" s="562" t="s">
        <v>979</v>
      </c>
      <c r="F51" s="562" t="s">
        <v>954</v>
      </c>
      <c r="G51" s="565">
        <v>8.0589159430149166</v>
      </c>
      <c r="H51" s="566" t="s">
        <v>954</v>
      </c>
      <c r="I51" s="567">
        <v>1.4281548812941221E-2</v>
      </c>
    </row>
    <row r="52" spans="1:9" s="1" customFormat="1" ht="11.25" customHeight="1">
      <c r="A52" s="503" t="s">
        <v>97</v>
      </c>
      <c r="B52" s="562">
        <v>0.1063107598</v>
      </c>
      <c r="C52" s="563" t="s">
        <v>1407</v>
      </c>
      <c r="D52" s="564">
        <v>500</v>
      </c>
      <c r="E52" s="562" t="s">
        <v>979</v>
      </c>
      <c r="F52" s="562" t="s">
        <v>954</v>
      </c>
      <c r="G52" s="565">
        <v>379.28207733428781</v>
      </c>
      <c r="H52" s="566" t="s">
        <v>954</v>
      </c>
      <c r="I52" s="567">
        <v>0.1063107598</v>
      </c>
    </row>
    <row r="53" spans="1:9" s="1" customFormat="1" ht="11.25" customHeight="1">
      <c r="A53" s="503" t="s">
        <v>143</v>
      </c>
      <c r="B53" s="562">
        <v>1.1285807709958025</v>
      </c>
      <c r="C53" s="563" t="s">
        <v>674</v>
      </c>
      <c r="D53" s="564">
        <v>500</v>
      </c>
      <c r="E53" s="562" t="s">
        <v>979</v>
      </c>
      <c r="F53" s="562" t="s">
        <v>954</v>
      </c>
      <c r="G53" s="565">
        <v>1.1285807709958025</v>
      </c>
      <c r="H53" s="566" t="s">
        <v>954</v>
      </c>
      <c r="I53" s="567">
        <v>28.680250002744973</v>
      </c>
    </row>
    <row r="54" spans="1:9" s="1" customFormat="1" ht="11.25" customHeight="1">
      <c r="A54" s="503" t="s">
        <v>381</v>
      </c>
      <c r="B54" s="562">
        <v>8.061539999999999E-4</v>
      </c>
      <c r="C54" s="563" t="s">
        <v>1407</v>
      </c>
      <c r="D54" s="564">
        <v>500</v>
      </c>
      <c r="E54" s="562" t="s">
        <v>979</v>
      </c>
      <c r="F54" s="562" t="s">
        <v>954</v>
      </c>
      <c r="G54" s="565">
        <v>5.7102531036448472E-3</v>
      </c>
      <c r="H54" s="566" t="s">
        <v>1394</v>
      </c>
      <c r="I54" s="567">
        <v>8.061539999999999E-4</v>
      </c>
    </row>
    <row r="55" spans="1:9" s="1" customFormat="1" ht="11.25" customHeight="1">
      <c r="A55" s="503" t="s">
        <v>144</v>
      </c>
      <c r="B55" s="562">
        <v>8.8187719678234893E-3</v>
      </c>
      <c r="C55" s="563" t="s">
        <v>1407</v>
      </c>
      <c r="D55" s="564">
        <v>100</v>
      </c>
      <c r="E55" s="562" t="s">
        <v>979</v>
      </c>
      <c r="F55" s="562" t="s">
        <v>954</v>
      </c>
      <c r="G55" s="565">
        <v>8.0043859649122808</v>
      </c>
      <c r="H55" s="566">
        <v>3.1206624000000001</v>
      </c>
      <c r="I55" s="567">
        <v>8.8187719678234893E-3</v>
      </c>
    </row>
    <row r="56" spans="1:9" s="1" customFormat="1" ht="11.25" customHeight="1">
      <c r="A56" s="503" t="s">
        <v>487</v>
      </c>
      <c r="B56" s="562">
        <v>4.2432600000000004E-4</v>
      </c>
      <c r="C56" s="563" t="s">
        <v>1407</v>
      </c>
      <c r="D56" s="564">
        <v>500</v>
      </c>
      <c r="E56" s="562" t="s">
        <v>979</v>
      </c>
      <c r="F56" s="562" t="s">
        <v>954</v>
      </c>
      <c r="G56" s="565">
        <v>3.8604149142467709E-2</v>
      </c>
      <c r="H56" s="566">
        <v>1.0002123076923077E-3</v>
      </c>
      <c r="I56" s="567">
        <v>4.2432600000000004E-4</v>
      </c>
    </row>
    <row r="57" spans="1:9" s="1" customFormat="1" ht="11.25" customHeight="1">
      <c r="A57" s="503" t="s">
        <v>145</v>
      </c>
      <c r="B57" s="562">
        <v>0.75354699999999997</v>
      </c>
      <c r="C57" s="563" t="s">
        <v>1407</v>
      </c>
      <c r="D57" s="564">
        <v>376.29790188679249</v>
      </c>
      <c r="E57" s="562" t="s">
        <v>979</v>
      </c>
      <c r="F57" s="562" t="s">
        <v>954</v>
      </c>
      <c r="G57" s="565">
        <v>376.29790188679249</v>
      </c>
      <c r="H57" s="566">
        <v>8.9161782857142882</v>
      </c>
      <c r="I57" s="567">
        <v>0.75354699999999997</v>
      </c>
    </row>
    <row r="58" spans="1:9" s="1" customFormat="1" ht="11.25" customHeight="1">
      <c r="A58" s="503" t="s">
        <v>225</v>
      </c>
      <c r="B58" s="562">
        <v>0.5710765000000001</v>
      </c>
      <c r="C58" s="563" t="s">
        <v>1407</v>
      </c>
      <c r="D58" s="564">
        <v>100</v>
      </c>
      <c r="E58" s="562" t="s">
        <v>979</v>
      </c>
      <c r="F58" s="562" t="s">
        <v>954</v>
      </c>
      <c r="G58" s="565">
        <v>204.33995287331547</v>
      </c>
      <c r="H58" s="566" t="s">
        <v>1394</v>
      </c>
      <c r="I58" s="567">
        <v>0.5710765000000001</v>
      </c>
    </row>
    <row r="59" spans="1:9" s="1" customFormat="1" ht="11.25" customHeight="1">
      <c r="A59" s="503" t="s">
        <v>226</v>
      </c>
      <c r="B59" s="562">
        <v>5.4557034965034959E-2</v>
      </c>
      <c r="C59" s="563" t="s">
        <v>673</v>
      </c>
      <c r="D59" s="564">
        <v>500</v>
      </c>
      <c r="E59" s="562" t="s">
        <v>979</v>
      </c>
      <c r="F59" s="562" t="s">
        <v>954</v>
      </c>
      <c r="G59" s="565">
        <v>2.8246065179655564</v>
      </c>
      <c r="H59" s="566">
        <v>5.4557034965034959E-2</v>
      </c>
      <c r="I59" s="567">
        <v>0.38598300000000002</v>
      </c>
    </row>
    <row r="60" spans="1:9" s="1" customFormat="1" ht="11.25" customHeight="1">
      <c r="A60" s="503" t="s">
        <v>227</v>
      </c>
      <c r="B60" s="562">
        <v>6.6305000297962491E-2</v>
      </c>
      <c r="C60" s="563" t="s">
        <v>1407</v>
      </c>
      <c r="D60" s="564">
        <v>500</v>
      </c>
      <c r="E60" s="562" t="s">
        <v>979</v>
      </c>
      <c r="F60" s="562" t="s">
        <v>954</v>
      </c>
      <c r="G60" s="565">
        <v>1.1617684070381793</v>
      </c>
      <c r="H60" s="566" t="s">
        <v>954</v>
      </c>
      <c r="I60" s="567">
        <v>6.6305000297962491E-2</v>
      </c>
    </row>
    <row r="61" spans="1:9" s="1" customFormat="1" ht="11.25" customHeight="1">
      <c r="A61" s="503" t="s">
        <v>361</v>
      </c>
      <c r="B61" s="562">
        <v>2.1784553645811879</v>
      </c>
      <c r="C61" s="563" t="s">
        <v>674</v>
      </c>
      <c r="D61" s="564">
        <v>500</v>
      </c>
      <c r="E61" s="562" t="s">
        <v>979</v>
      </c>
      <c r="F61" s="562" t="s">
        <v>954</v>
      </c>
      <c r="G61" s="565">
        <v>2.1784553645811879</v>
      </c>
      <c r="H61" s="566" t="s">
        <v>954</v>
      </c>
      <c r="I61" s="567">
        <v>63.459004600188678</v>
      </c>
    </row>
    <row r="62" spans="1:9" s="1" customFormat="1" ht="11.25" customHeight="1">
      <c r="A62" s="503" t="s">
        <v>362</v>
      </c>
      <c r="B62" s="562">
        <v>1.9200322290192162</v>
      </c>
      <c r="C62" s="563" t="s">
        <v>674</v>
      </c>
      <c r="D62" s="564">
        <v>500</v>
      </c>
      <c r="E62" s="562" t="s">
        <v>979</v>
      </c>
      <c r="F62" s="562" t="s">
        <v>954</v>
      </c>
      <c r="G62" s="565">
        <v>1.9200322290192162</v>
      </c>
      <c r="H62" s="566" t="s">
        <v>954</v>
      </c>
      <c r="I62" s="567">
        <v>28.204012872955982</v>
      </c>
    </row>
    <row r="63" spans="1:9" s="1" customFormat="1" ht="11.25" customHeight="1">
      <c r="A63" s="503" t="s">
        <v>363</v>
      </c>
      <c r="B63" s="562">
        <v>1.8212193250639632</v>
      </c>
      <c r="C63" s="563" t="s">
        <v>674</v>
      </c>
      <c r="D63" s="564">
        <v>1000</v>
      </c>
      <c r="E63" s="562" t="s">
        <v>979</v>
      </c>
      <c r="F63" s="562" t="s">
        <v>954</v>
      </c>
      <c r="G63" s="565">
        <v>1.8212193250639632</v>
      </c>
      <c r="H63" s="566" t="s">
        <v>954</v>
      </c>
      <c r="I63" s="567">
        <v>5.5643503540062893</v>
      </c>
    </row>
    <row r="64" spans="1:9" s="1" customFormat="1" ht="11.25" customHeight="1">
      <c r="A64" s="503" t="s">
        <v>234</v>
      </c>
      <c r="B64" s="562">
        <v>0.11013705399820803</v>
      </c>
      <c r="C64" s="563" t="s">
        <v>1407</v>
      </c>
      <c r="D64" s="564">
        <v>500</v>
      </c>
      <c r="E64" s="562" t="s">
        <v>979</v>
      </c>
      <c r="F64" s="562" t="s">
        <v>954</v>
      </c>
      <c r="G64" s="565">
        <v>3.8337235773200096</v>
      </c>
      <c r="H64" s="566">
        <v>0.37507961538461537</v>
      </c>
      <c r="I64" s="567">
        <v>0.11013705399820803</v>
      </c>
    </row>
    <row r="65" spans="1:9" s="1" customFormat="1" ht="11.25" customHeight="1">
      <c r="A65" s="503" t="s">
        <v>235</v>
      </c>
      <c r="B65" s="562">
        <v>2.3081822485207102E-2</v>
      </c>
      <c r="C65" s="563" t="s">
        <v>673</v>
      </c>
      <c r="D65" s="564">
        <v>500</v>
      </c>
      <c r="E65" s="562" t="s">
        <v>979</v>
      </c>
      <c r="F65" s="562" t="s">
        <v>954</v>
      </c>
      <c r="G65" s="565">
        <v>0.50063402707119875</v>
      </c>
      <c r="H65" s="566">
        <v>2.3081822485207102E-2</v>
      </c>
      <c r="I65" s="567">
        <v>7.0110000000000006E-2</v>
      </c>
    </row>
    <row r="66" spans="1:9" s="1" customFormat="1" ht="11.25" customHeight="1">
      <c r="A66" s="503" t="s">
        <v>294</v>
      </c>
      <c r="B66" s="562">
        <v>1.1666488400000001</v>
      </c>
      <c r="C66" s="563" t="s">
        <v>1407</v>
      </c>
      <c r="D66" s="564">
        <v>500</v>
      </c>
      <c r="E66" s="562" t="s">
        <v>979</v>
      </c>
      <c r="F66" s="562" t="s">
        <v>954</v>
      </c>
      <c r="G66" s="565">
        <v>48.76242864214462</v>
      </c>
      <c r="H66" s="566">
        <v>8.9161782857142882</v>
      </c>
      <c r="I66" s="567">
        <v>1.1666488400000001</v>
      </c>
    </row>
    <row r="67" spans="1:9" s="1" customFormat="1" ht="11.25" customHeight="1">
      <c r="A67" s="503" t="s">
        <v>295</v>
      </c>
      <c r="B67" s="562">
        <v>1.7832356571428574</v>
      </c>
      <c r="C67" s="563" t="s">
        <v>673</v>
      </c>
      <c r="D67" s="564">
        <v>100</v>
      </c>
      <c r="E67" s="562" t="s">
        <v>979</v>
      </c>
      <c r="F67" s="562" t="s">
        <v>954</v>
      </c>
      <c r="G67" s="565">
        <v>13.091269762884867</v>
      </c>
      <c r="H67" s="566">
        <v>1.7832356571428574</v>
      </c>
      <c r="I67" s="567">
        <v>2.2415610000000004</v>
      </c>
    </row>
    <row r="68" spans="1:9" s="1" customFormat="1" ht="11.25" customHeight="1">
      <c r="A68" s="503" t="s">
        <v>228</v>
      </c>
      <c r="B68" s="562">
        <v>1.7832356571428574</v>
      </c>
      <c r="C68" s="563" t="s">
        <v>673</v>
      </c>
      <c r="D68" s="564">
        <v>500</v>
      </c>
      <c r="E68" s="562" t="s">
        <v>979</v>
      </c>
      <c r="F68" s="562" t="s">
        <v>954</v>
      </c>
      <c r="G68" s="565">
        <v>15.08165040563425</v>
      </c>
      <c r="H68" s="566">
        <v>1.7832356571428574</v>
      </c>
      <c r="I68" s="567">
        <v>6.4919400000000014</v>
      </c>
    </row>
    <row r="69" spans="1:9" s="1" customFormat="1" ht="11.25" customHeight="1">
      <c r="A69" s="503" t="s">
        <v>942</v>
      </c>
      <c r="B69" s="562">
        <v>7.3286070299999999E-3</v>
      </c>
      <c r="C69" s="563" t="s">
        <v>1407</v>
      </c>
      <c r="D69" s="564">
        <v>500</v>
      </c>
      <c r="E69" s="562" t="s">
        <v>979</v>
      </c>
      <c r="F69" s="562" t="s">
        <v>954</v>
      </c>
      <c r="G69" s="565">
        <v>37.928207733428785</v>
      </c>
      <c r="H69" s="566" t="s">
        <v>954</v>
      </c>
      <c r="I69" s="567">
        <v>7.3286070299999999E-3</v>
      </c>
    </row>
    <row r="70" spans="1:9" s="1" customFormat="1" ht="11.25" customHeight="1">
      <c r="A70" s="503" t="s">
        <v>98</v>
      </c>
      <c r="B70" s="562">
        <v>0.34431580715000004</v>
      </c>
      <c r="C70" s="563" t="s">
        <v>1407</v>
      </c>
      <c r="D70" s="564">
        <v>500</v>
      </c>
      <c r="E70" s="562" t="s">
        <v>979</v>
      </c>
      <c r="F70" s="562" t="s">
        <v>954</v>
      </c>
      <c r="G70" s="565">
        <v>139.83692077823397</v>
      </c>
      <c r="H70" s="566" t="s">
        <v>954</v>
      </c>
      <c r="I70" s="567">
        <v>0.34431580715000004</v>
      </c>
    </row>
    <row r="71" spans="1:9" s="1" customFormat="1" ht="11.25" customHeight="1">
      <c r="A71" s="503" t="s">
        <v>943</v>
      </c>
      <c r="B71" s="562">
        <v>0.13727900000000004</v>
      </c>
      <c r="C71" s="563" t="s">
        <v>1407</v>
      </c>
      <c r="D71" s="564">
        <v>100</v>
      </c>
      <c r="E71" s="562" t="s">
        <v>979</v>
      </c>
      <c r="F71" s="562" t="s">
        <v>954</v>
      </c>
      <c r="G71" s="565">
        <v>2.6265264274451212</v>
      </c>
      <c r="H71" s="566">
        <v>0.1621965904365904</v>
      </c>
      <c r="I71" s="567">
        <v>0.13727900000000004</v>
      </c>
    </row>
    <row r="72" spans="1:9" s="1" customFormat="1" ht="11.25" customHeight="1">
      <c r="A72" s="503" t="s">
        <v>296</v>
      </c>
      <c r="B72" s="562">
        <v>1.6217721282692027E-2</v>
      </c>
      <c r="C72" s="563" t="s">
        <v>1407</v>
      </c>
      <c r="D72" s="564">
        <v>500</v>
      </c>
      <c r="E72" s="562" t="s">
        <v>979</v>
      </c>
      <c r="F72" s="562" t="s">
        <v>954</v>
      </c>
      <c r="G72" s="565">
        <v>1.9127700817840205</v>
      </c>
      <c r="H72" s="566">
        <v>0.15003184615384613</v>
      </c>
      <c r="I72" s="567">
        <v>1.6217721282692027E-2</v>
      </c>
    </row>
    <row r="73" spans="1:9" s="1" customFormat="1" ht="11.25" customHeight="1">
      <c r="A73" s="503" t="s">
        <v>944</v>
      </c>
      <c r="B73" s="562">
        <v>2.5285471822285857</v>
      </c>
      <c r="C73" s="563" t="s">
        <v>674</v>
      </c>
      <c r="D73" s="564">
        <v>1000</v>
      </c>
      <c r="E73" s="562" t="s">
        <v>979</v>
      </c>
      <c r="F73" s="562" t="s">
        <v>954</v>
      </c>
      <c r="G73" s="565">
        <v>2.5285471822285857</v>
      </c>
      <c r="H73" s="566" t="s">
        <v>954</v>
      </c>
      <c r="I73" s="567">
        <v>23.524815135188682</v>
      </c>
    </row>
    <row r="74" spans="1:9" s="1" customFormat="1" ht="11.25" customHeight="1">
      <c r="A74" s="503" t="s">
        <v>945</v>
      </c>
      <c r="B74" s="562">
        <v>17.068842544600002</v>
      </c>
      <c r="C74" s="563" t="s">
        <v>1407</v>
      </c>
      <c r="D74" s="564">
        <v>500</v>
      </c>
      <c r="E74" s="562" t="s">
        <v>979</v>
      </c>
      <c r="F74" s="562" t="s">
        <v>954</v>
      </c>
      <c r="G74" s="565">
        <v>10114.188728914341</v>
      </c>
      <c r="H74" s="566" t="s">
        <v>954</v>
      </c>
      <c r="I74" s="567">
        <v>17.068842544600002</v>
      </c>
    </row>
    <row r="75" spans="1:9" s="1" customFormat="1" ht="11.25" customHeight="1">
      <c r="A75" s="503" t="s">
        <v>947</v>
      </c>
      <c r="B75" s="562">
        <v>29.010583321578657</v>
      </c>
      <c r="C75" s="563" t="s">
        <v>1407</v>
      </c>
      <c r="D75" s="564">
        <v>100</v>
      </c>
      <c r="E75" s="562" t="s">
        <v>979</v>
      </c>
      <c r="F75" s="562" t="s">
        <v>954</v>
      </c>
      <c r="G75" s="565">
        <v>252.8514983047302</v>
      </c>
      <c r="H75" s="566" t="s">
        <v>954</v>
      </c>
      <c r="I75" s="567">
        <v>29.010583321578657</v>
      </c>
    </row>
    <row r="76" spans="1:9" s="1" customFormat="1" ht="11.25" customHeight="1">
      <c r="A76" s="503" t="s">
        <v>946</v>
      </c>
      <c r="B76" s="562">
        <v>74.37008555200002</v>
      </c>
      <c r="C76" s="563" t="s">
        <v>1407</v>
      </c>
      <c r="D76" s="564">
        <v>500</v>
      </c>
      <c r="E76" s="562" t="s">
        <v>979</v>
      </c>
      <c r="F76" s="562" t="s">
        <v>954</v>
      </c>
      <c r="G76" s="565">
        <v>126427.35911142928</v>
      </c>
      <c r="H76" s="566" t="s">
        <v>954</v>
      </c>
      <c r="I76" s="567">
        <v>74.37008555200002</v>
      </c>
    </row>
    <row r="77" spans="1:9" s="1" customFormat="1" ht="11.25" customHeight="1">
      <c r="A77" s="515" t="s">
        <v>99</v>
      </c>
      <c r="B77" s="562">
        <v>0.11390288252958661</v>
      </c>
      <c r="C77" s="563" t="s">
        <v>1407</v>
      </c>
      <c r="D77" s="564">
        <v>500</v>
      </c>
      <c r="E77" s="562" t="s">
        <v>979</v>
      </c>
      <c r="F77" s="562" t="s">
        <v>954</v>
      </c>
      <c r="G77" s="565">
        <v>1.2642735911142928</v>
      </c>
      <c r="H77" s="566" t="s">
        <v>954</v>
      </c>
      <c r="I77" s="567">
        <v>0.11390288252958661</v>
      </c>
    </row>
    <row r="78" spans="1:9" s="1" customFormat="1" ht="11.25" customHeight="1">
      <c r="A78" s="503" t="s">
        <v>297</v>
      </c>
      <c r="B78" s="562">
        <v>2.9702775707701026</v>
      </c>
      <c r="C78" s="563" t="s">
        <v>1407</v>
      </c>
      <c r="D78" s="564">
        <v>500</v>
      </c>
      <c r="E78" s="562" t="s">
        <v>979</v>
      </c>
      <c r="F78" s="562" t="s">
        <v>954</v>
      </c>
      <c r="G78" s="565">
        <v>25.285471822285853</v>
      </c>
      <c r="H78" s="566" t="s">
        <v>954</v>
      </c>
      <c r="I78" s="567">
        <v>2.9702775707701026</v>
      </c>
    </row>
    <row r="79" spans="1:9" s="1" customFormat="1" ht="11.25" customHeight="1">
      <c r="A79" s="515" t="s">
        <v>100</v>
      </c>
      <c r="B79" s="562">
        <v>2.269119700264436E-2</v>
      </c>
      <c r="C79" s="563" t="s">
        <v>1407</v>
      </c>
      <c r="D79" s="564">
        <v>500</v>
      </c>
      <c r="E79" s="562" t="s">
        <v>979</v>
      </c>
      <c r="F79" s="562" t="s">
        <v>954</v>
      </c>
      <c r="G79" s="565">
        <v>1.6790787415094435</v>
      </c>
      <c r="H79" s="566" t="s">
        <v>954</v>
      </c>
      <c r="I79" s="567">
        <v>2.269119700264436E-2</v>
      </c>
    </row>
    <row r="80" spans="1:9" s="1" customFormat="1" ht="11.25" customHeight="1">
      <c r="A80" s="515" t="s">
        <v>101</v>
      </c>
      <c r="B80" s="562">
        <v>4.7334021984730048E-3</v>
      </c>
      <c r="C80" s="563" t="s">
        <v>1407</v>
      </c>
      <c r="D80" s="564">
        <v>500</v>
      </c>
      <c r="E80" s="562" t="s">
        <v>979</v>
      </c>
      <c r="F80" s="562" t="s">
        <v>954</v>
      </c>
      <c r="G80" s="565">
        <v>0.34934343533368617</v>
      </c>
      <c r="H80" s="566" t="s">
        <v>954</v>
      </c>
      <c r="I80" s="567">
        <v>4.7334021984730048E-3</v>
      </c>
    </row>
    <row r="81" spans="1:9" s="1" customFormat="1" ht="11.25" customHeight="1">
      <c r="A81" s="503" t="s">
        <v>382</v>
      </c>
      <c r="B81" s="562">
        <v>2.1180688236784579E-4</v>
      </c>
      <c r="C81" s="563" t="s">
        <v>1407</v>
      </c>
      <c r="D81" s="564">
        <v>500</v>
      </c>
      <c r="E81" s="562" t="s">
        <v>979</v>
      </c>
      <c r="F81" s="562" t="s">
        <v>954</v>
      </c>
      <c r="G81" s="565">
        <v>5.2502538570849584</v>
      </c>
      <c r="H81" s="566" t="s">
        <v>1394</v>
      </c>
      <c r="I81" s="567">
        <v>2.1180688236784579E-4</v>
      </c>
    </row>
    <row r="82" spans="1:9" s="1" customFormat="1" ht="11.25" customHeight="1">
      <c r="A82" s="458" t="s">
        <v>594</v>
      </c>
      <c r="B82" s="562">
        <v>2.4000000000000001E-4</v>
      </c>
      <c r="C82" s="563" t="s">
        <v>674</v>
      </c>
      <c r="D82" s="564">
        <v>1000</v>
      </c>
      <c r="E82" s="562" t="s">
        <v>979</v>
      </c>
      <c r="F82" s="562">
        <v>2.0000000000000002E-5</v>
      </c>
      <c r="G82" s="565">
        <v>2.4000000000000001E-4</v>
      </c>
      <c r="H82" s="566" t="s">
        <v>954</v>
      </c>
      <c r="I82" s="567">
        <v>0.29894007572327047</v>
      </c>
    </row>
    <row r="83" spans="1:9" s="1" customFormat="1" ht="11.25" customHeight="1">
      <c r="A83" s="503" t="s">
        <v>102</v>
      </c>
      <c r="B83" s="562">
        <v>0.65289899371375337</v>
      </c>
      <c r="C83" s="563" t="s">
        <v>1407</v>
      </c>
      <c r="D83" s="564">
        <v>500</v>
      </c>
      <c r="E83" s="562" t="s">
        <v>979</v>
      </c>
      <c r="F83" s="562" t="s">
        <v>954</v>
      </c>
      <c r="G83" s="565">
        <v>25.285471822285853</v>
      </c>
      <c r="H83" s="566" t="s">
        <v>954</v>
      </c>
      <c r="I83" s="567">
        <v>0.65289899371375337</v>
      </c>
    </row>
    <row r="84" spans="1:9" s="1" customFormat="1" ht="11.25" customHeight="1">
      <c r="A84" s="503" t="s">
        <v>370</v>
      </c>
      <c r="B84" s="562">
        <v>13.216616117924531</v>
      </c>
      <c r="C84" s="563" t="s">
        <v>1407</v>
      </c>
      <c r="D84" s="564">
        <v>500</v>
      </c>
      <c r="E84" s="562" t="s">
        <v>979</v>
      </c>
      <c r="F84" s="562" t="s">
        <v>954</v>
      </c>
      <c r="G84" s="565">
        <v>93.857142857142861</v>
      </c>
      <c r="H84" s="566" t="s">
        <v>954</v>
      </c>
      <c r="I84" s="567">
        <v>13.216616117924531</v>
      </c>
    </row>
    <row r="85" spans="1:9" s="1" customFormat="1" ht="11.25" customHeight="1">
      <c r="A85" s="503" t="s">
        <v>337</v>
      </c>
      <c r="B85" s="562">
        <v>3.7928207733428785</v>
      </c>
      <c r="C85" s="563" t="s">
        <v>674</v>
      </c>
      <c r="D85" s="564">
        <v>500</v>
      </c>
      <c r="E85" s="562" t="s">
        <v>979</v>
      </c>
      <c r="F85" s="562" t="s">
        <v>954</v>
      </c>
      <c r="G85" s="565">
        <v>3.7928207733428785</v>
      </c>
      <c r="H85" s="566" t="s">
        <v>954</v>
      </c>
      <c r="I85" s="567">
        <v>30.160012305031447</v>
      </c>
    </row>
    <row r="86" spans="1:9" s="1" customFormat="1" ht="11.25" customHeight="1">
      <c r="A86" s="503" t="s">
        <v>28</v>
      </c>
      <c r="B86" s="562">
        <v>0</v>
      </c>
      <c r="C86" s="563" t="s">
        <v>1407</v>
      </c>
      <c r="D86" s="564">
        <v>500</v>
      </c>
      <c r="E86" s="562" t="s">
        <v>979</v>
      </c>
      <c r="F86" s="562" t="s">
        <v>954</v>
      </c>
      <c r="G86" s="565" t="s">
        <v>954</v>
      </c>
      <c r="H86" s="566" t="s">
        <v>954</v>
      </c>
      <c r="I86" s="567">
        <v>0</v>
      </c>
    </row>
    <row r="87" spans="1:9" s="1" customFormat="1" ht="11.25" customHeight="1">
      <c r="A87" s="503" t="s">
        <v>338</v>
      </c>
      <c r="B87" s="562">
        <v>3.6926370000000008</v>
      </c>
      <c r="C87" s="563" t="s">
        <v>1407</v>
      </c>
      <c r="D87" s="564">
        <v>479.48318616352208</v>
      </c>
      <c r="E87" s="562" t="s">
        <v>979</v>
      </c>
      <c r="F87" s="562" t="s">
        <v>954</v>
      </c>
      <c r="G87" s="565">
        <v>62.483630071956853</v>
      </c>
      <c r="H87" s="566">
        <v>24.005095384615387</v>
      </c>
      <c r="I87" s="567">
        <v>3.6926370000000008</v>
      </c>
    </row>
    <row r="88" spans="1:9" s="1" customFormat="1" ht="11.25" customHeight="1">
      <c r="A88" s="503" t="s">
        <v>339</v>
      </c>
      <c r="B88" s="562">
        <v>119.66181814990003</v>
      </c>
      <c r="C88" s="563" t="s">
        <v>1407</v>
      </c>
      <c r="D88" s="564">
        <v>500</v>
      </c>
      <c r="E88" s="562" t="s">
        <v>979</v>
      </c>
      <c r="F88" s="562" t="s">
        <v>954</v>
      </c>
      <c r="G88" s="565">
        <v>478.19569558367709</v>
      </c>
      <c r="H88" s="566" t="s">
        <v>954</v>
      </c>
      <c r="I88" s="567">
        <v>119.66181814990003</v>
      </c>
    </row>
    <row r="89" spans="1:9" s="1" customFormat="1" ht="11.25" customHeight="1">
      <c r="A89" s="503" t="s">
        <v>340</v>
      </c>
      <c r="B89" s="562">
        <v>93.052630320000006</v>
      </c>
      <c r="C89" s="563" t="s">
        <v>673</v>
      </c>
      <c r="D89" s="564">
        <v>500</v>
      </c>
      <c r="E89" s="562" t="s">
        <v>979</v>
      </c>
      <c r="F89" s="562" t="s">
        <v>954</v>
      </c>
      <c r="G89" s="565">
        <v>453.94296153544229</v>
      </c>
      <c r="H89" s="566">
        <v>93.052630320000006</v>
      </c>
      <c r="I89" s="567">
        <v>380.4185180991542</v>
      </c>
    </row>
    <row r="90" spans="1:9" s="1" customFormat="1" ht="11.25" customHeight="1">
      <c r="A90" s="503" t="s">
        <v>103</v>
      </c>
      <c r="B90" s="562">
        <v>244.02000000912432</v>
      </c>
      <c r="C90" s="563" t="s">
        <v>1407</v>
      </c>
      <c r="D90" s="564">
        <v>500</v>
      </c>
      <c r="E90" s="562" t="s">
        <v>979</v>
      </c>
      <c r="F90" s="562" t="s">
        <v>954</v>
      </c>
      <c r="G90" s="565">
        <v>1264.2735911142927</v>
      </c>
      <c r="H90" s="566" t="s">
        <v>954</v>
      </c>
      <c r="I90" s="567">
        <v>244.02000000912432</v>
      </c>
    </row>
    <row r="91" spans="1:9" s="1" customFormat="1" ht="11.25" customHeight="1">
      <c r="A91" s="503" t="s">
        <v>341</v>
      </c>
      <c r="B91" s="562">
        <v>1.3201258135444218</v>
      </c>
      <c r="C91" s="563" t="s">
        <v>674</v>
      </c>
      <c r="D91" s="564">
        <v>1000</v>
      </c>
      <c r="E91" s="562" t="s">
        <v>979</v>
      </c>
      <c r="F91" s="562" t="s">
        <v>954</v>
      </c>
      <c r="G91" s="565">
        <v>1.3201258135444218</v>
      </c>
      <c r="H91" s="566" t="s">
        <v>954</v>
      </c>
      <c r="I91" s="567">
        <v>44.579208905660373</v>
      </c>
    </row>
    <row r="92" spans="1:9" s="1" customFormat="1" ht="11.25" customHeight="1">
      <c r="A92" s="503" t="s">
        <v>342</v>
      </c>
      <c r="B92" s="562">
        <v>0.20335714285714288</v>
      </c>
      <c r="C92" s="563" t="s">
        <v>674</v>
      </c>
      <c r="D92" s="564">
        <v>1000</v>
      </c>
      <c r="E92" s="562" t="s">
        <v>979</v>
      </c>
      <c r="F92" s="562" t="s">
        <v>954</v>
      </c>
      <c r="G92" s="565">
        <v>0.20335714285714288</v>
      </c>
      <c r="H92" s="566" t="s">
        <v>954</v>
      </c>
      <c r="I92" s="567">
        <v>12.15203256100629</v>
      </c>
    </row>
    <row r="93" spans="1:9" s="1" customFormat="1" ht="11.25" customHeight="1">
      <c r="A93" s="503" t="s">
        <v>371</v>
      </c>
      <c r="B93" s="562">
        <v>0.15642857142857144</v>
      </c>
      <c r="C93" s="563" t="s">
        <v>674</v>
      </c>
      <c r="D93" s="564">
        <v>500</v>
      </c>
      <c r="E93" s="562" t="s">
        <v>979</v>
      </c>
      <c r="F93" s="562" t="s">
        <v>954</v>
      </c>
      <c r="G93" s="565">
        <v>0.15642857142857144</v>
      </c>
      <c r="H93" s="566" t="s">
        <v>954</v>
      </c>
      <c r="I93" s="567">
        <v>0.23115615974842768</v>
      </c>
    </row>
    <row r="94" spans="1:9" s="1" customFormat="1" ht="11.25" customHeight="1">
      <c r="A94" s="503" t="s">
        <v>343</v>
      </c>
      <c r="B94" s="562">
        <v>5.7039308714951532E-2</v>
      </c>
      <c r="C94" s="563" t="s">
        <v>1407</v>
      </c>
      <c r="D94" s="564">
        <v>500</v>
      </c>
      <c r="E94" s="562" t="s">
        <v>979</v>
      </c>
      <c r="F94" s="562" t="s">
        <v>954</v>
      </c>
      <c r="G94" s="565">
        <v>1.2706826027542686</v>
      </c>
      <c r="H94" s="566" t="s">
        <v>954</v>
      </c>
      <c r="I94" s="567">
        <v>5.7039308714951532E-2</v>
      </c>
    </row>
    <row r="95" spans="1:9" s="1" customFormat="1" ht="11.25" customHeight="1">
      <c r="A95" s="503" t="s">
        <v>364</v>
      </c>
      <c r="B95" s="562">
        <v>7.4558984912000012E-2</v>
      </c>
      <c r="C95" s="563" t="s">
        <v>1407</v>
      </c>
      <c r="D95" s="564">
        <v>500</v>
      </c>
      <c r="E95" s="562" t="s">
        <v>979</v>
      </c>
      <c r="F95" s="562" t="s">
        <v>954</v>
      </c>
      <c r="G95" s="565">
        <v>0.54847786239896112</v>
      </c>
      <c r="H95" s="566" t="s">
        <v>954</v>
      </c>
      <c r="I95" s="567">
        <v>7.4558984912000012E-2</v>
      </c>
    </row>
    <row r="96" spans="1:9" s="1" customFormat="1" ht="11.25" customHeight="1">
      <c r="A96" s="503" t="s">
        <v>344</v>
      </c>
      <c r="B96" s="562">
        <v>5.234465758665742E-2</v>
      </c>
      <c r="C96" s="563" t="s">
        <v>1407</v>
      </c>
      <c r="D96" s="564">
        <v>500</v>
      </c>
      <c r="E96" s="562" t="s">
        <v>979</v>
      </c>
      <c r="F96" s="562" t="s">
        <v>954</v>
      </c>
      <c r="G96" s="565">
        <v>1.9583143021736595</v>
      </c>
      <c r="H96" s="566" t="s">
        <v>954</v>
      </c>
      <c r="I96" s="567">
        <v>5.234465758665742E-2</v>
      </c>
    </row>
    <row r="97" spans="1:9" s="1" customFormat="1" ht="11.25" customHeight="1">
      <c r="A97" s="503" t="s">
        <v>104</v>
      </c>
      <c r="B97" s="562">
        <v>13.830187233223306</v>
      </c>
      <c r="C97" s="563" t="s">
        <v>1407</v>
      </c>
      <c r="D97" s="564">
        <v>500</v>
      </c>
      <c r="E97" s="562" t="s">
        <v>979</v>
      </c>
      <c r="F97" s="562" t="s">
        <v>954</v>
      </c>
      <c r="G97" s="565">
        <v>417.2102850677166</v>
      </c>
      <c r="H97" s="566" t="s">
        <v>954</v>
      </c>
      <c r="I97" s="567">
        <v>13.830187233223306</v>
      </c>
    </row>
    <row r="98" spans="1:9" s="1" customFormat="1" ht="11.25" customHeight="1">
      <c r="A98" s="503" t="s">
        <v>345</v>
      </c>
      <c r="B98" s="562">
        <v>5.7271199946873086</v>
      </c>
      <c r="C98" s="563" t="s">
        <v>1407</v>
      </c>
      <c r="D98" s="564">
        <v>500</v>
      </c>
      <c r="E98" s="562" t="s">
        <v>979</v>
      </c>
      <c r="F98" s="562" t="s">
        <v>954</v>
      </c>
      <c r="G98" s="565">
        <v>11.285807709958021</v>
      </c>
      <c r="H98" s="566" t="s">
        <v>954</v>
      </c>
      <c r="I98" s="567">
        <v>5.7271199946873086</v>
      </c>
    </row>
    <row r="99" spans="1:9" s="1" customFormat="1" ht="11.25" customHeight="1">
      <c r="A99" s="503" t="s">
        <v>105</v>
      </c>
      <c r="B99" s="562">
        <v>0.84557395441387007</v>
      </c>
      <c r="C99" s="563" t="s">
        <v>1407</v>
      </c>
      <c r="D99" s="564">
        <v>500</v>
      </c>
      <c r="E99" s="562" t="s">
        <v>979</v>
      </c>
      <c r="F99" s="562" t="s">
        <v>954</v>
      </c>
      <c r="G99" s="565">
        <v>550.36828362211691</v>
      </c>
      <c r="H99" s="566" t="s">
        <v>954</v>
      </c>
      <c r="I99" s="567">
        <v>0.84557395441387007</v>
      </c>
    </row>
    <row r="100" spans="1:9" s="1" customFormat="1" ht="11.25" customHeight="1">
      <c r="A100" s="503" t="s">
        <v>346</v>
      </c>
      <c r="B100" s="562">
        <v>200</v>
      </c>
      <c r="C100" s="563" t="s">
        <v>674</v>
      </c>
      <c r="D100" s="564">
        <v>1000</v>
      </c>
      <c r="E100" s="562" t="s">
        <v>979</v>
      </c>
      <c r="F100" s="562">
        <v>73</v>
      </c>
      <c r="G100" s="565">
        <v>200</v>
      </c>
      <c r="H100" s="566" t="s">
        <v>954</v>
      </c>
      <c r="I100" s="567" t="s">
        <v>1408</v>
      </c>
    </row>
    <row r="101" spans="1:9" s="1" customFormat="1" ht="11.25" customHeight="1">
      <c r="A101" s="503" t="s">
        <v>347</v>
      </c>
      <c r="B101" s="562">
        <v>4.6925983598593568</v>
      </c>
      <c r="C101" s="563" t="s">
        <v>674</v>
      </c>
      <c r="D101" s="564">
        <v>500</v>
      </c>
      <c r="E101" s="562" t="s">
        <v>979</v>
      </c>
      <c r="F101" s="562">
        <v>0.72</v>
      </c>
      <c r="G101" s="565">
        <v>4.6925983598593568</v>
      </c>
      <c r="H101" s="566" t="s">
        <v>954</v>
      </c>
      <c r="I101" s="567" t="s">
        <v>1408</v>
      </c>
    </row>
    <row r="102" spans="1:9" s="1" customFormat="1" ht="11.25" customHeight="1">
      <c r="A102" s="503" t="s">
        <v>348</v>
      </c>
      <c r="B102" s="562">
        <v>16.144000157125785</v>
      </c>
      <c r="C102" s="563" t="s">
        <v>1407</v>
      </c>
      <c r="D102" s="564">
        <v>500</v>
      </c>
      <c r="E102" s="562" t="s">
        <v>979</v>
      </c>
      <c r="F102" s="562" t="s">
        <v>954</v>
      </c>
      <c r="G102" s="565">
        <v>63.213679555714634</v>
      </c>
      <c r="H102" s="566" t="s">
        <v>954</v>
      </c>
      <c r="I102" s="567">
        <v>16.144000157125785</v>
      </c>
    </row>
    <row r="103" spans="1:9" s="1" customFormat="1" ht="11.25" customHeight="1">
      <c r="A103" s="503" t="s">
        <v>350</v>
      </c>
      <c r="B103" s="562">
        <v>9.2606555999999998</v>
      </c>
      <c r="C103" s="563" t="s">
        <v>1407</v>
      </c>
      <c r="D103" s="564">
        <v>500</v>
      </c>
      <c r="E103" s="562" t="s">
        <v>979</v>
      </c>
      <c r="F103" s="562" t="s">
        <v>954</v>
      </c>
      <c r="G103" s="565">
        <v>5607.4340205591161</v>
      </c>
      <c r="H103" s="566">
        <v>2229.044571428572</v>
      </c>
      <c r="I103" s="567">
        <v>9.2606555999999998</v>
      </c>
    </row>
    <row r="104" spans="1:9" s="1" customFormat="1" ht="11.25" customHeight="1">
      <c r="A104" s="503" t="s">
        <v>351</v>
      </c>
      <c r="B104" s="562">
        <v>3.8487540000000005</v>
      </c>
      <c r="C104" s="563" t="s">
        <v>1407</v>
      </c>
      <c r="D104" s="564">
        <v>100</v>
      </c>
      <c r="E104" s="562" t="s">
        <v>979</v>
      </c>
      <c r="F104" s="562" t="s">
        <v>954</v>
      </c>
      <c r="G104" s="565">
        <v>3356.5423899371067</v>
      </c>
      <c r="H104" s="566">
        <v>1337.4267428571429</v>
      </c>
      <c r="I104" s="567">
        <v>3.8487540000000005</v>
      </c>
    </row>
    <row r="105" spans="1:9" s="1" customFormat="1" ht="11.25" customHeight="1">
      <c r="A105" s="503" t="s">
        <v>352</v>
      </c>
      <c r="B105" s="562">
        <v>1.5642857142857143</v>
      </c>
      <c r="C105" s="563" t="s">
        <v>674</v>
      </c>
      <c r="D105" s="564">
        <v>100</v>
      </c>
      <c r="E105" s="562" t="s">
        <v>979</v>
      </c>
      <c r="F105" s="562" t="s">
        <v>954</v>
      </c>
      <c r="G105" s="565">
        <v>1.5642857142857143</v>
      </c>
      <c r="H105" s="566" t="s">
        <v>954</v>
      </c>
      <c r="I105" s="567" t="s">
        <v>1408</v>
      </c>
    </row>
    <row r="106" spans="1:9" s="1" customFormat="1" ht="11.25" customHeight="1">
      <c r="A106" s="503" t="s">
        <v>353</v>
      </c>
      <c r="B106" s="562">
        <v>2.7905450000000002E-2</v>
      </c>
      <c r="C106" s="563" t="s">
        <v>1407</v>
      </c>
      <c r="D106" s="564">
        <v>100</v>
      </c>
      <c r="E106" s="562" t="s">
        <v>979</v>
      </c>
      <c r="F106" s="562" t="s">
        <v>954</v>
      </c>
      <c r="G106" s="565">
        <v>49.897973388145594</v>
      </c>
      <c r="H106" s="566">
        <v>2.3081822485207097</v>
      </c>
      <c r="I106" s="567">
        <v>2.7905450000000002E-2</v>
      </c>
    </row>
    <row r="107" spans="1:9" s="1" customFormat="1" ht="11.25" customHeight="1">
      <c r="A107" s="503" t="s">
        <v>349</v>
      </c>
      <c r="B107" s="562">
        <v>0.12045140000000001</v>
      </c>
      <c r="C107" s="563" t="s">
        <v>1407</v>
      </c>
      <c r="D107" s="564">
        <v>500</v>
      </c>
      <c r="E107" s="562" t="s">
        <v>979</v>
      </c>
      <c r="F107" s="562" t="s">
        <v>954</v>
      </c>
      <c r="G107" s="565">
        <v>57.608321104047015</v>
      </c>
      <c r="H107" s="566">
        <v>21.671266666666664</v>
      </c>
      <c r="I107" s="567">
        <v>0.12045140000000001</v>
      </c>
    </row>
    <row r="108" spans="1:9" s="1" customFormat="1" ht="11.25" customHeight="1">
      <c r="A108" s="458" t="s">
        <v>590</v>
      </c>
      <c r="B108" s="562">
        <v>4.2281357000000011</v>
      </c>
      <c r="C108" s="563" t="s">
        <v>1407</v>
      </c>
      <c r="D108" s="564">
        <v>500</v>
      </c>
      <c r="E108" s="562" t="s">
        <v>979</v>
      </c>
      <c r="F108" s="562" t="s">
        <v>954</v>
      </c>
      <c r="G108" s="565">
        <v>169.01743569313257</v>
      </c>
      <c r="H108" s="566">
        <v>394.015536</v>
      </c>
      <c r="I108" s="567">
        <v>4.2281357000000011</v>
      </c>
    </row>
    <row r="109" spans="1:9" s="1" customFormat="1" ht="11.25" customHeight="1">
      <c r="A109" s="458" t="s">
        <v>591</v>
      </c>
      <c r="B109" s="562">
        <v>4.1457564000000007</v>
      </c>
      <c r="C109" s="563" t="s">
        <v>1407</v>
      </c>
      <c r="D109" s="564">
        <v>500</v>
      </c>
      <c r="E109" s="562" t="s">
        <v>979</v>
      </c>
      <c r="F109" s="562" t="s">
        <v>954</v>
      </c>
      <c r="G109" s="565">
        <v>38.017884706403599</v>
      </c>
      <c r="H109" s="566">
        <v>43.956236800788616</v>
      </c>
      <c r="I109" s="567">
        <v>4.1457564000000007</v>
      </c>
    </row>
    <row r="110" spans="1:9" s="1" customFormat="1" ht="11.25" customHeight="1">
      <c r="A110" s="503" t="s">
        <v>465</v>
      </c>
      <c r="B110" s="562">
        <v>78.203503981200072</v>
      </c>
      <c r="C110" s="563" t="s">
        <v>674</v>
      </c>
      <c r="D110" s="564">
        <v>1000</v>
      </c>
      <c r="E110" s="562" t="s">
        <v>979</v>
      </c>
      <c r="F110" s="562">
        <v>4</v>
      </c>
      <c r="G110" s="565">
        <v>78.203503981200072</v>
      </c>
      <c r="H110" s="566" t="s">
        <v>954</v>
      </c>
      <c r="I110" s="567" t="s">
        <v>1408</v>
      </c>
    </row>
    <row r="111" spans="1:9" s="1" customFormat="1" ht="11.25" customHeight="1">
      <c r="A111" s="503" t="s">
        <v>466</v>
      </c>
      <c r="B111" s="562">
        <v>4.4035963600000008</v>
      </c>
      <c r="C111" s="563" t="s">
        <v>1407</v>
      </c>
      <c r="D111" s="564">
        <v>500</v>
      </c>
      <c r="E111" s="562" t="s">
        <v>979</v>
      </c>
      <c r="F111" s="562" t="s">
        <v>954</v>
      </c>
      <c r="G111" s="565">
        <v>20.639007337759541</v>
      </c>
      <c r="H111" s="566">
        <v>6.9968054941286626</v>
      </c>
      <c r="I111" s="567">
        <v>4.4035963600000008</v>
      </c>
    </row>
    <row r="112" spans="1:9" s="1" customFormat="1" ht="11.25" customHeight="1">
      <c r="A112" s="503" t="s">
        <v>812</v>
      </c>
      <c r="B112" s="562">
        <v>410</v>
      </c>
      <c r="C112" s="563" t="s">
        <v>380</v>
      </c>
      <c r="D112" s="564">
        <v>1000</v>
      </c>
      <c r="E112" s="562" t="s">
        <v>979</v>
      </c>
      <c r="F112" s="562">
        <v>410</v>
      </c>
      <c r="G112" s="565">
        <v>124.37096748749823</v>
      </c>
      <c r="H112" s="566" t="s">
        <v>954</v>
      </c>
      <c r="I112" s="567" t="s">
        <v>1408</v>
      </c>
    </row>
    <row r="113" spans="1:9" s="1" customFormat="1" ht="11.25" customHeight="1">
      <c r="A113" s="515" t="s">
        <v>106</v>
      </c>
      <c r="B113" s="562">
        <v>5.2969035846153843E-3</v>
      </c>
      <c r="C113" s="563" t="s">
        <v>1407</v>
      </c>
      <c r="D113" s="564">
        <v>500</v>
      </c>
      <c r="E113" s="562" t="s">
        <v>979</v>
      </c>
      <c r="F113" s="562" t="s">
        <v>954</v>
      </c>
      <c r="G113" s="565">
        <v>5.5889478096309899</v>
      </c>
      <c r="H113" s="566" t="s">
        <v>1394</v>
      </c>
      <c r="I113" s="567">
        <v>5.2969035846153843E-3</v>
      </c>
    </row>
    <row r="114" spans="1:9" s="1" customFormat="1" ht="11.25" customHeight="1">
      <c r="A114" s="515" t="s">
        <v>107</v>
      </c>
      <c r="B114" s="562">
        <v>3.7681671223082684E-2</v>
      </c>
      <c r="C114" s="563" t="s">
        <v>1407</v>
      </c>
      <c r="D114" s="564">
        <v>500</v>
      </c>
      <c r="E114" s="562" t="s">
        <v>979</v>
      </c>
      <c r="F114" s="562" t="s">
        <v>954</v>
      </c>
      <c r="G114" s="565">
        <v>1.2642735911142928</v>
      </c>
      <c r="H114" s="566" t="s">
        <v>954</v>
      </c>
      <c r="I114" s="567">
        <v>3.7681671223082684E-2</v>
      </c>
    </row>
    <row r="115" spans="1:9" s="1" customFormat="1" ht="11.25" customHeight="1">
      <c r="A115" s="515" t="s">
        <v>108</v>
      </c>
      <c r="B115" s="562">
        <v>1.9352072001757988E-2</v>
      </c>
      <c r="C115" s="563" t="s">
        <v>1407</v>
      </c>
      <c r="D115" s="564">
        <v>500</v>
      </c>
      <c r="E115" s="562" t="s">
        <v>979</v>
      </c>
      <c r="F115" s="562" t="s">
        <v>954</v>
      </c>
      <c r="G115" s="565">
        <v>3.0562200956937802</v>
      </c>
      <c r="H115" s="566" t="s">
        <v>1394</v>
      </c>
      <c r="I115" s="567">
        <v>1.9352072001757988E-2</v>
      </c>
    </row>
    <row r="116" spans="1:9" s="1" customFormat="1" ht="11.25" customHeight="1">
      <c r="A116" s="515" t="s">
        <v>109</v>
      </c>
      <c r="B116" s="562">
        <v>0.10551143478583302</v>
      </c>
      <c r="C116" s="563" t="s">
        <v>1407</v>
      </c>
      <c r="D116" s="564">
        <v>500</v>
      </c>
      <c r="E116" s="562" t="s">
        <v>979</v>
      </c>
      <c r="F116" s="562" t="s">
        <v>954</v>
      </c>
      <c r="G116" s="565">
        <v>1.2642735911142928</v>
      </c>
      <c r="H116" s="566" t="s">
        <v>954</v>
      </c>
      <c r="I116" s="567">
        <v>0.10551143478583302</v>
      </c>
    </row>
    <row r="117" spans="1:9" s="1" customFormat="1" ht="11.25" customHeight="1">
      <c r="A117" s="515" t="s">
        <v>110</v>
      </c>
      <c r="B117" s="562">
        <v>0.25732313665072937</v>
      </c>
      <c r="C117" s="563" t="s">
        <v>1407</v>
      </c>
      <c r="D117" s="564">
        <v>500</v>
      </c>
      <c r="E117" s="562" t="s">
        <v>979</v>
      </c>
      <c r="F117" s="562" t="s">
        <v>954</v>
      </c>
      <c r="G117" s="565">
        <v>32.678116840063197</v>
      </c>
      <c r="H117" s="566" t="s">
        <v>954</v>
      </c>
      <c r="I117" s="567">
        <v>0.25732313665072937</v>
      </c>
    </row>
    <row r="118" spans="1:9" s="1" customFormat="1" ht="11.25" customHeight="1">
      <c r="A118" s="503" t="s">
        <v>467</v>
      </c>
      <c r="B118" s="562">
        <v>9.8272155175000014E-2</v>
      </c>
      <c r="C118" s="563" t="s">
        <v>1407</v>
      </c>
      <c r="D118" s="564">
        <v>500</v>
      </c>
      <c r="E118" s="562" t="s">
        <v>979</v>
      </c>
      <c r="F118" s="562" t="s">
        <v>954</v>
      </c>
      <c r="G118" s="565">
        <v>0.98017273127524474</v>
      </c>
      <c r="H118" s="566" t="s">
        <v>954</v>
      </c>
      <c r="I118" s="567">
        <v>9.8272155175000014E-2</v>
      </c>
    </row>
    <row r="119" spans="1:9" s="1" customFormat="1" ht="11.25" customHeight="1">
      <c r="A119" s="515" t="s">
        <v>111</v>
      </c>
      <c r="B119" s="562">
        <v>1.8641365089917386</v>
      </c>
      <c r="C119" s="563" t="s">
        <v>1407</v>
      </c>
      <c r="D119" s="564">
        <v>500</v>
      </c>
      <c r="E119" s="562" t="s">
        <v>979</v>
      </c>
      <c r="F119" s="562" t="s">
        <v>954</v>
      </c>
      <c r="G119" s="565">
        <v>113.78462320028632</v>
      </c>
      <c r="H119" s="566" t="s">
        <v>954</v>
      </c>
      <c r="I119" s="567">
        <v>1.8641365089917386</v>
      </c>
    </row>
    <row r="120" spans="1:9" s="1" customFormat="1" ht="11.25" customHeight="1">
      <c r="A120" s="503" t="s">
        <v>231</v>
      </c>
      <c r="B120" s="562">
        <v>7.0000000000000001E-3</v>
      </c>
      <c r="C120" s="563" t="s">
        <v>1407</v>
      </c>
      <c r="D120" s="564">
        <v>1000</v>
      </c>
      <c r="E120" s="562" t="s">
        <v>979</v>
      </c>
      <c r="F120" s="562" t="s">
        <v>954</v>
      </c>
      <c r="G120" s="565">
        <v>10.95</v>
      </c>
      <c r="H120" s="566" t="s">
        <v>954</v>
      </c>
      <c r="I120" s="567">
        <v>7.0000000000000001E-3</v>
      </c>
    </row>
    <row r="121" spans="1:9" s="1" customFormat="1" ht="11.25" customHeight="1">
      <c r="A121" s="503" t="s">
        <v>468</v>
      </c>
      <c r="B121" s="562">
        <v>463.04414452751359</v>
      </c>
      <c r="C121" s="563" t="s">
        <v>674</v>
      </c>
      <c r="D121" s="564">
        <v>500</v>
      </c>
      <c r="E121" s="562" t="s">
        <v>979</v>
      </c>
      <c r="F121" s="562" t="s">
        <v>954</v>
      </c>
      <c r="G121" s="565">
        <v>463.04414452751359</v>
      </c>
      <c r="H121" s="566" t="s">
        <v>1394</v>
      </c>
      <c r="I121" s="567">
        <v>581.25892932271995</v>
      </c>
    </row>
    <row r="122" spans="1:9" s="1" customFormat="1" ht="11.25" customHeight="1">
      <c r="A122" s="503" t="s">
        <v>469</v>
      </c>
      <c r="B122" s="562">
        <v>9.323174492999998</v>
      </c>
      <c r="C122" s="563" t="s">
        <v>1407</v>
      </c>
      <c r="D122" s="564">
        <v>500</v>
      </c>
      <c r="E122" s="562" t="s">
        <v>979</v>
      </c>
      <c r="F122" s="562" t="s">
        <v>954</v>
      </c>
      <c r="G122" s="565">
        <v>3792.5672185128146</v>
      </c>
      <c r="H122" s="566" t="s">
        <v>954</v>
      </c>
      <c r="I122" s="567">
        <v>9.323174492999998</v>
      </c>
    </row>
    <row r="123" spans="1:9" s="1" customFormat="1" ht="11.25" customHeight="1">
      <c r="A123" s="503" t="s">
        <v>365</v>
      </c>
      <c r="B123" s="562">
        <v>1.1741947383207836</v>
      </c>
      <c r="C123" s="563" t="s">
        <v>674</v>
      </c>
      <c r="D123" s="564">
        <v>500</v>
      </c>
      <c r="E123" s="562" t="s">
        <v>979</v>
      </c>
      <c r="F123" s="562" t="s">
        <v>954</v>
      </c>
      <c r="G123" s="565">
        <v>1.1741947383207836</v>
      </c>
      <c r="H123" s="566" t="s">
        <v>954</v>
      </c>
      <c r="I123" s="567">
        <v>33.673397683018869</v>
      </c>
    </row>
    <row r="124" spans="1:9" s="1" customFormat="1" ht="11.25" customHeight="1">
      <c r="A124" s="503" t="s">
        <v>112</v>
      </c>
      <c r="B124" s="562">
        <v>109.7758044845575</v>
      </c>
      <c r="C124" s="563" t="s">
        <v>1407</v>
      </c>
      <c r="D124" s="564">
        <v>500</v>
      </c>
      <c r="E124" s="562" t="s">
        <v>979</v>
      </c>
      <c r="F124" s="562" t="s">
        <v>954</v>
      </c>
      <c r="G124" s="565">
        <v>1264.2735911142927</v>
      </c>
      <c r="H124" s="566" t="s">
        <v>954</v>
      </c>
      <c r="I124" s="567">
        <v>109.7758044845575</v>
      </c>
    </row>
    <row r="125" spans="1:9" s="1" customFormat="1" ht="11.25" customHeight="1">
      <c r="A125" s="503" t="s">
        <v>470</v>
      </c>
      <c r="B125" s="562">
        <v>44.028912348000006</v>
      </c>
      <c r="C125" s="563" t="s">
        <v>673</v>
      </c>
      <c r="D125" s="564">
        <v>500</v>
      </c>
      <c r="E125" s="562" t="s">
        <v>979</v>
      </c>
      <c r="F125" s="562" t="s">
        <v>954</v>
      </c>
      <c r="G125" s="565">
        <v>356.36905187830342</v>
      </c>
      <c r="H125" s="566">
        <v>44.028912348000006</v>
      </c>
      <c r="I125" s="567">
        <v>608.88472767000007</v>
      </c>
    </row>
    <row r="126" spans="1:9" s="1" customFormat="1" ht="11.25" customHeight="1">
      <c r="A126" s="503" t="s">
        <v>471</v>
      </c>
      <c r="B126" s="562">
        <v>78.213207407198283</v>
      </c>
      <c r="C126" s="563" t="s">
        <v>674</v>
      </c>
      <c r="D126" s="564">
        <v>1000</v>
      </c>
      <c r="E126" s="562" t="s">
        <v>979</v>
      </c>
      <c r="F126" s="562">
        <v>7.1</v>
      </c>
      <c r="G126" s="565">
        <v>78.213207407198283</v>
      </c>
      <c r="H126" s="566" t="s">
        <v>954</v>
      </c>
      <c r="I126" s="567" t="s">
        <v>1408</v>
      </c>
    </row>
    <row r="127" spans="1:9" s="1" customFormat="1" ht="11.25" customHeight="1">
      <c r="A127" s="503" t="s">
        <v>813</v>
      </c>
      <c r="B127" s="562">
        <v>78.214285714285708</v>
      </c>
      <c r="C127" s="563" t="s">
        <v>674</v>
      </c>
      <c r="D127" s="564">
        <v>1000</v>
      </c>
      <c r="E127" s="562" t="s">
        <v>979</v>
      </c>
      <c r="F127" s="562">
        <v>1.5</v>
      </c>
      <c r="G127" s="565">
        <v>78.214285714285708</v>
      </c>
      <c r="H127" s="566" t="s">
        <v>954</v>
      </c>
      <c r="I127" s="567" t="s">
        <v>1408</v>
      </c>
    </row>
    <row r="128" spans="1:9" s="1" customFormat="1" ht="11.25" customHeight="1">
      <c r="A128" s="503" t="s">
        <v>113</v>
      </c>
      <c r="B128" s="562">
        <v>9.7276023338320014E-2</v>
      </c>
      <c r="C128" s="563" t="s">
        <v>1407</v>
      </c>
      <c r="D128" s="564">
        <v>500</v>
      </c>
      <c r="E128" s="562" t="s">
        <v>979</v>
      </c>
      <c r="F128" s="562" t="s">
        <v>954</v>
      </c>
      <c r="G128" s="565">
        <v>4.3570822453417595</v>
      </c>
      <c r="H128" s="566" t="s">
        <v>954</v>
      </c>
      <c r="I128" s="567">
        <v>9.7276023338320014E-2</v>
      </c>
    </row>
    <row r="129" spans="1:9" s="1" customFormat="1" ht="11.25" customHeight="1">
      <c r="A129" s="503" t="s">
        <v>472</v>
      </c>
      <c r="B129" s="562">
        <v>0.91432200000000019</v>
      </c>
      <c r="C129" s="563" t="s">
        <v>1407</v>
      </c>
      <c r="D129" s="564">
        <v>500</v>
      </c>
      <c r="E129" s="562" t="s">
        <v>979</v>
      </c>
      <c r="F129" s="562" t="s">
        <v>954</v>
      </c>
      <c r="G129" s="565">
        <v>867.20140880503141</v>
      </c>
      <c r="H129" s="566">
        <v>445.80891428571431</v>
      </c>
      <c r="I129" s="567">
        <v>0.91432200000000019</v>
      </c>
    </row>
    <row r="130" spans="1:9" s="1" customFormat="1" ht="11.25" customHeight="1">
      <c r="A130" s="503" t="s">
        <v>114</v>
      </c>
      <c r="B130" s="562">
        <v>2.0901222739155294</v>
      </c>
      <c r="C130" s="563" t="s">
        <v>1407</v>
      </c>
      <c r="D130" s="564">
        <v>500</v>
      </c>
      <c r="E130" s="562" t="s">
        <v>979</v>
      </c>
      <c r="F130" s="562" t="s">
        <v>954</v>
      </c>
      <c r="G130" s="565">
        <v>164.35556684485806</v>
      </c>
      <c r="H130" s="566" t="s">
        <v>954</v>
      </c>
      <c r="I130" s="567">
        <v>2.0901222739155294</v>
      </c>
    </row>
    <row r="131" spans="1:9" s="1" customFormat="1" ht="11.25" customHeight="1">
      <c r="A131" s="503" t="s">
        <v>19</v>
      </c>
      <c r="B131" s="562">
        <v>2.4113324940447382E-2</v>
      </c>
      <c r="C131" s="563" t="s">
        <v>1407</v>
      </c>
      <c r="D131" s="564">
        <v>100</v>
      </c>
      <c r="E131" s="562" t="s">
        <v>979</v>
      </c>
      <c r="F131" s="562" t="s">
        <v>954</v>
      </c>
      <c r="G131" s="565">
        <v>1344.7368421052633</v>
      </c>
      <c r="H131" s="566" t="s">
        <v>1394</v>
      </c>
      <c r="I131" s="567">
        <v>2.4113324940447382E-2</v>
      </c>
    </row>
    <row r="132" spans="1:9" s="1" customFormat="1" ht="11.25" customHeight="1">
      <c r="A132" s="503" t="s">
        <v>473</v>
      </c>
      <c r="B132" s="562">
        <v>1.7095309911576071E-2</v>
      </c>
      <c r="C132" s="563" t="s">
        <v>1407</v>
      </c>
      <c r="D132" s="564">
        <v>100</v>
      </c>
      <c r="E132" s="562" t="s">
        <v>979</v>
      </c>
      <c r="F132" s="562" t="s">
        <v>954</v>
      </c>
      <c r="G132" s="565">
        <v>2.1697025011683992</v>
      </c>
      <c r="H132" s="566" t="s">
        <v>1394</v>
      </c>
      <c r="I132" s="567">
        <v>1.7095309911576071E-2</v>
      </c>
    </row>
    <row r="133" spans="1:9" s="1" customFormat="1" ht="11.25" customHeight="1">
      <c r="A133" s="503" t="s">
        <v>474</v>
      </c>
      <c r="B133" s="562">
        <v>1.3675892937646469E-3</v>
      </c>
      <c r="C133" s="563" t="s">
        <v>1407</v>
      </c>
      <c r="D133" s="564">
        <v>500</v>
      </c>
      <c r="E133" s="562" t="s">
        <v>979</v>
      </c>
      <c r="F133" s="562" t="s">
        <v>954</v>
      </c>
      <c r="G133" s="565">
        <v>0.64236269696443038</v>
      </c>
      <c r="H133" s="566">
        <v>1.0347023872679044E-2</v>
      </c>
      <c r="I133" s="567">
        <v>1.3675892937646469E-3</v>
      </c>
    </row>
    <row r="134" spans="1:9" s="1" customFormat="1" ht="11.25" customHeight="1">
      <c r="A134" s="503" t="s">
        <v>475</v>
      </c>
      <c r="B134" s="562">
        <v>9.8381538461538437E-2</v>
      </c>
      <c r="C134" s="563" t="s">
        <v>673</v>
      </c>
      <c r="D134" s="564">
        <v>166.02402867924528</v>
      </c>
      <c r="E134" s="562" t="s">
        <v>979</v>
      </c>
      <c r="F134" s="562" t="s">
        <v>954</v>
      </c>
      <c r="G134" s="565">
        <v>1.1398717475371951</v>
      </c>
      <c r="H134" s="566">
        <v>9.8381538461538437E-2</v>
      </c>
      <c r="I134" s="567">
        <v>0.63743019999999995</v>
      </c>
    </row>
    <row r="135" spans="1:9" s="1" customFormat="1" ht="11.25" customHeight="1">
      <c r="A135" s="503" t="s">
        <v>115</v>
      </c>
      <c r="B135" s="562">
        <v>0.51188083760000003</v>
      </c>
      <c r="C135" s="563" t="s">
        <v>1407</v>
      </c>
      <c r="D135" s="564">
        <v>500</v>
      </c>
      <c r="E135" s="562" t="s">
        <v>979</v>
      </c>
      <c r="F135" s="562" t="s">
        <v>954</v>
      </c>
      <c r="G135" s="565">
        <v>379.28207733428781</v>
      </c>
      <c r="H135" s="566" t="s">
        <v>954</v>
      </c>
      <c r="I135" s="567">
        <v>0.51188083760000003</v>
      </c>
    </row>
    <row r="136" spans="1:9" s="1" customFormat="1" ht="11.25" customHeight="1">
      <c r="A136" s="515" t="s">
        <v>116</v>
      </c>
      <c r="B136" s="562">
        <v>88.348273387218399</v>
      </c>
      <c r="C136" s="563" t="s">
        <v>1407</v>
      </c>
      <c r="D136" s="564">
        <v>500</v>
      </c>
      <c r="E136" s="562" t="s">
        <v>979</v>
      </c>
      <c r="F136" s="562" t="s">
        <v>954</v>
      </c>
      <c r="G136" s="565">
        <v>771.16303781051113</v>
      </c>
      <c r="H136" s="566" t="s">
        <v>954</v>
      </c>
      <c r="I136" s="567">
        <v>88.348273387218399</v>
      </c>
    </row>
    <row r="137" spans="1:9" s="1" customFormat="1" ht="11.25" customHeight="1">
      <c r="A137" s="503" t="s">
        <v>476</v>
      </c>
      <c r="B137" s="562">
        <v>0.78214285714285714</v>
      </c>
      <c r="C137" s="563" t="s">
        <v>674</v>
      </c>
      <c r="D137" s="564">
        <v>1000</v>
      </c>
      <c r="E137" s="562" t="s">
        <v>979</v>
      </c>
      <c r="F137" s="562">
        <v>0.25</v>
      </c>
      <c r="G137" s="565">
        <v>0.78214285714285714</v>
      </c>
      <c r="H137" s="566" t="s">
        <v>954</v>
      </c>
      <c r="I137" s="567" t="s">
        <v>1408</v>
      </c>
    </row>
    <row r="138" spans="1:9" s="1" customFormat="1" ht="11.25" customHeight="1">
      <c r="A138" s="503" t="s">
        <v>366</v>
      </c>
      <c r="B138" s="562">
        <v>3.1917439999999999</v>
      </c>
      <c r="C138" s="563" t="s">
        <v>1407</v>
      </c>
      <c r="D138" s="564">
        <v>500</v>
      </c>
      <c r="E138" s="562" t="s">
        <v>979</v>
      </c>
      <c r="F138" s="562" t="s">
        <v>954</v>
      </c>
      <c r="G138" s="565">
        <v>817.67394716981141</v>
      </c>
      <c r="H138" s="566">
        <v>817.29880000000014</v>
      </c>
      <c r="I138" s="567">
        <v>3.1917439999999999</v>
      </c>
    </row>
    <row r="139" spans="1:9" s="1" customFormat="1" ht="11.25" customHeight="1">
      <c r="A139" s="503" t="s">
        <v>20</v>
      </c>
      <c r="B139" s="562">
        <v>0.47529913041323968</v>
      </c>
      <c r="C139" s="563" t="s">
        <v>674</v>
      </c>
      <c r="D139" s="564">
        <v>500</v>
      </c>
      <c r="E139" s="562" t="s">
        <v>979</v>
      </c>
      <c r="F139" s="562" t="s">
        <v>954</v>
      </c>
      <c r="G139" s="565">
        <v>0.47529913041323968</v>
      </c>
      <c r="H139" s="566" t="s">
        <v>954</v>
      </c>
      <c r="I139" s="567">
        <v>254.81502602987422</v>
      </c>
    </row>
    <row r="140" spans="1:9" s="1" customFormat="1" ht="11.25" customHeight="1">
      <c r="A140" s="503" t="s">
        <v>57</v>
      </c>
      <c r="B140" s="562">
        <v>100</v>
      </c>
      <c r="C140" s="563" t="s">
        <v>1409</v>
      </c>
      <c r="D140" s="564">
        <v>100</v>
      </c>
      <c r="E140" s="562" t="s">
        <v>979</v>
      </c>
      <c r="F140" s="562" t="s">
        <v>954</v>
      </c>
      <c r="G140" s="565">
        <v>194.95991204485469</v>
      </c>
      <c r="H140" s="566" t="s">
        <v>1394</v>
      </c>
      <c r="I140" s="567">
        <v>173.383087072352</v>
      </c>
    </row>
    <row r="141" spans="1:9" s="1" customFormat="1" ht="11.25" customHeight="1">
      <c r="A141" s="503" t="s">
        <v>56</v>
      </c>
      <c r="B141" s="562">
        <v>183.39493451041466</v>
      </c>
      <c r="C141" s="563" t="s">
        <v>674</v>
      </c>
      <c r="D141" s="564">
        <v>500</v>
      </c>
      <c r="E141" s="562" t="s">
        <v>979</v>
      </c>
      <c r="F141" s="562" t="s">
        <v>954</v>
      </c>
      <c r="G141" s="565">
        <v>183.39493451041466</v>
      </c>
      <c r="H141" s="566" t="s">
        <v>1394</v>
      </c>
      <c r="I141" s="567">
        <v>213.66258721743901</v>
      </c>
    </row>
    <row r="142" spans="1:9" s="1" customFormat="1" ht="11.25" customHeight="1">
      <c r="A142" s="503" t="s">
        <v>777</v>
      </c>
      <c r="B142" s="562">
        <v>500</v>
      </c>
      <c r="C142" s="563" t="s">
        <v>1409</v>
      </c>
      <c r="D142" s="564">
        <v>500</v>
      </c>
      <c r="E142" s="562" t="s">
        <v>979</v>
      </c>
      <c r="F142" s="562" t="s">
        <v>954</v>
      </c>
      <c r="G142" s="565">
        <v>1251.4195942435338</v>
      </c>
      <c r="H142" s="566" t="s">
        <v>954</v>
      </c>
      <c r="I142" s="567">
        <v>1000</v>
      </c>
    </row>
    <row r="143" spans="1:9" s="1" customFormat="1" ht="11.25" customHeight="1">
      <c r="A143" s="503" t="s">
        <v>814</v>
      </c>
      <c r="B143" s="562">
        <v>0.17652248407169688</v>
      </c>
      <c r="C143" s="563" t="s">
        <v>673</v>
      </c>
      <c r="D143" s="564">
        <v>500</v>
      </c>
      <c r="E143" s="562" t="s">
        <v>979</v>
      </c>
      <c r="F143" s="562" t="s">
        <v>954</v>
      </c>
      <c r="G143" s="565">
        <v>12.423206309478356</v>
      </c>
      <c r="H143" s="566">
        <v>0.17652248407169688</v>
      </c>
      <c r="I143" s="567">
        <v>16.365006000000001</v>
      </c>
    </row>
    <row r="144" spans="1:9" s="1" customFormat="1" ht="11.25" customHeight="1">
      <c r="A144" s="503" t="s">
        <v>815</v>
      </c>
      <c r="B144" s="562">
        <v>22.560948</v>
      </c>
      <c r="C144" s="563" t="s">
        <v>1407</v>
      </c>
      <c r="D144" s="564">
        <v>500</v>
      </c>
      <c r="E144" s="562" t="s">
        <v>979</v>
      </c>
      <c r="F144" s="562" t="s">
        <v>954</v>
      </c>
      <c r="G144" s="565">
        <v>639.65388301886787</v>
      </c>
      <c r="H144" s="566">
        <v>222.90445714285715</v>
      </c>
      <c r="I144" s="567">
        <v>22.560948</v>
      </c>
    </row>
    <row r="145" spans="1:9" s="1" customFormat="1" ht="11.25" customHeight="1">
      <c r="A145" s="503" t="s">
        <v>477</v>
      </c>
      <c r="B145" s="562">
        <v>8.9161782857142876E-3</v>
      </c>
      <c r="C145" s="563" t="s">
        <v>673</v>
      </c>
      <c r="D145" s="564">
        <v>100</v>
      </c>
      <c r="E145" s="562" t="s">
        <v>979</v>
      </c>
      <c r="F145" s="562" t="s">
        <v>954</v>
      </c>
      <c r="G145" s="565">
        <v>0.32364531998538026</v>
      </c>
      <c r="H145" s="566">
        <v>8.9161782857142876E-3</v>
      </c>
      <c r="I145" s="567">
        <v>7.5829700000000014E-2</v>
      </c>
    </row>
    <row r="146" spans="1:9" s="1" customFormat="1" ht="11.25" customHeight="1">
      <c r="A146" s="503" t="s">
        <v>478</v>
      </c>
      <c r="B146" s="562">
        <v>8.9161782857142866E-2</v>
      </c>
      <c r="C146" s="563" t="s">
        <v>673</v>
      </c>
      <c r="D146" s="564">
        <v>500</v>
      </c>
      <c r="E146" s="562" t="s">
        <v>979</v>
      </c>
      <c r="F146" s="562" t="s">
        <v>954</v>
      </c>
      <c r="G146" s="565">
        <v>0.88767733974939533</v>
      </c>
      <c r="H146" s="566">
        <v>8.9161782857142866E-2</v>
      </c>
      <c r="I146" s="567">
        <v>0.35762750000000004</v>
      </c>
    </row>
    <row r="147" spans="1:9" s="1" customFormat="1" ht="11.25" customHeight="1">
      <c r="A147" s="503" t="s">
        <v>479</v>
      </c>
      <c r="B147" s="562">
        <v>4.5069028304000005</v>
      </c>
      <c r="C147" s="563" t="s">
        <v>1407</v>
      </c>
      <c r="D147" s="564">
        <v>100</v>
      </c>
      <c r="E147" s="562" t="s">
        <v>979</v>
      </c>
      <c r="F147" s="562" t="s">
        <v>954</v>
      </c>
      <c r="G147" s="565">
        <v>1264.257491523651</v>
      </c>
      <c r="H147" s="566" t="s">
        <v>954</v>
      </c>
      <c r="I147" s="567">
        <v>4.5069028304000005</v>
      </c>
    </row>
    <row r="148" spans="1:9" s="1" customFormat="1" ht="11.25" customHeight="1">
      <c r="A148" s="503" t="s">
        <v>480</v>
      </c>
      <c r="B148" s="562">
        <v>0.26012950155235531</v>
      </c>
      <c r="C148" s="563" t="s">
        <v>1407</v>
      </c>
      <c r="D148" s="564">
        <v>500</v>
      </c>
      <c r="E148" s="562" t="s">
        <v>979</v>
      </c>
      <c r="F148" s="562" t="s">
        <v>954</v>
      </c>
      <c r="G148" s="565">
        <v>12.642735911142926</v>
      </c>
      <c r="H148" s="566" t="s">
        <v>954</v>
      </c>
      <c r="I148" s="567">
        <v>0.26012950155235531</v>
      </c>
    </row>
    <row r="149" spans="1:9" s="1" customFormat="1" ht="11.25" customHeight="1">
      <c r="A149" s="515" t="s">
        <v>117</v>
      </c>
      <c r="B149" s="562">
        <v>2.8380587009897851</v>
      </c>
      <c r="C149" s="563" t="s">
        <v>1407</v>
      </c>
      <c r="D149" s="564">
        <v>1000</v>
      </c>
      <c r="E149" s="562" t="s">
        <v>979</v>
      </c>
      <c r="F149" s="562" t="s">
        <v>954</v>
      </c>
      <c r="G149" s="565">
        <v>126.42735911142927</v>
      </c>
      <c r="H149" s="566" t="s">
        <v>954</v>
      </c>
      <c r="I149" s="567">
        <v>2.8380587009897851</v>
      </c>
    </row>
    <row r="150" spans="1:9" s="1" customFormat="1" ht="11.25" customHeight="1">
      <c r="A150" s="503" t="s">
        <v>118</v>
      </c>
      <c r="B150" s="562">
        <v>1.4549928241850001</v>
      </c>
      <c r="C150" s="563" t="s">
        <v>1407</v>
      </c>
      <c r="D150" s="564">
        <v>500</v>
      </c>
      <c r="E150" s="562" t="s">
        <v>979</v>
      </c>
      <c r="F150" s="562" t="s">
        <v>954</v>
      </c>
      <c r="G150" s="565">
        <v>101.14188728914341</v>
      </c>
      <c r="H150" s="566" t="s">
        <v>954</v>
      </c>
      <c r="I150" s="567">
        <v>1.4549928241850001</v>
      </c>
    </row>
    <row r="151" spans="1:9" s="1" customFormat="1" ht="11.25" customHeight="1">
      <c r="A151" s="503" t="s">
        <v>119</v>
      </c>
      <c r="B151" s="562">
        <v>5.029527559055118E-3</v>
      </c>
      <c r="C151" s="563" t="s">
        <v>674</v>
      </c>
      <c r="D151" s="564">
        <v>100</v>
      </c>
      <c r="E151" s="562" t="s">
        <v>979</v>
      </c>
      <c r="F151" s="562" t="s">
        <v>954</v>
      </c>
      <c r="G151" s="565">
        <v>5.029527559055118E-3</v>
      </c>
      <c r="H151" s="566" t="s">
        <v>1394</v>
      </c>
      <c r="I151" s="567">
        <v>1.2799907999999999E-2</v>
      </c>
    </row>
    <row r="152" spans="1:9" s="1" customFormat="1" ht="11.25" customHeight="1">
      <c r="A152" s="503" t="s">
        <v>120</v>
      </c>
      <c r="B152" s="562">
        <v>0.15845058605710996</v>
      </c>
      <c r="C152" s="563" t="s">
        <v>674</v>
      </c>
      <c r="D152" s="564">
        <v>100</v>
      </c>
      <c r="E152" s="562" t="s">
        <v>979</v>
      </c>
      <c r="F152" s="562" t="s">
        <v>954</v>
      </c>
      <c r="G152" s="565">
        <v>0.15845058605710996</v>
      </c>
      <c r="H152" s="566" t="s">
        <v>1394</v>
      </c>
      <c r="I152" s="567">
        <v>0.43626651913429476</v>
      </c>
    </row>
    <row r="153" spans="1:9" s="1" customFormat="1" ht="11.25" customHeight="1">
      <c r="A153" s="503" t="s">
        <v>602</v>
      </c>
      <c r="B153" s="562">
        <v>17.719343116981133</v>
      </c>
      <c r="C153" s="563" t="s">
        <v>1407</v>
      </c>
      <c r="D153" s="564">
        <v>100</v>
      </c>
      <c r="E153" s="562" t="s">
        <v>979</v>
      </c>
      <c r="F153" s="562" t="s">
        <v>954</v>
      </c>
      <c r="G153" s="565">
        <v>87.320574162679421</v>
      </c>
      <c r="H153" s="566" t="s">
        <v>954</v>
      </c>
      <c r="I153" s="567">
        <v>17.719343116981133</v>
      </c>
    </row>
    <row r="154" spans="1:9" s="1" customFormat="1" ht="11.25" customHeight="1">
      <c r="A154" s="515" t="s">
        <v>939</v>
      </c>
      <c r="B154" s="562">
        <v>7.5432070893285008</v>
      </c>
      <c r="C154" s="563" t="s">
        <v>1407</v>
      </c>
      <c r="D154" s="564">
        <v>500</v>
      </c>
      <c r="E154" s="562" t="s">
        <v>979</v>
      </c>
      <c r="F154" s="562" t="s">
        <v>954</v>
      </c>
      <c r="G154" s="565">
        <v>449.03985437165932</v>
      </c>
      <c r="H154" s="566" t="s">
        <v>954</v>
      </c>
      <c r="I154" s="567">
        <v>7.5432070893285008</v>
      </c>
    </row>
    <row r="155" spans="1:9" s="1" customFormat="1" ht="11.25" customHeight="1">
      <c r="A155" s="515" t="s">
        <v>603</v>
      </c>
      <c r="B155" s="562">
        <v>30.171580463643995</v>
      </c>
      <c r="C155" s="563" t="s">
        <v>1407</v>
      </c>
      <c r="D155" s="564">
        <v>500</v>
      </c>
      <c r="E155" s="562" t="s">
        <v>979</v>
      </c>
      <c r="F155" s="562" t="s">
        <v>954</v>
      </c>
      <c r="G155" s="565">
        <v>31.237531954550995</v>
      </c>
      <c r="H155" s="566" t="s">
        <v>954</v>
      </c>
      <c r="I155" s="567">
        <v>30.171580463643995</v>
      </c>
    </row>
    <row r="156" spans="1:9" s="1" customFormat="1" ht="11.25" customHeight="1">
      <c r="A156" s="515" t="s">
        <v>605</v>
      </c>
      <c r="B156" s="562">
        <v>1.1834179394023117</v>
      </c>
      <c r="C156" s="563" t="s">
        <v>1407</v>
      </c>
      <c r="D156" s="564">
        <v>500</v>
      </c>
      <c r="E156" s="562" t="s">
        <v>979</v>
      </c>
      <c r="F156" s="562" t="s">
        <v>954</v>
      </c>
      <c r="G156" s="565">
        <v>7.2694180429212993</v>
      </c>
      <c r="H156" s="566" t="s">
        <v>954</v>
      </c>
      <c r="I156" s="567">
        <v>1.1834179394023117</v>
      </c>
    </row>
    <row r="157" spans="1:9" s="1" customFormat="1" ht="11.25" customHeight="1">
      <c r="A157" s="503" t="s">
        <v>481</v>
      </c>
      <c r="B157" s="562">
        <v>770</v>
      </c>
      <c r="C157" s="563" t="s">
        <v>380</v>
      </c>
      <c r="D157" s="564">
        <v>1000</v>
      </c>
      <c r="E157" s="562" t="s">
        <v>979</v>
      </c>
      <c r="F157" s="562">
        <v>770</v>
      </c>
      <c r="G157" s="565">
        <v>77.999214351185017</v>
      </c>
      <c r="H157" s="566" t="s">
        <v>954</v>
      </c>
      <c r="I157" s="567" t="s">
        <v>1408</v>
      </c>
    </row>
    <row r="158" spans="1:9" s="1" customFormat="1" ht="11.25" customHeight="1">
      <c r="A158" s="503" t="s">
        <v>482</v>
      </c>
      <c r="B158" s="562">
        <v>3.6336480000000004E-2</v>
      </c>
      <c r="C158" s="563" t="s">
        <v>673</v>
      </c>
      <c r="D158" s="564">
        <v>500</v>
      </c>
      <c r="E158" s="562" t="s">
        <v>979</v>
      </c>
      <c r="F158" s="562" t="s">
        <v>954</v>
      </c>
      <c r="G158" s="565">
        <v>5.8999999999999997E-2</v>
      </c>
      <c r="H158" s="566">
        <v>3.6336480000000004E-2</v>
      </c>
      <c r="I158" s="567">
        <v>0.35480635999999999</v>
      </c>
    </row>
    <row r="159" spans="1:9" s="1" customFormat="1" ht="11.25" customHeight="1">
      <c r="A159" s="503" t="s">
        <v>483</v>
      </c>
      <c r="B159" s="562">
        <v>2.0905520000000002</v>
      </c>
      <c r="C159" s="563" t="s">
        <v>1407</v>
      </c>
      <c r="D159" s="564">
        <v>259.54240000000004</v>
      </c>
      <c r="E159" s="562" t="s">
        <v>979</v>
      </c>
      <c r="F159" s="562" t="s">
        <v>954</v>
      </c>
      <c r="G159" s="565">
        <v>129.23345456467081</v>
      </c>
      <c r="H159" s="566">
        <v>44.580891428571441</v>
      </c>
      <c r="I159" s="567">
        <v>2.0905520000000002</v>
      </c>
    </row>
    <row r="160" spans="1:9" s="1" customFormat="1" ht="11.25" customHeight="1">
      <c r="A160" s="503" t="s">
        <v>484</v>
      </c>
      <c r="B160" s="562">
        <v>1000</v>
      </c>
      <c r="C160" s="563" t="s">
        <v>1409</v>
      </c>
      <c r="D160" s="564">
        <v>1000</v>
      </c>
      <c r="E160" s="562" t="s">
        <v>979</v>
      </c>
      <c r="F160" s="562">
        <v>349</v>
      </c>
      <c r="G160" s="565">
        <v>4692.8571428571431</v>
      </c>
      <c r="H160" s="566" t="s">
        <v>954</v>
      </c>
      <c r="I160" s="567" t="s">
        <v>1408</v>
      </c>
    </row>
    <row r="161" spans="1:10" s="1" customFormat="1" ht="22.5" customHeight="1">
      <c r="A161" s="465" t="s">
        <v>615</v>
      </c>
      <c r="B161" s="568" t="s">
        <v>486</v>
      </c>
      <c r="C161" s="569" t="s">
        <v>367</v>
      </c>
      <c r="D161" s="562" t="s">
        <v>367</v>
      </c>
      <c r="E161" s="562" t="s">
        <v>367</v>
      </c>
      <c r="F161" s="570"/>
      <c r="G161" s="565" t="s">
        <v>367</v>
      </c>
      <c r="H161" s="566" t="s">
        <v>367</v>
      </c>
      <c r="I161" s="571" t="s">
        <v>367</v>
      </c>
    </row>
    <row r="162" spans="1:10" s="1" customFormat="1" ht="11.25" customHeight="1" thickBot="1">
      <c r="A162" s="466" t="s">
        <v>616</v>
      </c>
      <c r="B162" s="572" t="s">
        <v>368</v>
      </c>
      <c r="C162" s="573" t="s">
        <v>367</v>
      </c>
      <c r="D162" s="572" t="s">
        <v>367</v>
      </c>
      <c r="E162" s="572" t="s">
        <v>367</v>
      </c>
      <c r="F162" s="574"/>
      <c r="G162" s="575" t="s">
        <v>367</v>
      </c>
      <c r="H162" s="576" t="s">
        <v>367</v>
      </c>
      <c r="I162" s="577" t="s">
        <v>367</v>
      </c>
    </row>
    <row r="163" spans="1:10" s="1" customFormat="1" ht="11.25" customHeight="1" thickTop="1">
      <c r="A163" s="474" t="s">
        <v>488</v>
      </c>
      <c r="B163" s="475"/>
      <c r="C163" s="475"/>
      <c r="D163" s="475"/>
      <c r="E163" s="475"/>
      <c r="F163" s="518"/>
      <c r="G163" s="475"/>
      <c r="H163" s="475"/>
      <c r="I163" s="578"/>
    </row>
    <row r="164" spans="1:10" s="1" customFormat="1" ht="11.25" customHeight="1">
      <c r="A164" s="4" t="s">
        <v>491</v>
      </c>
      <c r="B164"/>
      <c r="C164"/>
      <c r="D164"/>
      <c r="E164" s="440"/>
      <c r="F164" s="518"/>
      <c r="G164" s="475"/>
      <c r="H164" s="475"/>
      <c r="I164" s="578"/>
    </row>
    <row r="165" spans="1:10" s="1" customFormat="1" ht="11.25" customHeight="1">
      <c r="A165" s="479"/>
      <c r="B165" s="475"/>
      <c r="C165" s="475"/>
      <c r="D165" s="475"/>
      <c r="E165" s="475"/>
      <c r="F165" s="518"/>
      <c r="G165" s="475"/>
      <c r="H165" s="475"/>
      <c r="I165" s="476"/>
    </row>
    <row r="166" spans="1:10" s="1" customFormat="1" ht="11.25" customHeight="1">
      <c r="A166" s="479" t="s">
        <v>391</v>
      </c>
      <c r="B166" s="475"/>
      <c r="C166" s="475"/>
      <c r="D166" s="475"/>
      <c r="E166" s="475"/>
      <c r="F166" s="518"/>
      <c r="G166" s="475"/>
      <c r="H166" s="475"/>
      <c r="I166" s="476"/>
    </row>
    <row r="167" spans="1:10" s="1" customFormat="1" ht="11.25" customHeight="1">
      <c r="A167" s="479" t="s">
        <v>617</v>
      </c>
      <c r="B167" s="475"/>
      <c r="C167" s="475"/>
      <c r="D167" s="475"/>
      <c r="E167" s="475"/>
      <c r="F167" s="518"/>
      <c r="G167" s="475"/>
      <c r="H167" s="475"/>
      <c r="I167" s="476"/>
    </row>
    <row r="168" spans="1:10" s="1" customFormat="1" ht="11.25" customHeight="1">
      <c r="A168" s="4" t="s">
        <v>1076</v>
      </c>
      <c r="B168" s="475"/>
      <c r="C168" s="475"/>
      <c r="D168" s="475"/>
      <c r="E168" s="475"/>
      <c r="F168" s="518"/>
      <c r="G168" s="475"/>
      <c r="H168" s="475"/>
      <c r="I168" s="476"/>
    </row>
    <row r="169" spans="1:10" s="1" customFormat="1" ht="11.25" customHeight="1">
      <c r="A169" s="479" t="s">
        <v>778</v>
      </c>
      <c r="B169" s="475"/>
      <c r="C169" s="475"/>
      <c r="D169" s="475"/>
      <c r="E169" s="475"/>
      <c r="F169" s="518"/>
      <c r="G169" s="475"/>
      <c r="H169" s="475"/>
      <c r="I169" s="476"/>
    </row>
    <row r="170" spans="1:10" ht="11.25" customHeight="1" thickBot="1">
      <c r="A170" s="5"/>
      <c r="B170" s="579"/>
      <c r="C170" s="579"/>
      <c r="D170" s="579"/>
      <c r="E170" s="579"/>
      <c r="F170" s="580"/>
      <c r="G170" s="579"/>
      <c r="H170" s="579"/>
      <c r="I170" s="581"/>
      <c r="J170" s="3"/>
    </row>
    <row r="171" spans="1:10" ht="13.15" thickTop="1"/>
  </sheetData>
  <sheetProtection algorithmName="SHA-512" hashValue="poHvOuAy+XSuoVcKjovFC9J5KUrSSs6xjGeYP1ook4d2KNtZT3xRdQxAEpiKM5Vbk2lEsPT29VZu4wmj+JJwXQ==" saltValue="Rhjn520GpobwOy7NT6TW2g==" spinCount="100000" sheet="1" objects="1" scenarios="1"/>
  <mergeCells count="5">
    <mergeCell ref="F4:F5"/>
    <mergeCell ref="A4:A6"/>
    <mergeCell ref="D4:D5"/>
    <mergeCell ref="B4:B6"/>
    <mergeCell ref="E4:E5"/>
  </mergeCells>
  <phoneticPr fontId="0" type="noConversion"/>
  <printOptions horizontalCentered="1"/>
  <pageMargins left="0.17" right="0.16" top="0.53" bottom="1" header="0.5" footer="0.5"/>
  <pageSetup scale="75" fitToHeight="4" orientation="landscape" r:id="rId1"/>
  <headerFooter alignWithMargins="0">
    <oddFooter>&amp;LHawai'i DOH
Spring 2024&amp;C&amp;8Page &amp;P of &amp;N&amp;R&amp;A</oddFooter>
  </headerFooter>
  <rowBreaks count="1" manualBreakCount="1">
    <brk id="16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29"/>
    <pageSetUpPr fitToPage="1"/>
  </sheetPr>
  <dimension ref="A1:FY171"/>
  <sheetViews>
    <sheetView zoomScale="85" zoomScaleNormal="85" workbookViewId="0">
      <pane ySplit="3135" topLeftCell="A7" activePane="bottomLeft"/>
      <selection activeCell="B7" sqref="B7"/>
      <selection pane="bottomLeft" activeCell="B12" sqref="B12"/>
    </sheetView>
  </sheetViews>
  <sheetFormatPr defaultColWidth="9.1328125" defaultRowHeight="10.15"/>
  <cols>
    <col min="1" max="1" width="40.59765625" style="3" customWidth="1"/>
    <col min="2" max="2" width="12.1328125" style="481" customWidth="1"/>
    <col min="3" max="3" width="19.73046875" style="481" customWidth="1"/>
    <col min="4" max="4" width="13.86328125" style="481" customWidth="1"/>
    <col min="5" max="5" width="13.59765625" style="481" customWidth="1"/>
    <col min="6" max="6" width="11.73046875" style="481" customWidth="1"/>
    <col min="7" max="7" width="10.1328125" style="583" customWidth="1"/>
    <col min="8" max="8" width="11.59765625" style="583" customWidth="1"/>
    <col min="9" max="9" width="12.73046875" style="583" customWidth="1"/>
    <col min="10" max="16384" width="9.1328125" style="3"/>
  </cols>
  <sheetData>
    <row r="1" spans="1:11" ht="45">
      <c r="A1" s="6" t="s">
        <v>494</v>
      </c>
      <c r="B1" s="530"/>
      <c r="C1" s="530"/>
      <c r="D1" s="530"/>
      <c r="E1" s="444"/>
      <c r="F1" s="531"/>
      <c r="G1" s="531"/>
      <c r="H1" s="530"/>
      <c r="I1" s="530"/>
      <c r="J1" s="530"/>
      <c r="K1" s="2"/>
    </row>
    <row r="2" spans="1:11" ht="15.4" thickBot="1">
      <c r="A2" s="6"/>
      <c r="B2" s="530"/>
      <c r="C2" s="530"/>
      <c r="D2" s="530"/>
      <c r="E2" s="444"/>
      <c r="F2" s="530"/>
      <c r="G2" s="530"/>
      <c r="H2" s="530"/>
      <c r="I2" s="530"/>
    </row>
    <row r="3" spans="1:11" s="588" customFormat="1" ht="14.1" customHeight="1" thickTop="1" thickBot="1">
      <c r="A3" s="584"/>
      <c r="B3" s="534" t="s">
        <v>841</v>
      </c>
      <c r="C3" s="585"/>
      <c r="D3" s="586"/>
      <c r="E3" s="586"/>
      <c r="F3" s="587"/>
      <c r="G3" s="586"/>
      <c r="H3" s="586"/>
      <c r="I3" s="446"/>
    </row>
    <row r="4" spans="1:11" s="588" customFormat="1" ht="35.25" customHeight="1" thickTop="1" thickBot="1">
      <c r="A4" s="1403" t="s">
        <v>232</v>
      </c>
      <c r="B4" s="1408" t="s">
        <v>842</v>
      </c>
      <c r="C4" s="541"/>
      <c r="D4" s="1406" t="s">
        <v>909</v>
      </c>
      <c r="E4" s="1401" t="s">
        <v>1027</v>
      </c>
      <c r="F4" s="1401" t="s">
        <v>380</v>
      </c>
      <c r="G4" s="542" t="s">
        <v>907</v>
      </c>
      <c r="H4" s="543"/>
      <c r="I4" s="544" t="s">
        <v>390</v>
      </c>
    </row>
    <row r="5" spans="1:11" s="588" customFormat="1" ht="45.75" customHeight="1">
      <c r="A5" s="1403"/>
      <c r="B5" s="1409"/>
      <c r="C5" s="545"/>
      <c r="D5" s="1407"/>
      <c r="E5" s="1402"/>
      <c r="F5" s="1402"/>
      <c r="G5" s="546" t="s">
        <v>606</v>
      </c>
      <c r="H5" s="547" t="s">
        <v>547</v>
      </c>
      <c r="I5" s="548" t="s">
        <v>607</v>
      </c>
    </row>
    <row r="6" spans="1:11" s="588" customFormat="1" ht="10.5" thickBot="1">
      <c r="A6" s="1411"/>
      <c r="B6" s="1410"/>
      <c r="C6" s="549" t="s">
        <v>485</v>
      </c>
      <c r="D6" s="550" t="s">
        <v>837</v>
      </c>
      <c r="E6" s="551" t="s">
        <v>838</v>
      </c>
      <c r="F6" s="552" t="s">
        <v>836</v>
      </c>
      <c r="G6" s="553" t="s">
        <v>464</v>
      </c>
      <c r="H6" s="554" t="s">
        <v>839</v>
      </c>
      <c r="I6" s="555" t="s">
        <v>989</v>
      </c>
    </row>
    <row r="7" spans="1:11" ht="11.25" customHeight="1">
      <c r="A7" s="454" t="s">
        <v>548</v>
      </c>
      <c r="B7" s="556">
        <v>118.02725999999998</v>
      </c>
      <c r="C7" s="557" t="s">
        <v>673</v>
      </c>
      <c r="D7" s="498">
        <v>1000</v>
      </c>
      <c r="E7" s="556" t="s">
        <v>979</v>
      </c>
      <c r="F7" s="556" t="s">
        <v>954</v>
      </c>
      <c r="G7" s="589">
        <v>647.71344582513132</v>
      </c>
      <c r="H7" s="560">
        <v>118.02725999999998</v>
      </c>
      <c r="I7" s="590">
        <v>118.02733726415093</v>
      </c>
    </row>
    <row r="8" spans="1:11" ht="11.25" customHeight="1">
      <c r="A8" s="458" t="s">
        <v>549</v>
      </c>
      <c r="B8" s="562">
        <v>5.5120019500000001</v>
      </c>
      <c r="C8" s="563" t="s">
        <v>1407</v>
      </c>
      <c r="D8" s="502">
        <v>500</v>
      </c>
      <c r="E8" s="562" t="s">
        <v>979</v>
      </c>
      <c r="F8" s="562" t="s">
        <v>954</v>
      </c>
      <c r="G8" s="591">
        <v>339.48905290891071</v>
      </c>
      <c r="H8" s="566" t="s">
        <v>1394</v>
      </c>
      <c r="I8" s="523">
        <v>5.5120019500000001</v>
      </c>
    </row>
    <row r="9" spans="1:11" ht="11.25" customHeight="1">
      <c r="A9" s="458" t="s">
        <v>550</v>
      </c>
      <c r="B9" s="562">
        <v>0.9234675</v>
      </c>
      <c r="C9" s="563" t="s">
        <v>1407</v>
      </c>
      <c r="D9" s="502">
        <v>500</v>
      </c>
      <c r="E9" s="562" t="s">
        <v>979</v>
      </c>
      <c r="F9" s="562" t="s">
        <v>954</v>
      </c>
      <c r="G9" s="591">
        <v>5739.0879292078434</v>
      </c>
      <c r="H9" s="566">
        <v>1420.3494838238926</v>
      </c>
      <c r="I9" s="523">
        <v>0.9234675</v>
      </c>
    </row>
    <row r="10" spans="1:11" ht="11.25" customHeight="1">
      <c r="A10" s="458" t="s">
        <v>551</v>
      </c>
      <c r="B10" s="562">
        <v>3.910714285714286</v>
      </c>
      <c r="C10" s="563" t="s">
        <v>674</v>
      </c>
      <c r="D10" s="502">
        <v>1000</v>
      </c>
      <c r="E10" s="562" t="s">
        <v>979</v>
      </c>
      <c r="F10" s="562" t="s">
        <v>954</v>
      </c>
      <c r="G10" s="591">
        <v>3.910714285714286</v>
      </c>
      <c r="H10" s="566" t="s">
        <v>954</v>
      </c>
      <c r="I10" s="523">
        <v>8.3677457928301884</v>
      </c>
    </row>
    <row r="11" spans="1:11" ht="11.25" customHeight="1">
      <c r="A11" s="458" t="s">
        <v>161</v>
      </c>
      <c r="B11" s="562">
        <v>10.828215092807262</v>
      </c>
      <c r="C11" s="563" t="s">
        <v>1407</v>
      </c>
      <c r="D11" s="502">
        <v>500</v>
      </c>
      <c r="E11" s="562" t="s">
        <v>979</v>
      </c>
      <c r="F11" s="562" t="s">
        <v>954</v>
      </c>
      <c r="G11" s="591">
        <v>113.78462320028632</v>
      </c>
      <c r="H11" s="566" t="s">
        <v>954</v>
      </c>
      <c r="I11" s="523">
        <v>10.828215092807262</v>
      </c>
    </row>
    <row r="12" spans="1:11" ht="11.25" customHeight="1">
      <c r="A12" s="462" t="s">
        <v>162</v>
      </c>
      <c r="B12" s="562">
        <v>9.066944184765767E-2</v>
      </c>
      <c r="C12" s="563" t="s">
        <v>1407</v>
      </c>
      <c r="D12" s="502">
        <v>500</v>
      </c>
      <c r="E12" s="562" t="s">
        <v>979</v>
      </c>
      <c r="F12" s="562" t="s">
        <v>954</v>
      </c>
      <c r="G12" s="591">
        <v>1.5423260756210222</v>
      </c>
      <c r="H12" s="566" t="s">
        <v>954</v>
      </c>
      <c r="I12" s="523">
        <v>9.066944184765767E-2</v>
      </c>
    </row>
    <row r="13" spans="1:11" ht="11.25" customHeight="1">
      <c r="A13" s="462" t="s">
        <v>94</v>
      </c>
      <c r="B13" s="562">
        <v>9.066944184765767E-2</v>
      </c>
      <c r="C13" s="563" t="s">
        <v>1407</v>
      </c>
      <c r="D13" s="502">
        <v>500</v>
      </c>
      <c r="E13" s="562" t="s">
        <v>979</v>
      </c>
      <c r="F13" s="562" t="s">
        <v>954</v>
      </c>
      <c r="G13" s="591">
        <v>1.5315758488811595</v>
      </c>
      <c r="H13" s="566" t="s">
        <v>954</v>
      </c>
      <c r="I13" s="523">
        <v>9.066944184765767E-2</v>
      </c>
    </row>
    <row r="14" spans="1:11" ht="11.25" customHeight="1">
      <c r="A14" s="458" t="s">
        <v>552</v>
      </c>
      <c r="B14" s="562">
        <v>4.2251984613333331</v>
      </c>
      <c r="C14" s="563" t="s">
        <v>673</v>
      </c>
      <c r="D14" s="502">
        <v>500</v>
      </c>
      <c r="E14" s="562" t="s">
        <v>979</v>
      </c>
      <c r="F14" s="562" t="s">
        <v>954</v>
      </c>
      <c r="G14" s="591">
        <v>3489.8853344626582</v>
      </c>
      <c r="H14" s="566">
        <v>4.2251984613333331</v>
      </c>
      <c r="I14" s="523">
        <v>4.2251987225786163</v>
      </c>
    </row>
    <row r="15" spans="1:11" ht="11.25" customHeight="1">
      <c r="A15" s="458" t="s">
        <v>553</v>
      </c>
      <c r="B15" s="562">
        <v>6.2566828069364648</v>
      </c>
      <c r="C15" s="563" t="s">
        <v>674</v>
      </c>
      <c r="D15" s="502">
        <v>1000</v>
      </c>
      <c r="E15" s="562" t="s">
        <v>979</v>
      </c>
      <c r="F15" s="562">
        <v>2.4</v>
      </c>
      <c r="G15" s="591">
        <v>6.2566828069364648</v>
      </c>
      <c r="H15" s="566" t="s">
        <v>954</v>
      </c>
      <c r="I15" s="523" t="s">
        <v>1408</v>
      </c>
    </row>
    <row r="16" spans="1:11" ht="11.25" customHeight="1">
      <c r="A16" s="458" t="s">
        <v>686</v>
      </c>
      <c r="B16" s="562">
        <v>24</v>
      </c>
      <c r="C16" s="563" t="s">
        <v>380</v>
      </c>
      <c r="D16" s="502">
        <v>1000</v>
      </c>
      <c r="E16" s="562" t="s">
        <v>979</v>
      </c>
      <c r="F16" s="562">
        <v>24</v>
      </c>
      <c r="G16" s="591">
        <v>23</v>
      </c>
      <c r="H16" s="566" t="s">
        <v>954</v>
      </c>
      <c r="I16" s="523" t="s">
        <v>1408</v>
      </c>
    </row>
    <row r="17" spans="1:9" ht="11.25" customHeight="1">
      <c r="A17" s="458" t="s">
        <v>95</v>
      </c>
      <c r="B17" s="562">
        <v>0.11180104469040002</v>
      </c>
      <c r="C17" s="563" t="s">
        <v>1407</v>
      </c>
      <c r="D17" s="502">
        <v>500</v>
      </c>
      <c r="E17" s="562" t="s">
        <v>979</v>
      </c>
      <c r="F17" s="562" t="s">
        <v>954</v>
      </c>
      <c r="G17" s="591">
        <v>2.2732603019174396</v>
      </c>
      <c r="H17" s="566" t="s">
        <v>954</v>
      </c>
      <c r="I17" s="523">
        <v>0.11180104469040002</v>
      </c>
    </row>
    <row r="18" spans="1:9" ht="11.25" customHeight="1">
      <c r="A18" s="458" t="s">
        <v>687</v>
      </c>
      <c r="B18" s="562">
        <v>1000</v>
      </c>
      <c r="C18" s="563" t="s">
        <v>1409</v>
      </c>
      <c r="D18" s="502">
        <v>1000</v>
      </c>
      <c r="E18" s="562" t="s">
        <v>979</v>
      </c>
      <c r="F18" s="562">
        <v>690</v>
      </c>
      <c r="G18" s="591">
        <v>3061.0483042137716</v>
      </c>
      <c r="H18" s="566" t="s">
        <v>954</v>
      </c>
      <c r="I18" s="523" t="s">
        <v>1408</v>
      </c>
    </row>
    <row r="19" spans="1:9" ht="11.25" customHeight="1">
      <c r="A19" s="458" t="s">
        <v>1156</v>
      </c>
      <c r="B19" s="562">
        <v>7.8132880042580035E-3</v>
      </c>
      <c r="C19" s="563" t="s">
        <v>1407</v>
      </c>
      <c r="D19" s="502">
        <v>1000</v>
      </c>
      <c r="E19" s="562" t="s">
        <v>979</v>
      </c>
      <c r="F19" s="562" t="s">
        <v>954</v>
      </c>
      <c r="G19" s="591">
        <v>632.13679555714634</v>
      </c>
      <c r="H19" s="566" t="s">
        <v>954</v>
      </c>
      <c r="I19" s="523">
        <v>7.8132880042580035E-3</v>
      </c>
    </row>
    <row r="20" spans="1:9" ht="11.25" customHeight="1">
      <c r="A20" s="458" t="s">
        <v>688</v>
      </c>
      <c r="B20" s="562">
        <v>0.29829600000000001</v>
      </c>
      <c r="C20" s="563" t="s">
        <v>1407</v>
      </c>
      <c r="D20" s="502">
        <v>500</v>
      </c>
      <c r="E20" s="562" t="s">
        <v>979</v>
      </c>
      <c r="F20" s="562" t="s">
        <v>954</v>
      </c>
      <c r="G20" s="591">
        <v>1.2457241814692348</v>
      </c>
      <c r="H20" s="566">
        <v>0.76939408284023669</v>
      </c>
      <c r="I20" s="523">
        <v>0.29829600000000001</v>
      </c>
    </row>
    <row r="21" spans="1:9" ht="11.25" customHeight="1">
      <c r="A21" s="458" t="s">
        <v>689</v>
      </c>
      <c r="B21" s="562">
        <v>9.9781008719534601</v>
      </c>
      <c r="C21" s="563" t="s">
        <v>1407</v>
      </c>
      <c r="D21" s="502">
        <v>500</v>
      </c>
      <c r="E21" s="562" t="s">
        <v>979</v>
      </c>
      <c r="F21" s="562" t="s">
        <v>954</v>
      </c>
      <c r="G21" s="591">
        <v>11.131115733318255</v>
      </c>
      <c r="H21" s="566" t="s">
        <v>954</v>
      </c>
      <c r="I21" s="523">
        <v>9.9781008719534601</v>
      </c>
    </row>
    <row r="22" spans="1:9" ht="11.25" customHeight="1">
      <c r="A22" s="458" t="s">
        <v>690</v>
      </c>
      <c r="B22" s="562">
        <v>3.5639370920589939</v>
      </c>
      <c r="C22" s="563" t="s">
        <v>674</v>
      </c>
      <c r="D22" s="502">
        <v>500</v>
      </c>
      <c r="E22" s="562" t="s">
        <v>979</v>
      </c>
      <c r="F22" s="562" t="s">
        <v>954</v>
      </c>
      <c r="G22" s="591">
        <v>3.5639370920589939</v>
      </c>
      <c r="H22" s="566" t="s">
        <v>954</v>
      </c>
      <c r="I22" s="523">
        <v>5.8505041713132</v>
      </c>
    </row>
    <row r="23" spans="1:9" ht="11.25" customHeight="1">
      <c r="A23" s="458" t="s">
        <v>691</v>
      </c>
      <c r="B23" s="562">
        <v>5.7840402228293977</v>
      </c>
      <c r="C23" s="563" t="s">
        <v>1407</v>
      </c>
      <c r="D23" s="502">
        <v>500</v>
      </c>
      <c r="E23" s="562" t="s">
        <v>979</v>
      </c>
      <c r="F23" s="562" t="s">
        <v>954</v>
      </c>
      <c r="G23" s="591">
        <v>11.285807709958021</v>
      </c>
      <c r="H23" s="566" t="s">
        <v>954</v>
      </c>
      <c r="I23" s="523">
        <v>5.7840402228293977</v>
      </c>
    </row>
    <row r="24" spans="1:9" ht="11.25" customHeight="1">
      <c r="A24" s="458" t="s">
        <v>692</v>
      </c>
      <c r="B24" s="562">
        <v>34.528000116195038</v>
      </c>
      <c r="C24" s="563" t="s">
        <v>1407</v>
      </c>
      <c r="D24" s="502">
        <v>500</v>
      </c>
      <c r="E24" s="562" t="s">
        <v>979</v>
      </c>
      <c r="F24" s="562" t="s">
        <v>954</v>
      </c>
      <c r="G24" s="591">
        <v>478.19569558367709</v>
      </c>
      <c r="H24" s="566" t="s">
        <v>954</v>
      </c>
      <c r="I24" s="523">
        <v>34.528000116195038</v>
      </c>
    </row>
    <row r="25" spans="1:9" ht="11.25" customHeight="1">
      <c r="A25" s="458" t="s">
        <v>693</v>
      </c>
      <c r="B25" s="562">
        <v>35.249239258001005</v>
      </c>
      <c r="C25" s="563" t="s">
        <v>1407</v>
      </c>
      <c r="D25" s="502">
        <v>500</v>
      </c>
      <c r="E25" s="562" t="s">
        <v>979</v>
      </c>
      <c r="F25" s="562" t="s">
        <v>954</v>
      </c>
      <c r="G25" s="591">
        <v>112.85807709958023</v>
      </c>
      <c r="H25" s="566" t="s">
        <v>954</v>
      </c>
      <c r="I25" s="523">
        <v>35.249239258001005</v>
      </c>
    </row>
    <row r="26" spans="1:9" ht="11.25" customHeight="1">
      <c r="A26" s="458" t="s">
        <v>126</v>
      </c>
      <c r="B26" s="562">
        <v>31.114129015408725</v>
      </c>
      <c r="C26" s="563" t="s">
        <v>674</v>
      </c>
      <c r="D26" s="502">
        <v>1000</v>
      </c>
      <c r="E26" s="562" t="s">
        <v>979</v>
      </c>
      <c r="F26" s="562">
        <v>3</v>
      </c>
      <c r="G26" s="591">
        <v>31.114129015408725</v>
      </c>
      <c r="H26" s="566" t="s">
        <v>954</v>
      </c>
      <c r="I26" s="523" t="s">
        <v>1408</v>
      </c>
    </row>
    <row r="27" spans="1:9" ht="11.25" customHeight="1">
      <c r="A27" s="458" t="s">
        <v>233</v>
      </c>
      <c r="B27" s="562">
        <v>10.157103856679932</v>
      </c>
      <c r="C27" s="563" t="s">
        <v>674</v>
      </c>
      <c r="D27" s="502">
        <v>500</v>
      </c>
      <c r="E27" s="562" t="s">
        <v>979</v>
      </c>
      <c r="F27" s="562" t="s">
        <v>954</v>
      </c>
      <c r="G27" s="591">
        <v>10.157103856679932</v>
      </c>
      <c r="H27" s="566" t="s">
        <v>1394</v>
      </c>
      <c r="I27" s="523">
        <v>230.95592832704406</v>
      </c>
    </row>
    <row r="28" spans="1:9" ht="11.25" customHeight="1">
      <c r="A28" s="458" t="s">
        <v>127</v>
      </c>
      <c r="B28" s="562">
        <v>7.4429390845260929E-5</v>
      </c>
      <c r="C28" s="563" t="s">
        <v>1407</v>
      </c>
      <c r="D28" s="502">
        <v>500</v>
      </c>
      <c r="E28" s="562" t="s">
        <v>979</v>
      </c>
      <c r="F28" s="562" t="s">
        <v>954</v>
      </c>
      <c r="G28" s="591">
        <v>0.23842763078674306</v>
      </c>
      <c r="H28" s="566">
        <v>7.8962365734984701E-3</v>
      </c>
      <c r="I28" s="523">
        <v>7.4429390845260929E-5</v>
      </c>
    </row>
    <row r="29" spans="1:9" ht="11.25" customHeight="1">
      <c r="A29" s="503" t="s">
        <v>1103</v>
      </c>
      <c r="B29" s="562">
        <v>3.8666109556463671E-3</v>
      </c>
      <c r="C29" s="563" t="s">
        <v>1407</v>
      </c>
      <c r="D29" s="502">
        <v>500</v>
      </c>
      <c r="E29" s="562" t="s">
        <v>979</v>
      </c>
      <c r="F29" s="562" t="s">
        <v>954</v>
      </c>
      <c r="G29" s="591">
        <v>3.7245820040701219</v>
      </c>
      <c r="H29" s="566" t="s">
        <v>1394</v>
      </c>
      <c r="I29" s="523">
        <v>3.8666109556463671E-3</v>
      </c>
    </row>
    <row r="30" spans="1:9" ht="11.25" customHeight="1">
      <c r="A30" s="458" t="s">
        <v>128</v>
      </c>
      <c r="B30" s="562">
        <v>37.34554262742413</v>
      </c>
      <c r="C30" s="563" t="s">
        <v>674</v>
      </c>
      <c r="D30" s="502">
        <v>500</v>
      </c>
      <c r="E30" s="562" t="s">
        <v>979</v>
      </c>
      <c r="F30" s="562" t="s">
        <v>954</v>
      </c>
      <c r="G30" s="591">
        <v>37.34554262742413</v>
      </c>
      <c r="H30" s="566" t="s">
        <v>954</v>
      </c>
      <c r="I30" s="523">
        <v>193.77900056224536</v>
      </c>
    </row>
    <row r="31" spans="1:9" ht="11.25" customHeight="1">
      <c r="A31" s="458" t="s">
        <v>129</v>
      </c>
      <c r="B31" s="562">
        <v>1000</v>
      </c>
      <c r="C31" s="563" t="s">
        <v>1409</v>
      </c>
      <c r="D31" s="502">
        <v>1000</v>
      </c>
      <c r="E31" s="562" t="s">
        <v>979</v>
      </c>
      <c r="F31" s="562" t="s">
        <v>954</v>
      </c>
      <c r="G31" s="591">
        <v>3126.8470643815126</v>
      </c>
      <c r="H31" s="566" t="s">
        <v>954</v>
      </c>
      <c r="I31" s="523" t="s">
        <v>1408</v>
      </c>
    </row>
    <row r="32" spans="1:9" ht="11.25" customHeight="1">
      <c r="A32" s="458" t="s">
        <v>130</v>
      </c>
      <c r="B32" s="562">
        <v>2.4623916130112316E-3</v>
      </c>
      <c r="C32" s="563" t="s">
        <v>1407</v>
      </c>
      <c r="D32" s="502">
        <v>932.0059079245284</v>
      </c>
      <c r="E32" s="562" t="s">
        <v>979</v>
      </c>
      <c r="F32" s="562" t="s">
        <v>954</v>
      </c>
      <c r="G32" s="591">
        <v>0.31751238306685059</v>
      </c>
      <c r="H32" s="566">
        <v>1.6219659043659043E-2</v>
      </c>
      <c r="I32" s="523">
        <v>2.4623916130112316E-3</v>
      </c>
    </row>
    <row r="33" spans="1:9" ht="11.25" customHeight="1">
      <c r="A33" s="458" t="s">
        <v>131</v>
      </c>
      <c r="B33" s="562">
        <v>0.69071199999999999</v>
      </c>
      <c r="C33" s="563" t="s">
        <v>1407</v>
      </c>
      <c r="D33" s="502">
        <v>500</v>
      </c>
      <c r="E33" s="562" t="s">
        <v>979</v>
      </c>
      <c r="F33" s="562" t="s">
        <v>954</v>
      </c>
      <c r="G33" s="591">
        <v>20.335256675423288</v>
      </c>
      <c r="H33" s="566" t="s">
        <v>954</v>
      </c>
      <c r="I33" s="523">
        <v>0.69071199999999999</v>
      </c>
    </row>
    <row r="34" spans="1:9" ht="11.25" customHeight="1">
      <c r="A34" s="458" t="s">
        <v>132</v>
      </c>
      <c r="B34" s="562">
        <v>0.22290445714285717</v>
      </c>
      <c r="C34" s="563" t="s">
        <v>673</v>
      </c>
      <c r="D34" s="502">
        <v>500</v>
      </c>
      <c r="E34" s="562" t="s">
        <v>979</v>
      </c>
      <c r="F34" s="562" t="s">
        <v>954</v>
      </c>
      <c r="G34" s="591">
        <v>1.4804724326703158</v>
      </c>
      <c r="H34" s="566">
        <v>0.22290445714285717</v>
      </c>
      <c r="I34" s="523">
        <v>0.76008991999999997</v>
      </c>
    </row>
    <row r="35" spans="1:9" ht="11.25" customHeight="1">
      <c r="A35" s="458" t="s">
        <v>133</v>
      </c>
      <c r="B35" s="562">
        <v>17</v>
      </c>
      <c r="C35" s="563" t="s">
        <v>380</v>
      </c>
      <c r="D35" s="502">
        <v>1000</v>
      </c>
      <c r="E35" s="562" t="s">
        <v>979</v>
      </c>
      <c r="F35" s="562">
        <v>17</v>
      </c>
      <c r="G35" s="591">
        <v>1.492622703268411</v>
      </c>
      <c r="H35" s="566" t="s">
        <v>954</v>
      </c>
      <c r="I35" s="523" t="s">
        <v>1408</v>
      </c>
    </row>
    <row r="36" spans="1:9" ht="11.25" customHeight="1">
      <c r="A36" s="458" t="s">
        <v>134</v>
      </c>
      <c r="B36" s="562">
        <v>0.10002123076923075</v>
      </c>
      <c r="C36" s="563" t="s">
        <v>673</v>
      </c>
      <c r="D36" s="502">
        <v>453.26214201257858</v>
      </c>
      <c r="E36" s="562" t="s">
        <v>979</v>
      </c>
      <c r="F36" s="562" t="s">
        <v>954</v>
      </c>
      <c r="G36" s="591">
        <v>0.71011514254445907</v>
      </c>
      <c r="H36" s="566">
        <v>0.10002123076923075</v>
      </c>
      <c r="I36" s="523">
        <v>0.90540869999999996</v>
      </c>
    </row>
    <row r="37" spans="1:9" ht="11.25" customHeight="1">
      <c r="A37" s="458" t="s">
        <v>614</v>
      </c>
      <c r="B37" s="562">
        <v>16.627770348612255</v>
      </c>
      <c r="C37" s="563" t="s">
        <v>674</v>
      </c>
      <c r="D37" s="502">
        <v>1000</v>
      </c>
      <c r="E37" s="562" t="s">
        <v>979</v>
      </c>
      <c r="F37" s="562" t="s">
        <v>954</v>
      </c>
      <c r="G37" s="591">
        <v>16.627770348612255</v>
      </c>
      <c r="H37" s="566" t="s">
        <v>954</v>
      </c>
      <c r="I37" s="523">
        <v>22.699061202515725</v>
      </c>
    </row>
    <row r="38" spans="1:9" ht="11.25" customHeight="1">
      <c r="A38" s="458" t="s">
        <v>135</v>
      </c>
      <c r="B38" s="562">
        <v>6.839130220938904E-3</v>
      </c>
      <c r="C38" s="563" t="s">
        <v>1407</v>
      </c>
      <c r="D38" s="502">
        <v>1000</v>
      </c>
      <c r="E38" s="562" t="s">
        <v>979</v>
      </c>
      <c r="F38" s="562" t="s">
        <v>954</v>
      </c>
      <c r="G38" s="591">
        <v>2.6142493472050554</v>
      </c>
      <c r="H38" s="566" t="s">
        <v>954</v>
      </c>
      <c r="I38" s="523">
        <v>6.839130220938904E-3</v>
      </c>
    </row>
    <row r="39" spans="1:9" ht="11.25" customHeight="1">
      <c r="A39" s="458" t="s">
        <v>136</v>
      </c>
      <c r="B39" s="562">
        <v>1.4517275000000003</v>
      </c>
      <c r="C39" s="563" t="s">
        <v>1407</v>
      </c>
      <c r="D39" s="502">
        <v>500</v>
      </c>
      <c r="E39" s="562" t="s">
        <v>979</v>
      </c>
      <c r="F39" s="562" t="s">
        <v>954</v>
      </c>
      <c r="G39" s="591">
        <v>58.735856754033783</v>
      </c>
      <c r="H39" s="566">
        <v>2.229044571428572</v>
      </c>
      <c r="I39" s="523">
        <v>1.4517275000000003</v>
      </c>
    </row>
    <row r="40" spans="1:9" ht="11.25" customHeight="1">
      <c r="A40" s="458" t="s">
        <v>781</v>
      </c>
      <c r="B40" s="562">
        <v>1.1501468800000001</v>
      </c>
      <c r="C40" s="563" t="s">
        <v>1407</v>
      </c>
      <c r="D40" s="502">
        <v>500</v>
      </c>
      <c r="E40" s="562" t="s">
        <v>979</v>
      </c>
      <c r="F40" s="562" t="s">
        <v>954</v>
      </c>
      <c r="G40" s="591">
        <v>1199.043520033186</v>
      </c>
      <c r="H40" s="566">
        <v>178.32356571428573</v>
      </c>
      <c r="I40" s="523">
        <v>1.1501468800000001</v>
      </c>
    </row>
    <row r="41" spans="1:9" ht="11.25" customHeight="1">
      <c r="A41" s="514" t="s">
        <v>137</v>
      </c>
      <c r="B41" s="562">
        <v>2.6092494983277589E-2</v>
      </c>
      <c r="C41" s="563" t="s">
        <v>673</v>
      </c>
      <c r="D41" s="502">
        <v>500</v>
      </c>
      <c r="E41" s="562" t="s">
        <v>979</v>
      </c>
      <c r="F41" s="562" t="s">
        <v>954</v>
      </c>
      <c r="G41" s="591">
        <v>0.34283322379966413</v>
      </c>
      <c r="H41" s="566">
        <v>2.6092494983277589E-2</v>
      </c>
      <c r="I41" s="523">
        <v>0.79094456000000002</v>
      </c>
    </row>
    <row r="42" spans="1:9" ht="11.25" customHeight="1">
      <c r="A42" s="503" t="s">
        <v>782</v>
      </c>
      <c r="B42" s="562">
        <v>4.012280228571429</v>
      </c>
      <c r="C42" s="563" t="s">
        <v>673</v>
      </c>
      <c r="D42" s="502">
        <v>100</v>
      </c>
      <c r="E42" s="562" t="s">
        <v>979</v>
      </c>
      <c r="F42" s="562" t="s">
        <v>954</v>
      </c>
      <c r="G42" s="591">
        <v>24.383473244162705</v>
      </c>
      <c r="H42" s="566">
        <v>4.012280228571429</v>
      </c>
      <c r="I42" s="523">
        <v>60.94398504489795</v>
      </c>
    </row>
    <row r="43" spans="1:9" ht="11.25" customHeight="1">
      <c r="A43" s="503" t="s">
        <v>138</v>
      </c>
      <c r="B43" s="562">
        <v>1.1605729859999999E-2</v>
      </c>
      <c r="C43" s="563" t="s">
        <v>1407</v>
      </c>
      <c r="D43" s="502">
        <v>100</v>
      </c>
      <c r="E43" s="562" t="s">
        <v>979</v>
      </c>
      <c r="F43" s="562" t="s">
        <v>954</v>
      </c>
      <c r="G43" s="591">
        <v>68.476431433471518</v>
      </c>
      <c r="H43" s="566">
        <v>36.555936436299852</v>
      </c>
      <c r="I43" s="523">
        <v>1.1605729859999999E-2</v>
      </c>
    </row>
    <row r="44" spans="1:9" ht="11.25" customHeight="1">
      <c r="A44" s="503" t="s">
        <v>612</v>
      </c>
      <c r="B44" s="562">
        <v>1145</v>
      </c>
      <c r="C44" s="563" t="s">
        <v>380</v>
      </c>
      <c r="D44" s="502" t="s">
        <v>367</v>
      </c>
      <c r="E44" s="562" t="s">
        <v>979</v>
      </c>
      <c r="F44" s="562">
        <v>1145</v>
      </c>
      <c r="G44" s="591" t="s">
        <v>954</v>
      </c>
      <c r="H44" s="566" t="s">
        <v>954</v>
      </c>
      <c r="I44" s="523" t="s">
        <v>1408</v>
      </c>
    </row>
    <row r="45" spans="1:9" ht="11.25" customHeight="1">
      <c r="A45" s="503" t="s">
        <v>779</v>
      </c>
      <c r="B45" s="562">
        <v>1000</v>
      </c>
      <c r="C45" s="563" t="s">
        <v>1409</v>
      </c>
      <c r="D45" s="502">
        <v>1000</v>
      </c>
      <c r="E45" s="562" t="s">
        <v>979</v>
      </c>
      <c r="F45" s="562" t="s">
        <v>954</v>
      </c>
      <c r="G45" s="591" t="s">
        <v>954</v>
      </c>
      <c r="H45" s="566" t="s">
        <v>954</v>
      </c>
      <c r="I45" s="523" t="s">
        <v>1408</v>
      </c>
    </row>
    <row r="46" spans="1:9" ht="11.25" customHeight="1">
      <c r="A46" s="503" t="s">
        <v>780</v>
      </c>
      <c r="B46" s="562">
        <v>29.632417484956957</v>
      </c>
      <c r="C46" s="563" t="s">
        <v>674</v>
      </c>
      <c r="D46" s="502">
        <v>1000</v>
      </c>
      <c r="E46" s="562" t="s">
        <v>979</v>
      </c>
      <c r="F46" s="562" t="s">
        <v>954</v>
      </c>
      <c r="G46" s="591">
        <v>29.632417484956957</v>
      </c>
      <c r="H46" s="566" t="s">
        <v>954</v>
      </c>
      <c r="I46" s="523" t="s">
        <v>1408</v>
      </c>
    </row>
    <row r="47" spans="1:9" ht="11.25" customHeight="1">
      <c r="A47" s="503" t="s">
        <v>139</v>
      </c>
      <c r="B47" s="562">
        <v>7.3218203526607688</v>
      </c>
      <c r="C47" s="563" t="s">
        <v>1407</v>
      </c>
      <c r="D47" s="502">
        <v>1000</v>
      </c>
      <c r="E47" s="562" t="s">
        <v>979</v>
      </c>
      <c r="F47" s="562" t="s">
        <v>954</v>
      </c>
      <c r="G47" s="591">
        <v>1128.5807709958024</v>
      </c>
      <c r="H47" s="566" t="s">
        <v>954</v>
      </c>
      <c r="I47" s="523">
        <v>7.3218203526607688</v>
      </c>
    </row>
    <row r="48" spans="1:9" ht="11.25" customHeight="1">
      <c r="A48" s="503" t="s">
        <v>140</v>
      </c>
      <c r="B48" s="562">
        <v>80</v>
      </c>
      <c r="C48" s="563" t="s">
        <v>380</v>
      </c>
      <c r="D48" s="502">
        <v>1000</v>
      </c>
      <c r="E48" s="562" t="s">
        <v>979</v>
      </c>
      <c r="F48" s="562">
        <v>80</v>
      </c>
      <c r="G48" s="591">
        <v>4.6799528610711016</v>
      </c>
      <c r="H48" s="566" t="s">
        <v>954</v>
      </c>
      <c r="I48" s="523" t="s">
        <v>1408</v>
      </c>
    </row>
    <row r="49" spans="1:9" ht="11.25" customHeight="1">
      <c r="A49" s="503" t="s">
        <v>141</v>
      </c>
      <c r="B49" s="562">
        <v>625.71428571428567</v>
      </c>
      <c r="C49" s="563" t="s">
        <v>674</v>
      </c>
      <c r="D49" s="502">
        <v>1000</v>
      </c>
      <c r="E49" s="562" t="s">
        <v>979</v>
      </c>
      <c r="F49" s="562">
        <v>252</v>
      </c>
      <c r="G49" s="591">
        <v>625.71428571428567</v>
      </c>
      <c r="H49" s="566" t="s">
        <v>954</v>
      </c>
      <c r="I49" s="523" t="s">
        <v>1408</v>
      </c>
    </row>
    <row r="50" spans="1:9" ht="11.25" customHeight="1">
      <c r="A50" s="503" t="s">
        <v>142</v>
      </c>
      <c r="B50" s="562">
        <v>4.7522674398767206</v>
      </c>
      <c r="C50" s="563" t="s">
        <v>674</v>
      </c>
      <c r="D50" s="502">
        <v>100</v>
      </c>
      <c r="E50" s="562" t="s">
        <v>979</v>
      </c>
      <c r="F50" s="562" t="s">
        <v>954</v>
      </c>
      <c r="G50" s="591">
        <v>4.7522674398767206</v>
      </c>
      <c r="H50" s="566" t="s">
        <v>1394</v>
      </c>
      <c r="I50" s="523" t="s">
        <v>1408</v>
      </c>
    </row>
    <row r="51" spans="1:9" ht="11.25" customHeight="1">
      <c r="A51" s="515" t="s">
        <v>96</v>
      </c>
      <c r="B51" s="562">
        <v>1.4281548812941221E-2</v>
      </c>
      <c r="C51" s="563" t="s">
        <v>1407</v>
      </c>
      <c r="D51" s="502">
        <v>500</v>
      </c>
      <c r="E51" s="562" t="s">
        <v>979</v>
      </c>
      <c r="F51" s="562" t="s">
        <v>954</v>
      </c>
      <c r="G51" s="591">
        <v>8.0589159430149166</v>
      </c>
      <c r="H51" s="566" t="s">
        <v>954</v>
      </c>
      <c r="I51" s="523">
        <v>1.4281548812941221E-2</v>
      </c>
    </row>
    <row r="52" spans="1:9" ht="11.25" customHeight="1">
      <c r="A52" s="503" t="s">
        <v>97</v>
      </c>
      <c r="B52" s="562">
        <v>0.1063107598</v>
      </c>
      <c r="C52" s="563" t="s">
        <v>1407</v>
      </c>
      <c r="D52" s="502">
        <v>500</v>
      </c>
      <c r="E52" s="562" t="s">
        <v>979</v>
      </c>
      <c r="F52" s="562" t="s">
        <v>954</v>
      </c>
      <c r="G52" s="591">
        <v>379.28207733428781</v>
      </c>
      <c r="H52" s="566" t="s">
        <v>954</v>
      </c>
      <c r="I52" s="523">
        <v>0.1063107598</v>
      </c>
    </row>
    <row r="53" spans="1:9" ht="11.25" customHeight="1">
      <c r="A53" s="503" t="s">
        <v>143</v>
      </c>
      <c r="B53" s="562">
        <v>1.1285807709958025</v>
      </c>
      <c r="C53" s="563" t="s">
        <v>674</v>
      </c>
      <c r="D53" s="502">
        <v>500</v>
      </c>
      <c r="E53" s="562" t="s">
        <v>979</v>
      </c>
      <c r="F53" s="562" t="s">
        <v>954</v>
      </c>
      <c r="G53" s="591">
        <v>1.1285807709958025</v>
      </c>
      <c r="H53" s="566" t="s">
        <v>954</v>
      </c>
      <c r="I53" s="523">
        <v>28.680250002744973</v>
      </c>
    </row>
    <row r="54" spans="1:9" ht="11.25" customHeight="1">
      <c r="A54" s="503" t="s">
        <v>381</v>
      </c>
      <c r="B54" s="562">
        <v>8.061539999999999E-4</v>
      </c>
      <c r="C54" s="563" t="s">
        <v>1407</v>
      </c>
      <c r="D54" s="502">
        <v>500</v>
      </c>
      <c r="E54" s="562" t="s">
        <v>979</v>
      </c>
      <c r="F54" s="562" t="s">
        <v>954</v>
      </c>
      <c r="G54" s="591">
        <v>5.7102531036448472E-3</v>
      </c>
      <c r="H54" s="566" t="s">
        <v>1394</v>
      </c>
      <c r="I54" s="523">
        <v>8.061539999999999E-4</v>
      </c>
    </row>
    <row r="55" spans="1:9" ht="11.25" customHeight="1">
      <c r="A55" s="503" t="s">
        <v>144</v>
      </c>
      <c r="B55" s="562">
        <v>8.8187719678234893E-3</v>
      </c>
      <c r="C55" s="563" t="s">
        <v>1407</v>
      </c>
      <c r="D55" s="502">
        <v>100</v>
      </c>
      <c r="E55" s="562" t="s">
        <v>979</v>
      </c>
      <c r="F55" s="562" t="s">
        <v>954</v>
      </c>
      <c r="G55" s="591">
        <v>8.0043859649122808</v>
      </c>
      <c r="H55" s="566">
        <v>3.1206624000000001</v>
      </c>
      <c r="I55" s="523">
        <v>8.8187719678234893E-3</v>
      </c>
    </row>
    <row r="56" spans="1:9" ht="11.25" customHeight="1">
      <c r="A56" s="503" t="s">
        <v>487</v>
      </c>
      <c r="B56" s="562">
        <v>4.2432600000000004E-4</v>
      </c>
      <c r="C56" s="563" t="s">
        <v>1407</v>
      </c>
      <c r="D56" s="502">
        <v>500</v>
      </c>
      <c r="E56" s="562" t="s">
        <v>979</v>
      </c>
      <c r="F56" s="562" t="s">
        <v>954</v>
      </c>
      <c r="G56" s="591">
        <v>3.8604149142467709E-2</v>
      </c>
      <c r="H56" s="566">
        <v>1.0002123076923077E-3</v>
      </c>
      <c r="I56" s="523">
        <v>4.2432600000000004E-4</v>
      </c>
    </row>
    <row r="57" spans="1:9" ht="11.25" customHeight="1">
      <c r="A57" s="503" t="s">
        <v>145</v>
      </c>
      <c r="B57" s="562">
        <v>0.75354699999999997</v>
      </c>
      <c r="C57" s="563" t="s">
        <v>1407</v>
      </c>
      <c r="D57" s="502">
        <v>376.29790188679249</v>
      </c>
      <c r="E57" s="562" t="s">
        <v>979</v>
      </c>
      <c r="F57" s="562" t="s">
        <v>954</v>
      </c>
      <c r="G57" s="591">
        <v>376.29790188679249</v>
      </c>
      <c r="H57" s="566">
        <v>8.9161782857142882</v>
      </c>
      <c r="I57" s="523">
        <v>0.75354699999999997</v>
      </c>
    </row>
    <row r="58" spans="1:9" ht="11.25" customHeight="1">
      <c r="A58" s="503" t="s">
        <v>225</v>
      </c>
      <c r="B58" s="562">
        <v>0.5710765000000001</v>
      </c>
      <c r="C58" s="563" t="s">
        <v>1407</v>
      </c>
      <c r="D58" s="502">
        <v>100</v>
      </c>
      <c r="E58" s="562" t="s">
        <v>979</v>
      </c>
      <c r="F58" s="562" t="s">
        <v>954</v>
      </c>
      <c r="G58" s="591">
        <v>204.33995287331547</v>
      </c>
      <c r="H58" s="566" t="s">
        <v>1394</v>
      </c>
      <c r="I58" s="523">
        <v>0.5710765000000001</v>
      </c>
    </row>
    <row r="59" spans="1:9" ht="11.25" customHeight="1">
      <c r="A59" s="503" t="s">
        <v>226</v>
      </c>
      <c r="B59" s="562">
        <v>5.4557034965034959E-2</v>
      </c>
      <c r="C59" s="563" t="s">
        <v>673</v>
      </c>
      <c r="D59" s="502">
        <v>500</v>
      </c>
      <c r="E59" s="562" t="s">
        <v>979</v>
      </c>
      <c r="F59" s="562" t="s">
        <v>954</v>
      </c>
      <c r="G59" s="591">
        <v>2.8246065179655564</v>
      </c>
      <c r="H59" s="566">
        <v>5.4557034965034959E-2</v>
      </c>
      <c r="I59" s="523">
        <v>0.38598300000000002</v>
      </c>
    </row>
    <row r="60" spans="1:9" ht="11.25" customHeight="1">
      <c r="A60" s="503" t="s">
        <v>227</v>
      </c>
      <c r="B60" s="562">
        <v>6.6305000297962491E-2</v>
      </c>
      <c r="C60" s="563" t="s">
        <v>1407</v>
      </c>
      <c r="D60" s="502">
        <v>500</v>
      </c>
      <c r="E60" s="562" t="s">
        <v>979</v>
      </c>
      <c r="F60" s="562" t="s">
        <v>954</v>
      </c>
      <c r="G60" s="591">
        <v>1.1617684070381793</v>
      </c>
      <c r="H60" s="566" t="s">
        <v>954</v>
      </c>
      <c r="I60" s="523">
        <v>6.6305000297962491E-2</v>
      </c>
    </row>
    <row r="61" spans="1:9" ht="11.25" customHeight="1">
      <c r="A61" s="503" t="s">
        <v>361</v>
      </c>
      <c r="B61" s="562">
        <v>2.1784553645811879</v>
      </c>
      <c r="C61" s="563" t="s">
        <v>674</v>
      </c>
      <c r="D61" s="502">
        <v>500</v>
      </c>
      <c r="E61" s="562" t="s">
        <v>979</v>
      </c>
      <c r="F61" s="562" t="s">
        <v>954</v>
      </c>
      <c r="G61" s="591">
        <v>2.1784553645811879</v>
      </c>
      <c r="H61" s="566" t="s">
        <v>954</v>
      </c>
      <c r="I61" s="523">
        <v>63.459004600188678</v>
      </c>
    </row>
    <row r="62" spans="1:9" ht="11.25" customHeight="1">
      <c r="A62" s="503" t="s">
        <v>362</v>
      </c>
      <c r="B62" s="562">
        <v>1.9200322290192162</v>
      </c>
      <c r="C62" s="563" t="s">
        <v>674</v>
      </c>
      <c r="D62" s="502">
        <v>500</v>
      </c>
      <c r="E62" s="562" t="s">
        <v>979</v>
      </c>
      <c r="F62" s="562" t="s">
        <v>954</v>
      </c>
      <c r="G62" s="591">
        <v>1.9200322290192162</v>
      </c>
      <c r="H62" s="566" t="s">
        <v>954</v>
      </c>
      <c r="I62" s="523">
        <v>28.204012872955982</v>
      </c>
    </row>
    <row r="63" spans="1:9" ht="11.25" customHeight="1">
      <c r="A63" s="503" t="s">
        <v>363</v>
      </c>
      <c r="B63" s="562">
        <v>1.8212193250639632</v>
      </c>
      <c r="C63" s="563" t="s">
        <v>674</v>
      </c>
      <c r="D63" s="502">
        <v>1000</v>
      </c>
      <c r="E63" s="562" t="s">
        <v>979</v>
      </c>
      <c r="F63" s="562" t="s">
        <v>954</v>
      </c>
      <c r="G63" s="591">
        <v>1.8212193250639632</v>
      </c>
      <c r="H63" s="566" t="s">
        <v>954</v>
      </c>
      <c r="I63" s="523">
        <v>5.5643503540062893</v>
      </c>
    </row>
    <row r="64" spans="1:9" ht="11.25" customHeight="1">
      <c r="A64" s="503" t="s">
        <v>234</v>
      </c>
      <c r="B64" s="562">
        <v>0.11013705399820803</v>
      </c>
      <c r="C64" s="563" t="s">
        <v>1407</v>
      </c>
      <c r="D64" s="502">
        <v>500</v>
      </c>
      <c r="E64" s="562" t="s">
        <v>979</v>
      </c>
      <c r="F64" s="562" t="s">
        <v>954</v>
      </c>
      <c r="G64" s="591">
        <v>3.8337235773200096</v>
      </c>
      <c r="H64" s="566">
        <v>0.37507961538461537</v>
      </c>
      <c r="I64" s="523">
        <v>0.11013705399820803</v>
      </c>
    </row>
    <row r="65" spans="1:9" ht="11.25" customHeight="1">
      <c r="A65" s="503" t="s">
        <v>235</v>
      </c>
      <c r="B65" s="562">
        <v>2.3081822485207102E-2</v>
      </c>
      <c r="C65" s="563" t="s">
        <v>673</v>
      </c>
      <c r="D65" s="502">
        <v>500</v>
      </c>
      <c r="E65" s="562" t="s">
        <v>979</v>
      </c>
      <c r="F65" s="562" t="s">
        <v>954</v>
      </c>
      <c r="G65" s="591">
        <v>0.50063402707119875</v>
      </c>
      <c r="H65" s="566">
        <v>2.3081822485207102E-2</v>
      </c>
      <c r="I65" s="523">
        <v>7.0110000000000006E-2</v>
      </c>
    </row>
    <row r="66" spans="1:9" ht="11.25" customHeight="1">
      <c r="A66" s="503" t="s">
        <v>294</v>
      </c>
      <c r="B66" s="562">
        <v>1.1666488400000001</v>
      </c>
      <c r="C66" s="563" t="s">
        <v>1407</v>
      </c>
      <c r="D66" s="502">
        <v>500</v>
      </c>
      <c r="E66" s="562" t="s">
        <v>979</v>
      </c>
      <c r="F66" s="562" t="s">
        <v>954</v>
      </c>
      <c r="G66" s="591">
        <v>48.76242864214462</v>
      </c>
      <c r="H66" s="566">
        <v>8.9161782857142882</v>
      </c>
      <c r="I66" s="523">
        <v>1.1666488400000001</v>
      </c>
    </row>
    <row r="67" spans="1:9" ht="11.25" customHeight="1">
      <c r="A67" s="503" t="s">
        <v>295</v>
      </c>
      <c r="B67" s="562">
        <v>1.7832356571428574</v>
      </c>
      <c r="C67" s="563" t="s">
        <v>673</v>
      </c>
      <c r="D67" s="502">
        <v>100</v>
      </c>
      <c r="E67" s="562" t="s">
        <v>979</v>
      </c>
      <c r="F67" s="562" t="s">
        <v>954</v>
      </c>
      <c r="G67" s="591">
        <v>13.091269762884867</v>
      </c>
      <c r="H67" s="566">
        <v>1.7832356571428574</v>
      </c>
      <c r="I67" s="523">
        <v>2.2415610000000004</v>
      </c>
    </row>
    <row r="68" spans="1:9" ht="11.25" customHeight="1">
      <c r="A68" s="503" t="s">
        <v>228</v>
      </c>
      <c r="B68" s="562">
        <v>1.7832356571428574</v>
      </c>
      <c r="C68" s="563" t="s">
        <v>673</v>
      </c>
      <c r="D68" s="502">
        <v>500</v>
      </c>
      <c r="E68" s="562" t="s">
        <v>979</v>
      </c>
      <c r="F68" s="562" t="s">
        <v>954</v>
      </c>
      <c r="G68" s="591">
        <v>15.08165040563425</v>
      </c>
      <c r="H68" s="566">
        <v>1.7832356571428574</v>
      </c>
      <c r="I68" s="523">
        <v>6.4919400000000014</v>
      </c>
    </row>
    <row r="69" spans="1:9" ht="11.25" customHeight="1">
      <c r="A69" s="503" t="s">
        <v>942</v>
      </c>
      <c r="B69" s="562">
        <v>7.3286070299999999E-3</v>
      </c>
      <c r="C69" s="563" t="s">
        <v>1407</v>
      </c>
      <c r="D69" s="502">
        <v>500</v>
      </c>
      <c r="E69" s="562" t="s">
        <v>979</v>
      </c>
      <c r="F69" s="562" t="s">
        <v>954</v>
      </c>
      <c r="G69" s="591">
        <v>37.928207733428785</v>
      </c>
      <c r="H69" s="566" t="s">
        <v>954</v>
      </c>
      <c r="I69" s="523">
        <v>7.3286070299999999E-3</v>
      </c>
    </row>
    <row r="70" spans="1:9" ht="11.25" customHeight="1">
      <c r="A70" s="503" t="s">
        <v>98</v>
      </c>
      <c r="B70" s="562">
        <v>0.34431580715000004</v>
      </c>
      <c r="C70" s="563" t="s">
        <v>1407</v>
      </c>
      <c r="D70" s="502">
        <v>500</v>
      </c>
      <c r="E70" s="562" t="s">
        <v>979</v>
      </c>
      <c r="F70" s="562" t="s">
        <v>954</v>
      </c>
      <c r="G70" s="591">
        <v>139.83692077823397</v>
      </c>
      <c r="H70" s="566" t="s">
        <v>954</v>
      </c>
      <c r="I70" s="523">
        <v>0.34431580715000004</v>
      </c>
    </row>
    <row r="71" spans="1:9" ht="11.25" customHeight="1">
      <c r="A71" s="503" t="s">
        <v>943</v>
      </c>
      <c r="B71" s="562">
        <v>0.13727900000000004</v>
      </c>
      <c r="C71" s="563" t="s">
        <v>1407</v>
      </c>
      <c r="D71" s="502">
        <v>100</v>
      </c>
      <c r="E71" s="562" t="s">
        <v>979</v>
      </c>
      <c r="F71" s="562" t="s">
        <v>954</v>
      </c>
      <c r="G71" s="591">
        <v>2.6265264274451212</v>
      </c>
      <c r="H71" s="566">
        <v>0.1621965904365904</v>
      </c>
      <c r="I71" s="523">
        <v>0.13727900000000004</v>
      </c>
    </row>
    <row r="72" spans="1:9" ht="11.25" customHeight="1">
      <c r="A72" s="503" t="s">
        <v>296</v>
      </c>
      <c r="B72" s="562">
        <v>2.0595252000000001E-3</v>
      </c>
      <c r="C72" s="563" t="s">
        <v>1407</v>
      </c>
      <c r="D72" s="502">
        <v>500</v>
      </c>
      <c r="E72" s="562" t="s">
        <v>979</v>
      </c>
      <c r="F72" s="562" t="s">
        <v>954</v>
      </c>
      <c r="G72" s="591">
        <v>1.9127700817840205</v>
      </c>
      <c r="H72" s="566">
        <v>0.15003184615384613</v>
      </c>
      <c r="I72" s="523">
        <v>2.0595252000000001E-3</v>
      </c>
    </row>
    <row r="73" spans="1:9" ht="11.25" customHeight="1">
      <c r="A73" s="503" t="s">
        <v>944</v>
      </c>
      <c r="B73" s="562">
        <v>2.5285471822285857</v>
      </c>
      <c r="C73" s="563" t="s">
        <v>674</v>
      </c>
      <c r="D73" s="502">
        <v>1000</v>
      </c>
      <c r="E73" s="562" t="s">
        <v>979</v>
      </c>
      <c r="F73" s="562" t="s">
        <v>954</v>
      </c>
      <c r="G73" s="591">
        <v>2.5285471822285857</v>
      </c>
      <c r="H73" s="566" t="s">
        <v>954</v>
      </c>
      <c r="I73" s="523">
        <v>23.524815135188682</v>
      </c>
    </row>
    <row r="74" spans="1:9" ht="11.25" customHeight="1">
      <c r="A74" s="503" t="s">
        <v>945</v>
      </c>
      <c r="B74" s="562">
        <v>3.6576091167000007</v>
      </c>
      <c r="C74" s="563" t="s">
        <v>1407</v>
      </c>
      <c r="D74" s="502">
        <v>500</v>
      </c>
      <c r="E74" s="562" t="s">
        <v>979</v>
      </c>
      <c r="F74" s="562" t="s">
        <v>954</v>
      </c>
      <c r="G74" s="591">
        <v>10114.188728914341</v>
      </c>
      <c r="H74" s="566" t="s">
        <v>954</v>
      </c>
      <c r="I74" s="523">
        <v>3.6576091167000007</v>
      </c>
    </row>
    <row r="75" spans="1:9" ht="11.25" customHeight="1">
      <c r="A75" s="503" t="s">
        <v>947</v>
      </c>
      <c r="B75" s="562">
        <v>9.7973635980000005</v>
      </c>
      <c r="C75" s="563" t="s">
        <v>1407</v>
      </c>
      <c r="D75" s="502">
        <v>100</v>
      </c>
      <c r="E75" s="562" t="s">
        <v>979</v>
      </c>
      <c r="F75" s="562" t="s">
        <v>954</v>
      </c>
      <c r="G75" s="591">
        <v>252.8514983047302</v>
      </c>
      <c r="H75" s="566" t="s">
        <v>954</v>
      </c>
      <c r="I75" s="523">
        <v>9.7973635980000005</v>
      </c>
    </row>
    <row r="76" spans="1:9" ht="11.25" customHeight="1">
      <c r="A76" s="503" t="s">
        <v>946</v>
      </c>
      <c r="B76" s="562">
        <v>25.564716908500003</v>
      </c>
      <c r="C76" s="563" t="s">
        <v>1407</v>
      </c>
      <c r="D76" s="502">
        <v>500</v>
      </c>
      <c r="E76" s="562" t="s">
        <v>979</v>
      </c>
      <c r="F76" s="562" t="s">
        <v>954</v>
      </c>
      <c r="G76" s="591">
        <v>126427.35911142928</v>
      </c>
      <c r="H76" s="566" t="s">
        <v>954</v>
      </c>
      <c r="I76" s="523">
        <v>25.564716908500003</v>
      </c>
    </row>
    <row r="77" spans="1:9" ht="11.25" customHeight="1">
      <c r="A77" s="515" t="s">
        <v>99</v>
      </c>
      <c r="B77" s="562">
        <v>0.11390288252958661</v>
      </c>
      <c r="C77" s="563" t="s">
        <v>1407</v>
      </c>
      <c r="D77" s="502">
        <v>500</v>
      </c>
      <c r="E77" s="562" t="s">
        <v>979</v>
      </c>
      <c r="F77" s="562" t="s">
        <v>954</v>
      </c>
      <c r="G77" s="591">
        <v>1.2642735911142928</v>
      </c>
      <c r="H77" s="566" t="s">
        <v>954</v>
      </c>
      <c r="I77" s="523">
        <v>0.11390288252958661</v>
      </c>
    </row>
    <row r="78" spans="1:9" ht="11.25" customHeight="1">
      <c r="A78" s="503" t="s">
        <v>297</v>
      </c>
      <c r="B78" s="562">
        <v>1.0938546733686003</v>
      </c>
      <c r="C78" s="563" t="s">
        <v>1407</v>
      </c>
      <c r="D78" s="502">
        <v>500</v>
      </c>
      <c r="E78" s="562" t="s">
        <v>979</v>
      </c>
      <c r="F78" s="562" t="s">
        <v>954</v>
      </c>
      <c r="G78" s="591">
        <v>25.285471822285853</v>
      </c>
      <c r="H78" s="566" t="s">
        <v>954</v>
      </c>
      <c r="I78" s="523">
        <v>1.0938546733686003</v>
      </c>
    </row>
    <row r="79" spans="1:9" ht="11.25" customHeight="1">
      <c r="A79" s="515" t="s">
        <v>100</v>
      </c>
      <c r="B79" s="562">
        <v>2.269119700264436E-2</v>
      </c>
      <c r="C79" s="563" t="s">
        <v>1407</v>
      </c>
      <c r="D79" s="502">
        <v>500</v>
      </c>
      <c r="E79" s="562" t="s">
        <v>979</v>
      </c>
      <c r="F79" s="562" t="s">
        <v>954</v>
      </c>
      <c r="G79" s="591">
        <v>1.6790787415094435</v>
      </c>
      <c r="H79" s="566" t="s">
        <v>954</v>
      </c>
      <c r="I79" s="523">
        <v>2.269119700264436E-2</v>
      </c>
    </row>
    <row r="80" spans="1:9" ht="11.25" customHeight="1">
      <c r="A80" s="515" t="s">
        <v>101</v>
      </c>
      <c r="B80" s="562">
        <v>4.7334021984730048E-3</v>
      </c>
      <c r="C80" s="563" t="s">
        <v>1407</v>
      </c>
      <c r="D80" s="502">
        <v>500</v>
      </c>
      <c r="E80" s="562" t="s">
        <v>979</v>
      </c>
      <c r="F80" s="562" t="s">
        <v>954</v>
      </c>
      <c r="G80" s="591">
        <v>0.34934343533368617</v>
      </c>
      <c r="H80" s="566" t="s">
        <v>954</v>
      </c>
      <c r="I80" s="523">
        <v>4.7334021984730048E-3</v>
      </c>
    </row>
    <row r="81" spans="1:9" ht="11.25" customHeight="1">
      <c r="A81" s="503" t="s">
        <v>382</v>
      </c>
      <c r="B81" s="562">
        <v>2.1180688236784579E-4</v>
      </c>
      <c r="C81" s="563" t="s">
        <v>1407</v>
      </c>
      <c r="D81" s="502">
        <v>500</v>
      </c>
      <c r="E81" s="562" t="s">
        <v>979</v>
      </c>
      <c r="F81" s="562" t="s">
        <v>954</v>
      </c>
      <c r="G81" s="591">
        <v>5.2502538570849584</v>
      </c>
      <c r="H81" s="566" t="s">
        <v>1394</v>
      </c>
      <c r="I81" s="523">
        <v>2.1180688236784579E-4</v>
      </c>
    </row>
    <row r="82" spans="1:9" ht="11.25" customHeight="1">
      <c r="A82" s="458" t="s">
        <v>594</v>
      </c>
      <c r="B82" s="562">
        <v>2.4000000000000001E-4</v>
      </c>
      <c r="C82" s="563" t="s">
        <v>674</v>
      </c>
      <c r="D82" s="502">
        <v>1000</v>
      </c>
      <c r="E82" s="562" t="s">
        <v>979</v>
      </c>
      <c r="F82" s="562">
        <v>2.0000000000000002E-5</v>
      </c>
      <c r="G82" s="591">
        <v>2.4000000000000001E-4</v>
      </c>
      <c r="H82" s="566" t="s">
        <v>954</v>
      </c>
      <c r="I82" s="523">
        <v>0.29894007572327047</v>
      </c>
    </row>
    <row r="83" spans="1:9" ht="11.25" customHeight="1">
      <c r="A83" s="503" t="s">
        <v>102</v>
      </c>
      <c r="B83" s="562">
        <v>0.65289899371375337</v>
      </c>
      <c r="C83" s="563" t="s">
        <v>1407</v>
      </c>
      <c r="D83" s="502">
        <v>500</v>
      </c>
      <c r="E83" s="562" t="s">
        <v>979</v>
      </c>
      <c r="F83" s="562" t="s">
        <v>954</v>
      </c>
      <c r="G83" s="591">
        <v>25.285471822285853</v>
      </c>
      <c r="H83" s="566" t="s">
        <v>954</v>
      </c>
      <c r="I83" s="523">
        <v>0.65289899371375337</v>
      </c>
    </row>
    <row r="84" spans="1:9" ht="11.25" customHeight="1">
      <c r="A84" s="503" t="s">
        <v>370</v>
      </c>
      <c r="B84" s="562">
        <v>13.216616117924531</v>
      </c>
      <c r="C84" s="563" t="s">
        <v>1407</v>
      </c>
      <c r="D84" s="502">
        <v>500</v>
      </c>
      <c r="E84" s="562" t="s">
        <v>979</v>
      </c>
      <c r="F84" s="562" t="s">
        <v>954</v>
      </c>
      <c r="G84" s="591">
        <v>93.857142857142861</v>
      </c>
      <c r="H84" s="566" t="s">
        <v>954</v>
      </c>
      <c r="I84" s="523">
        <v>13.216616117924531</v>
      </c>
    </row>
    <row r="85" spans="1:9" ht="11.25" customHeight="1">
      <c r="A85" s="503" t="s">
        <v>337</v>
      </c>
      <c r="B85" s="562">
        <v>3.7928207733428785</v>
      </c>
      <c r="C85" s="563" t="s">
        <v>674</v>
      </c>
      <c r="D85" s="502">
        <v>500</v>
      </c>
      <c r="E85" s="562" t="s">
        <v>979</v>
      </c>
      <c r="F85" s="562" t="s">
        <v>954</v>
      </c>
      <c r="G85" s="591">
        <v>3.7928207733428785</v>
      </c>
      <c r="H85" s="566" t="s">
        <v>954</v>
      </c>
      <c r="I85" s="523">
        <v>30.160012305031447</v>
      </c>
    </row>
    <row r="86" spans="1:9" ht="11.25" customHeight="1">
      <c r="A86" s="503" t="s">
        <v>28</v>
      </c>
      <c r="B86" s="562">
        <v>0</v>
      </c>
      <c r="C86" s="563" t="s">
        <v>1407</v>
      </c>
      <c r="D86" s="502">
        <v>500</v>
      </c>
      <c r="E86" s="562" t="s">
        <v>979</v>
      </c>
      <c r="F86" s="562" t="s">
        <v>954</v>
      </c>
      <c r="G86" s="591" t="s">
        <v>954</v>
      </c>
      <c r="H86" s="566" t="s">
        <v>954</v>
      </c>
      <c r="I86" s="523">
        <v>0</v>
      </c>
    </row>
    <row r="87" spans="1:9" ht="11.25" customHeight="1">
      <c r="A87" s="503" t="s">
        <v>338</v>
      </c>
      <c r="B87" s="562">
        <v>0.89854167000000007</v>
      </c>
      <c r="C87" s="563" t="s">
        <v>1407</v>
      </c>
      <c r="D87" s="502">
        <v>479.48318616352208</v>
      </c>
      <c r="E87" s="562" t="s">
        <v>979</v>
      </c>
      <c r="F87" s="562" t="s">
        <v>954</v>
      </c>
      <c r="G87" s="591">
        <v>62.483630071956853</v>
      </c>
      <c r="H87" s="566">
        <v>24.005095384615387</v>
      </c>
      <c r="I87" s="523">
        <v>0.89854167000000007</v>
      </c>
    </row>
    <row r="88" spans="1:9" ht="11.25" customHeight="1">
      <c r="A88" s="503" t="s">
        <v>339</v>
      </c>
      <c r="B88" s="562">
        <v>86.52801771924527</v>
      </c>
      <c r="C88" s="563" t="s">
        <v>1407</v>
      </c>
      <c r="D88" s="502">
        <v>500</v>
      </c>
      <c r="E88" s="562" t="s">
        <v>979</v>
      </c>
      <c r="F88" s="562" t="s">
        <v>954</v>
      </c>
      <c r="G88" s="591">
        <v>478.19569558367709</v>
      </c>
      <c r="H88" s="566" t="s">
        <v>954</v>
      </c>
      <c r="I88" s="523">
        <v>86.52801771924527</v>
      </c>
    </row>
    <row r="89" spans="1:9" ht="11.25" customHeight="1">
      <c r="A89" s="503" t="s">
        <v>340</v>
      </c>
      <c r="B89" s="562">
        <v>93.052630320000006</v>
      </c>
      <c r="C89" s="563" t="s">
        <v>673</v>
      </c>
      <c r="D89" s="502">
        <v>500</v>
      </c>
      <c r="E89" s="562" t="s">
        <v>979</v>
      </c>
      <c r="F89" s="562" t="s">
        <v>954</v>
      </c>
      <c r="G89" s="591">
        <v>453.94296153544229</v>
      </c>
      <c r="H89" s="566">
        <v>93.052630320000006</v>
      </c>
      <c r="I89" s="523">
        <v>93.052647730188681</v>
      </c>
    </row>
    <row r="90" spans="1:9" ht="11.25" customHeight="1">
      <c r="A90" s="503" t="s">
        <v>103</v>
      </c>
      <c r="B90" s="562">
        <v>244.02000000912432</v>
      </c>
      <c r="C90" s="563" t="s">
        <v>1407</v>
      </c>
      <c r="D90" s="502">
        <v>500</v>
      </c>
      <c r="E90" s="562" t="s">
        <v>979</v>
      </c>
      <c r="F90" s="562" t="s">
        <v>954</v>
      </c>
      <c r="G90" s="591">
        <v>1264.2735911142927</v>
      </c>
      <c r="H90" s="566" t="s">
        <v>954</v>
      </c>
      <c r="I90" s="523">
        <v>244.02000000912432</v>
      </c>
    </row>
    <row r="91" spans="1:9" ht="11.25" customHeight="1">
      <c r="A91" s="503" t="s">
        <v>341</v>
      </c>
      <c r="B91" s="562">
        <v>1.3201258135444218</v>
      </c>
      <c r="C91" s="563" t="s">
        <v>674</v>
      </c>
      <c r="D91" s="502">
        <v>1000</v>
      </c>
      <c r="E91" s="562" t="s">
        <v>979</v>
      </c>
      <c r="F91" s="562" t="s">
        <v>954</v>
      </c>
      <c r="G91" s="591">
        <v>1.3201258135444218</v>
      </c>
      <c r="H91" s="566" t="s">
        <v>954</v>
      </c>
      <c r="I91" s="523">
        <v>44.579208905660373</v>
      </c>
    </row>
    <row r="92" spans="1:9" ht="11.25" customHeight="1">
      <c r="A92" s="503" t="s">
        <v>342</v>
      </c>
      <c r="B92" s="562">
        <v>0.20335714285714288</v>
      </c>
      <c r="C92" s="563" t="s">
        <v>674</v>
      </c>
      <c r="D92" s="502">
        <v>1000</v>
      </c>
      <c r="E92" s="562" t="s">
        <v>979</v>
      </c>
      <c r="F92" s="562" t="s">
        <v>954</v>
      </c>
      <c r="G92" s="591">
        <v>0.20335714285714288</v>
      </c>
      <c r="H92" s="566" t="s">
        <v>954</v>
      </c>
      <c r="I92" s="523">
        <v>12.15203256100629</v>
      </c>
    </row>
    <row r="93" spans="1:9" ht="11.25" customHeight="1">
      <c r="A93" s="503" t="s">
        <v>371</v>
      </c>
      <c r="B93" s="562">
        <v>0.15642857142857144</v>
      </c>
      <c r="C93" s="563" t="s">
        <v>674</v>
      </c>
      <c r="D93" s="502">
        <v>500</v>
      </c>
      <c r="E93" s="562" t="s">
        <v>979</v>
      </c>
      <c r="F93" s="562" t="s">
        <v>954</v>
      </c>
      <c r="G93" s="591">
        <v>0.15642857142857144</v>
      </c>
      <c r="H93" s="566" t="s">
        <v>954</v>
      </c>
      <c r="I93" s="523">
        <v>0.23115615974842768</v>
      </c>
    </row>
    <row r="94" spans="1:9" ht="11.25" customHeight="1">
      <c r="A94" s="503" t="s">
        <v>343</v>
      </c>
      <c r="B94" s="562">
        <v>5.7039308714951532E-2</v>
      </c>
      <c r="C94" s="563" t="s">
        <v>1407</v>
      </c>
      <c r="D94" s="502">
        <v>500</v>
      </c>
      <c r="E94" s="562" t="s">
        <v>979</v>
      </c>
      <c r="F94" s="562" t="s">
        <v>954</v>
      </c>
      <c r="G94" s="591">
        <v>1.2706826027542686</v>
      </c>
      <c r="H94" s="566" t="s">
        <v>954</v>
      </c>
      <c r="I94" s="523">
        <v>5.7039308714951532E-2</v>
      </c>
    </row>
    <row r="95" spans="1:9" ht="11.25" customHeight="1">
      <c r="A95" s="503" t="s">
        <v>364</v>
      </c>
      <c r="B95" s="562">
        <v>2.9357600309100004E-2</v>
      </c>
      <c r="C95" s="563" t="s">
        <v>1407</v>
      </c>
      <c r="D95" s="502">
        <v>500</v>
      </c>
      <c r="E95" s="562" t="s">
        <v>979</v>
      </c>
      <c r="F95" s="562" t="s">
        <v>954</v>
      </c>
      <c r="G95" s="591">
        <v>0.54847786239896112</v>
      </c>
      <c r="H95" s="566" t="s">
        <v>954</v>
      </c>
      <c r="I95" s="523">
        <v>2.9357600309100004E-2</v>
      </c>
    </row>
    <row r="96" spans="1:9" ht="11.25" customHeight="1">
      <c r="A96" s="503" t="s">
        <v>344</v>
      </c>
      <c r="B96" s="562">
        <v>5.234465758665742E-2</v>
      </c>
      <c r="C96" s="563" t="s">
        <v>1407</v>
      </c>
      <c r="D96" s="502">
        <v>500</v>
      </c>
      <c r="E96" s="562" t="s">
        <v>979</v>
      </c>
      <c r="F96" s="562" t="s">
        <v>954</v>
      </c>
      <c r="G96" s="591">
        <v>1.9583143021736595</v>
      </c>
      <c r="H96" s="566" t="s">
        <v>954</v>
      </c>
      <c r="I96" s="523">
        <v>5.234465758665742E-2</v>
      </c>
    </row>
    <row r="97" spans="1:9" ht="11.25" customHeight="1">
      <c r="A97" s="503" t="s">
        <v>104</v>
      </c>
      <c r="B97" s="562">
        <v>13.830187233223306</v>
      </c>
      <c r="C97" s="563" t="s">
        <v>1407</v>
      </c>
      <c r="D97" s="502">
        <v>500</v>
      </c>
      <c r="E97" s="562" t="s">
        <v>979</v>
      </c>
      <c r="F97" s="562" t="s">
        <v>954</v>
      </c>
      <c r="G97" s="591">
        <v>417.2102850677166</v>
      </c>
      <c r="H97" s="566" t="s">
        <v>954</v>
      </c>
      <c r="I97" s="523">
        <v>13.830187233223306</v>
      </c>
    </row>
    <row r="98" spans="1:9" ht="11.25" customHeight="1">
      <c r="A98" s="503" t="s">
        <v>345</v>
      </c>
      <c r="B98" s="562">
        <v>5.7271199946873086</v>
      </c>
      <c r="C98" s="563" t="s">
        <v>1407</v>
      </c>
      <c r="D98" s="502">
        <v>500</v>
      </c>
      <c r="E98" s="562" t="s">
        <v>979</v>
      </c>
      <c r="F98" s="562" t="s">
        <v>954</v>
      </c>
      <c r="G98" s="591">
        <v>11.285807709958021</v>
      </c>
      <c r="H98" s="566" t="s">
        <v>954</v>
      </c>
      <c r="I98" s="523">
        <v>5.7271199946873086</v>
      </c>
    </row>
    <row r="99" spans="1:9" ht="11.25" customHeight="1">
      <c r="A99" s="503" t="s">
        <v>105</v>
      </c>
      <c r="B99" s="562">
        <v>0.84557395441387007</v>
      </c>
      <c r="C99" s="563" t="s">
        <v>1407</v>
      </c>
      <c r="D99" s="502">
        <v>500</v>
      </c>
      <c r="E99" s="562" t="s">
        <v>979</v>
      </c>
      <c r="F99" s="562" t="s">
        <v>954</v>
      </c>
      <c r="G99" s="591">
        <v>550.36828362211691</v>
      </c>
      <c r="H99" s="566" t="s">
        <v>954</v>
      </c>
      <c r="I99" s="523">
        <v>0.84557395441387007</v>
      </c>
    </row>
    <row r="100" spans="1:9" ht="11.25" customHeight="1">
      <c r="A100" s="503" t="s">
        <v>346</v>
      </c>
      <c r="B100" s="562">
        <v>200</v>
      </c>
      <c r="C100" s="563" t="s">
        <v>674</v>
      </c>
      <c r="D100" s="502">
        <v>1000</v>
      </c>
      <c r="E100" s="562" t="s">
        <v>979</v>
      </c>
      <c r="F100" s="562">
        <v>73</v>
      </c>
      <c r="G100" s="591">
        <v>200</v>
      </c>
      <c r="H100" s="566" t="s">
        <v>954</v>
      </c>
      <c r="I100" s="523" t="s">
        <v>1408</v>
      </c>
    </row>
    <row r="101" spans="1:9" ht="11.25" customHeight="1">
      <c r="A101" s="503" t="s">
        <v>347</v>
      </c>
      <c r="B101" s="562">
        <v>4.6925983598593568</v>
      </c>
      <c r="C101" s="563" t="s">
        <v>674</v>
      </c>
      <c r="D101" s="502">
        <v>500</v>
      </c>
      <c r="E101" s="562" t="s">
        <v>979</v>
      </c>
      <c r="F101" s="562">
        <v>0.72</v>
      </c>
      <c r="G101" s="591">
        <v>4.6925983598593568</v>
      </c>
      <c r="H101" s="566" t="s">
        <v>954</v>
      </c>
      <c r="I101" s="523" t="s">
        <v>1408</v>
      </c>
    </row>
    <row r="102" spans="1:9" ht="11.25" customHeight="1">
      <c r="A102" s="503" t="s">
        <v>348</v>
      </c>
      <c r="B102" s="562">
        <v>16.144000157125785</v>
      </c>
      <c r="C102" s="563" t="s">
        <v>1407</v>
      </c>
      <c r="D102" s="502">
        <v>500</v>
      </c>
      <c r="E102" s="562" t="s">
        <v>979</v>
      </c>
      <c r="F102" s="562" t="s">
        <v>954</v>
      </c>
      <c r="G102" s="591">
        <v>63.213679555714634</v>
      </c>
      <c r="H102" s="566" t="s">
        <v>954</v>
      </c>
      <c r="I102" s="523">
        <v>16.144000157125785</v>
      </c>
    </row>
    <row r="103" spans="1:9" ht="11.25" customHeight="1">
      <c r="A103" s="503" t="s">
        <v>350</v>
      </c>
      <c r="B103" s="562">
        <v>9.2606555999999998</v>
      </c>
      <c r="C103" s="563" t="s">
        <v>1407</v>
      </c>
      <c r="D103" s="502">
        <v>500</v>
      </c>
      <c r="E103" s="562" t="s">
        <v>979</v>
      </c>
      <c r="F103" s="562" t="s">
        <v>954</v>
      </c>
      <c r="G103" s="591">
        <v>5607.4340205591161</v>
      </c>
      <c r="H103" s="566">
        <v>2229.044571428572</v>
      </c>
      <c r="I103" s="523">
        <v>9.2606555999999998</v>
      </c>
    </row>
    <row r="104" spans="1:9" ht="11.25" customHeight="1">
      <c r="A104" s="503" t="s">
        <v>351</v>
      </c>
      <c r="B104" s="562">
        <v>0.50329860000000004</v>
      </c>
      <c r="C104" s="563" t="s">
        <v>1407</v>
      </c>
      <c r="D104" s="502">
        <v>100</v>
      </c>
      <c r="E104" s="562" t="s">
        <v>979</v>
      </c>
      <c r="F104" s="562" t="s">
        <v>954</v>
      </c>
      <c r="G104" s="591">
        <v>3356.5423899371067</v>
      </c>
      <c r="H104" s="566">
        <v>1337.4267428571429</v>
      </c>
      <c r="I104" s="523">
        <v>0.50329860000000004</v>
      </c>
    </row>
    <row r="105" spans="1:9" ht="11.25" customHeight="1">
      <c r="A105" s="503" t="s">
        <v>352</v>
      </c>
      <c r="B105" s="562">
        <v>1.5642857142857143</v>
      </c>
      <c r="C105" s="563" t="s">
        <v>674</v>
      </c>
      <c r="D105" s="502">
        <v>100</v>
      </c>
      <c r="E105" s="562" t="s">
        <v>979</v>
      </c>
      <c r="F105" s="562" t="s">
        <v>954</v>
      </c>
      <c r="G105" s="591">
        <v>1.5642857142857143</v>
      </c>
      <c r="H105" s="566" t="s">
        <v>954</v>
      </c>
      <c r="I105" s="523" t="s">
        <v>1408</v>
      </c>
    </row>
    <row r="106" spans="1:9" ht="11.25" customHeight="1">
      <c r="A106" s="503" t="s">
        <v>353</v>
      </c>
      <c r="B106" s="562">
        <v>2.7905450000000002E-2</v>
      </c>
      <c r="C106" s="563" t="s">
        <v>1407</v>
      </c>
      <c r="D106" s="502">
        <v>100</v>
      </c>
      <c r="E106" s="562" t="s">
        <v>979</v>
      </c>
      <c r="F106" s="562" t="s">
        <v>954</v>
      </c>
      <c r="G106" s="591">
        <v>49.897973388145594</v>
      </c>
      <c r="H106" s="566">
        <v>2.3081822485207097</v>
      </c>
      <c r="I106" s="523">
        <v>2.7905450000000002E-2</v>
      </c>
    </row>
    <row r="107" spans="1:9" ht="11.25" customHeight="1">
      <c r="A107" s="503" t="s">
        <v>349</v>
      </c>
      <c r="B107" s="562">
        <v>0.12045140000000001</v>
      </c>
      <c r="C107" s="563" t="s">
        <v>1407</v>
      </c>
      <c r="D107" s="502">
        <v>500</v>
      </c>
      <c r="E107" s="562" t="s">
        <v>979</v>
      </c>
      <c r="F107" s="562" t="s">
        <v>954</v>
      </c>
      <c r="G107" s="591">
        <v>57.608321104047015</v>
      </c>
      <c r="H107" s="566">
        <v>21.671266666666664</v>
      </c>
      <c r="I107" s="523">
        <v>0.12045140000000001</v>
      </c>
    </row>
    <row r="108" spans="1:9" ht="11.25" customHeight="1">
      <c r="A108" s="458" t="s">
        <v>590</v>
      </c>
      <c r="B108" s="562">
        <v>0.88790849700000019</v>
      </c>
      <c r="C108" s="563" t="s">
        <v>1407</v>
      </c>
      <c r="D108" s="502">
        <v>500</v>
      </c>
      <c r="E108" s="562" t="s">
        <v>979</v>
      </c>
      <c r="F108" s="562" t="s">
        <v>954</v>
      </c>
      <c r="G108" s="591">
        <v>169.01743569313257</v>
      </c>
      <c r="H108" s="566">
        <v>394.015536</v>
      </c>
      <c r="I108" s="523">
        <v>0.88790849700000019</v>
      </c>
    </row>
    <row r="109" spans="1:9" ht="11.25" customHeight="1">
      <c r="A109" s="458" t="s">
        <v>591</v>
      </c>
      <c r="B109" s="562">
        <v>1.9485055080000002</v>
      </c>
      <c r="C109" s="563" t="s">
        <v>1407</v>
      </c>
      <c r="D109" s="502">
        <v>500</v>
      </c>
      <c r="E109" s="562" t="s">
        <v>979</v>
      </c>
      <c r="F109" s="562" t="s">
        <v>954</v>
      </c>
      <c r="G109" s="591">
        <v>38.017884706403599</v>
      </c>
      <c r="H109" s="566">
        <v>43.956236800788616</v>
      </c>
      <c r="I109" s="523">
        <v>1.9485055080000002</v>
      </c>
    </row>
    <row r="110" spans="1:9" ht="11.25" customHeight="1">
      <c r="A110" s="503" t="s">
        <v>465</v>
      </c>
      <c r="B110" s="562">
        <v>78.203503981200072</v>
      </c>
      <c r="C110" s="563" t="s">
        <v>674</v>
      </c>
      <c r="D110" s="502">
        <v>1000</v>
      </c>
      <c r="E110" s="562" t="s">
        <v>979</v>
      </c>
      <c r="F110" s="562">
        <v>4</v>
      </c>
      <c r="G110" s="591">
        <v>78.203503981200072</v>
      </c>
      <c r="H110" s="566" t="s">
        <v>954</v>
      </c>
      <c r="I110" s="523" t="s">
        <v>1408</v>
      </c>
    </row>
    <row r="111" spans="1:9" ht="11.25" customHeight="1">
      <c r="A111" s="503" t="s">
        <v>466</v>
      </c>
      <c r="B111" s="562">
        <v>3.1084209600000006</v>
      </c>
      <c r="C111" s="563" t="s">
        <v>1407</v>
      </c>
      <c r="D111" s="502">
        <v>500</v>
      </c>
      <c r="E111" s="562" t="s">
        <v>979</v>
      </c>
      <c r="F111" s="562" t="s">
        <v>954</v>
      </c>
      <c r="G111" s="591">
        <v>20.639007337759541</v>
      </c>
      <c r="H111" s="566">
        <v>6.9968054941286626</v>
      </c>
      <c r="I111" s="523">
        <v>3.1084209600000006</v>
      </c>
    </row>
    <row r="112" spans="1:9" ht="11.25" customHeight="1">
      <c r="A112" s="503" t="s">
        <v>812</v>
      </c>
      <c r="B112" s="562">
        <v>410</v>
      </c>
      <c r="C112" s="563" t="s">
        <v>380</v>
      </c>
      <c r="D112" s="502">
        <v>1000</v>
      </c>
      <c r="E112" s="562" t="s">
        <v>979</v>
      </c>
      <c r="F112" s="562">
        <v>410</v>
      </c>
      <c r="G112" s="591">
        <v>124.37096748749823</v>
      </c>
      <c r="H112" s="566" t="s">
        <v>954</v>
      </c>
      <c r="I112" s="523" t="s">
        <v>1408</v>
      </c>
    </row>
    <row r="113" spans="1:9" ht="11.25" customHeight="1">
      <c r="A113" s="515" t="s">
        <v>106</v>
      </c>
      <c r="B113" s="562">
        <v>5.2969035846153843E-3</v>
      </c>
      <c r="C113" s="563" t="s">
        <v>1407</v>
      </c>
      <c r="D113" s="502">
        <v>500</v>
      </c>
      <c r="E113" s="562" t="s">
        <v>979</v>
      </c>
      <c r="F113" s="562" t="s">
        <v>954</v>
      </c>
      <c r="G113" s="591">
        <v>5.5889478096309899</v>
      </c>
      <c r="H113" s="566" t="s">
        <v>1394</v>
      </c>
      <c r="I113" s="523">
        <v>5.2969035846153843E-3</v>
      </c>
    </row>
    <row r="114" spans="1:9" ht="11.25" customHeight="1">
      <c r="A114" s="515" t="s">
        <v>107</v>
      </c>
      <c r="B114" s="562">
        <v>3.7681671223082684E-2</v>
      </c>
      <c r="C114" s="563" t="s">
        <v>1407</v>
      </c>
      <c r="D114" s="502">
        <v>500</v>
      </c>
      <c r="E114" s="562" t="s">
        <v>979</v>
      </c>
      <c r="F114" s="562" t="s">
        <v>954</v>
      </c>
      <c r="G114" s="591">
        <v>1.2642735911142928</v>
      </c>
      <c r="H114" s="566" t="s">
        <v>954</v>
      </c>
      <c r="I114" s="523">
        <v>3.7681671223082684E-2</v>
      </c>
    </row>
    <row r="115" spans="1:9" ht="11.25" customHeight="1">
      <c r="A115" s="515" t="s">
        <v>108</v>
      </c>
      <c r="B115" s="562">
        <v>1.9352072001757988E-2</v>
      </c>
      <c r="C115" s="563" t="s">
        <v>1407</v>
      </c>
      <c r="D115" s="502">
        <v>500</v>
      </c>
      <c r="E115" s="562" t="s">
        <v>979</v>
      </c>
      <c r="F115" s="562" t="s">
        <v>954</v>
      </c>
      <c r="G115" s="591">
        <v>3.0562200956937802</v>
      </c>
      <c r="H115" s="566" t="s">
        <v>1394</v>
      </c>
      <c r="I115" s="523">
        <v>1.9352072001757988E-2</v>
      </c>
    </row>
    <row r="116" spans="1:9" ht="11.25" customHeight="1">
      <c r="A116" s="515" t="s">
        <v>109</v>
      </c>
      <c r="B116" s="562">
        <v>0.10551143478583302</v>
      </c>
      <c r="C116" s="563" t="s">
        <v>1407</v>
      </c>
      <c r="D116" s="502">
        <v>500</v>
      </c>
      <c r="E116" s="562" t="s">
        <v>979</v>
      </c>
      <c r="F116" s="562" t="s">
        <v>954</v>
      </c>
      <c r="G116" s="591">
        <v>1.2642735911142928</v>
      </c>
      <c r="H116" s="566" t="s">
        <v>954</v>
      </c>
      <c r="I116" s="523">
        <v>0.10551143478583302</v>
      </c>
    </row>
    <row r="117" spans="1:9" ht="11.25" customHeight="1">
      <c r="A117" s="515" t="s">
        <v>110</v>
      </c>
      <c r="B117" s="562">
        <v>0.25732313665072937</v>
      </c>
      <c r="C117" s="563" t="s">
        <v>1407</v>
      </c>
      <c r="D117" s="502">
        <v>500</v>
      </c>
      <c r="E117" s="562" t="s">
        <v>979</v>
      </c>
      <c r="F117" s="562" t="s">
        <v>954</v>
      </c>
      <c r="G117" s="591">
        <v>32.678116840063197</v>
      </c>
      <c r="H117" s="566" t="s">
        <v>954</v>
      </c>
      <c r="I117" s="523">
        <v>0.25732313665072937</v>
      </c>
    </row>
    <row r="118" spans="1:9" ht="11.25" customHeight="1">
      <c r="A118" s="503" t="s">
        <v>467</v>
      </c>
      <c r="B118" s="562">
        <v>9.8272155175000014E-2</v>
      </c>
      <c r="C118" s="563" t="s">
        <v>1407</v>
      </c>
      <c r="D118" s="502">
        <v>500</v>
      </c>
      <c r="E118" s="562" t="s">
        <v>979</v>
      </c>
      <c r="F118" s="562" t="s">
        <v>954</v>
      </c>
      <c r="G118" s="591">
        <v>0.98017273127524474</v>
      </c>
      <c r="H118" s="566" t="s">
        <v>954</v>
      </c>
      <c r="I118" s="523">
        <v>9.8272155175000014E-2</v>
      </c>
    </row>
    <row r="119" spans="1:9" ht="11.25" customHeight="1">
      <c r="A119" s="515" t="s">
        <v>111</v>
      </c>
      <c r="B119" s="562">
        <v>1.8641365089917386</v>
      </c>
      <c r="C119" s="563" t="s">
        <v>1407</v>
      </c>
      <c r="D119" s="502">
        <v>500</v>
      </c>
      <c r="E119" s="562" t="s">
        <v>979</v>
      </c>
      <c r="F119" s="562" t="s">
        <v>954</v>
      </c>
      <c r="G119" s="591">
        <v>113.78462320028632</v>
      </c>
      <c r="H119" s="566" t="s">
        <v>954</v>
      </c>
      <c r="I119" s="523">
        <v>1.8641365089917386</v>
      </c>
    </row>
    <row r="120" spans="1:9" ht="11.25" customHeight="1">
      <c r="A120" s="503" t="s">
        <v>231</v>
      </c>
      <c r="B120" s="562">
        <v>7.0000000000000001E-3</v>
      </c>
      <c r="C120" s="563" t="s">
        <v>1407</v>
      </c>
      <c r="D120" s="502">
        <v>1000</v>
      </c>
      <c r="E120" s="562" t="s">
        <v>979</v>
      </c>
      <c r="F120" s="562" t="s">
        <v>954</v>
      </c>
      <c r="G120" s="591">
        <v>10.95</v>
      </c>
      <c r="H120" s="566" t="s">
        <v>954</v>
      </c>
      <c r="I120" s="523">
        <v>7.0000000000000001E-3</v>
      </c>
    </row>
    <row r="121" spans="1:9" ht="11.25" customHeight="1">
      <c r="A121" s="503" t="s">
        <v>468</v>
      </c>
      <c r="B121" s="562">
        <v>68.625848705509426</v>
      </c>
      <c r="C121" s="563" t="s">
        <v>1407</v>
      </c>
      <c r="D121" s="502">
        <v>500</v>
      </c>
      <c r="E121" s="562" t="s">
        <v>979</v>
      </c>
      <c r="F121" s="562" t="s">
        <v>954</v>
      </c>
      <c r="G121" s="591">
        <v>463.04414452751359</v>
      </c>
      <c r="H121" s="566" t="s">
        <v>1394</v>
      </c>
      <c r="I121" s="523">
        <v>68.625848705509426</v>
      </c>
    </row>
    <row r="122" spans="1:9" ht="11.25" customHeight="1">
      <c r="A122" s="503" t="s">
        <v>469</v>
      </c>
      <c r="B122" s="562">
        <v>1.80248040198</v>
      </c>
      <c r="C122" s="563" t="s">
        <v>1407</v>
      </c>
      <c r="D122" s="502">
        <v>500</v>
      </c>
      <c r="E122" s="562" t="s">
        <v>979</v>
      </c>
      <c r="F122" s="562" t="s">
        <v>954</v>
      </c>
      <c r="G122" s="591">
        <v>3792.5672185128146</v>
      </c>
      <c r="H122" s="566" t="s">
        <v>954</v>
      </c>
      <c r="I122" s="523">
        <v>1.80248040198</v>
      </c>
    </row>
    <row r="123" spans="1:9" ht="11.25" customHeight="1">
      <c r="A123" s="503" t="s">
        <v>365</v>
      </c>
      <c r="B123" s="562">
        <v>1.1741947383207836</v>
      </c>
      <c r="C123" s="563" t="s">
        <v>674</v>
      </c>
      <c r="D123" s="502">
        <v>500</v>
      </c>
      <c r="E123" s="562" t="s">
        <v>979</v>
      </c>
      <c r="F123" s="562" t="s">
        <v>954</v>
      </c>
      <c r="G123" s="591">
        <v>1.1741947383207836</v>
      </c>
      <c r="H123" s="566" t="s">
        <v>954</v>
      </c>
      <c r="I123" s="523">
        <v>33.673397683018869</v>
      </c>
    </row>
    <row r="124" spans="1:9" ht="11.25" customHeight="1">
      <c r="A124" s="503" t="s">
        <v>112</v>
      </c>
      <c r="B124" s="562">
        <v>24.538121002430501</v>
      </c>
      <c r="C124" s="563" t="s">
        <v>1407</v>
      </c>
      <c r="D124" s="502">
        <v>500</v>
      </c>
      <c r="E124" s="562" t="s">
        <v>979</v>
      </c>
      <c r="F124" s="562" t="s">
        <v>954</v>
      </c>
      <c r="G124" s="591">
        <v>1264.2735911142927</v>
      </c>
      <c r="H124" s="566" t="s">
        <v>954</v>
      </c>
      <c r="I124" s="523">
        <v>24.538121002430501</v>
      </c>
    </row>
    <row r="125" spans="1:9" ht="11.25" customHeight="1">
      <c r="A125" s="503" t="s">
        <v>470</v>
      </c>
      <c r="B125" s="562">
        <v>44.028912348000006</v>
      </c>
      <c r="C125" s="563" t="s">
        <v>673</v>
      </c>
      <c r="D125" s="502">
        <v>500</v>
      </c>
      <c r="E125" s="562" t="s">
        <v>979</v>
      </c>
      <c r="F125" s="562" t="s">
        <v>954</v>
      </c>
      <c r="G125" s="591">
        <v>356.36905187830342</v>
      </c>
      <c r="H125" s="566">
        <v>44.028912348000006</v>
      </c>
      <c r="I125" s="523">
        <v>44.028912522735858</v>
      </c>
    </row>
    <row r="126" spans="1:9" ht="11.25" customHeight="1">
      <c r="A126" s="503" t="s">
        <v>471</v>
      </c>
      <c r="B126" s="562">
        <v>78.213207407198283</v>
      </c>
      <c r="C126" s="563" t="s">
        <v>674</v>
      </c>
      <c r="D126" s="502">
        <v>1000</v>
      </c>
      <c r="E126" s="562" t="s">
        <v>979</v>
      </c>
      <c r="F126" s="562">
        <v>7.1</v>
      </c>
      <c r="G126" s="591">
        <v>78.213207407198283</v>
      </c>
      <c r="H126" s="566" t="s">
        <v>954</v>
      </c>
      <c r="I126" s="523" t="s">
        <v>1408</v>
      </c>
    </row>
    <row r="127" spans="1:9" ht="11.25" customHeight="1">
      <c r="A127" s="503" t="s">
        <v>813</v>
      </c>
      <c r="B127" s="562">
        <v>78.214285714285708</v>
      </c>
      <c r="C127" s="563" t="s">
        <v>674</v>
      </c>
      <c r="D127" s="502">
        <v>1000</v>
      </c>
      <c r="E127" s="562" t="s">
        <v>979</v>
      </c>
      <c r="F127" s="562">
        <v>1.5</v>
      </c>
      <c r="G127" s="591">
        <v>78.214285714285708</v>
      </c>
      <c r="H127" s="566" t="s">
        <v>954</v>
      </c>
      <c r="I127" s="523" t="s">
        <v>1408</v>
      </c>
    </row>
    <row r="128" spans="1:9" ht="11.25" customHeight="1">
      <c r="A128" s="503" t="s">
        <v>113</v>
      </c>
      <c r="B128" s="562">
        <v>9.7276023338320014E-2</v>
      </c>
      <c r="C128" s="563" t="s">
        <v>1407</v>
      </c>
      <c r="D128" s="502">
        <v>500</v>
      </c>
      <c r="E128" s="562" t="s">
        <v>979</v>
      </c>
      <c r="F128" s="562" t="s">
        <v>954</v>
      </c>
      <c r="G128" s="591">
        <v>4.3570822453417595</v>
      </c>
      <c r="H128" s="566" t="s">
        <v>954</v>
      </c>
      <c r="I128" s="523">
        <v>9.7276023338320014E-2</v>
      </c>
    </row>
    <row r="129" spans="1:181" ht="11.25" customHeight="1">
      <c r="A129" s="503" t="s">
        <v>472</v>
      </c>
      <c r="B129" s="562">
        <v>0.91432200000000019</v>
      </c>
      <c r="C129" s="563" t="s">
        <v>1407</v>
      </c>
      <c r="D129" s="502">
        <v>500</v>
      </c>
      <c r="E129" s="562" t="s">
        <v>979</v>
      </c>
      <c r="F129" s="562" t="s">
        <v>954</v>
      </c>
      <c r="G129" s="591">
        <v>867.20140880503141</v>
      </c>
      <c r="H129" s="566">
        <v>445.80891428571431</v>
      </c>
      <c r="I129" s="523">
        <v>0.91432200000000019</v>
      </c>
    </row>
    <row r="130" spans="1:181" ht="11.25" customHeight="1">
      <c r="A130" s="503" t="s">
        <v>114</v>
      </c>
      <c r="B130" s="562">
        <v>2.0901222739155294</v>
      </c>
      <c r="C130" s="563" t="s">
        <v>1407</v>
      </c>
      <c r="D130" s="502">
        <v>500</v>
      </c>
      <c r="E130" s="562" t="s">
        <v>979</v>
      </c>
      <c r="F130" s="562" t="s">
        <v>954</v>
      </c>
      <c r="G130" s="591">
        <v>164.35556684485806</v>
      </c>
      <c r="H130" s="566" t="s">
        <v>954</v>
      </c>
      <c r="I130" s="523">
        <v>2.0901222739155294</v>
      </c>
    </row>
    <row r="131" spans="1:181" ht="11.25" customHeight="1">
      <c r="A131" s="503" t="s">
        <v>19</v>
      </c>
      <c r="B131" s="562">
        <v>2.4113324940447382E-2</v>
      </c>
      <c r="C131" s="563" t="s">
        <v>1407</v>
      </c>
      <c r="D131" s="502">
        <v>100</v>
      </c>
      <c r="E131" s="562" t="s">
        <v>979</v>
      </c>
      <c r="F131" s="562" t="s">
        <v>954</v>
      </c>
      <c r="G131" s="591">
        <v>1344.7368421052633</v>
      </c>
      <c r="H131" s="566" t="s">
        <v>1394</v>
      </c>
      <c r="I131" s="523">
        <v>2.4113324940447382E-2</v>
      </c>
    </row>
    <row r="132" spans="1:181" ht="11.25" customHeight="1">
      <c r="A132" s="503" t="s">
        <v>473</v>
      </c>
      <c r="B132" s="562">
        <v>1.7095309911576071E-2</v>
      </c>
      <c r="C132" s="563" t="s">
        <v>1407</v>
      </c>
      <c r="D132" s="502">
        <v>100</v>
      </c>
      <c r="E132" s="562" t="s">
        <v>979</v>
      </c>
      <c r="F132" s="562" t="s">
        <v>954</v>
      </c>
      <c r="G132" s="591">
        <v>2.1697025011683992</v>
      </c>
      <c r="H132" s="566" t="s">
        <v>1394</v>
      </c>
      <c r="I132" s="523">
        <v>1.7095309911576071E-2</v>
      </c>
    </row>
    <row r="133" spans="1:181" ht="11.25" customHeight="1">
      <c r="A133" s="503" t="s">
        <v>474</v>
      </c>
      <c r="B133" s="562">
        <v>1.3675892937646469E-3</v>
      </c>
      <c r="C133" s="563" t="s">
        <v>1407</v>
      </c>
      <c r="D133" s="502">
        <v>500</v>
      </c>
      <c r="E133" s="562" t="s">
        <v>979</v>
      </c>
      <c r="F133" s="562" t="s">
        <v>954</v>
      </c>
      <c r="G133" s="591">
        <v>0.64236269696443038</v>
      </c>
      <c r="H133" s="566">
        <v>1.0347023872679044E-2</v>
      </c>
      <c r="I133" s="523">
        <v>1.3675892937646469E-3</v>
      </c>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row>
    <row r="134" spans="1:181" ht="11.25" customHeight="1">
      <c r="A134" s="503" t="s">
        <v>475</v>
      </c>
      <c r="B134" s="562">
        <v>9.8381538461538437E-2</v>
      </c>
      <c r="C134" s="563" t="s">
        <v>673</v>
      </c>
      <c r="D134" s="502">
        <v>166.02402867924528</v>
      </c>
      <c r="E134" s="562" t="s">
        <v>979</v>
      </c>
      <c r="F134" s="562" t="s">
        <v>954</v>
      </c>
      <c r="G134" s="591">
        <v>1.1398717475371951</v>
      </c>
      <c r="H134" s="566">
        <v>9.8381538461538437E-2</v>
      </c>
      <c r="I134" s="523">
        <v>0.63743019999999995</v>
      </c>
    </row>
    <row r="135" spans="1:181" ht="11.25" customHeight="1">
      <c r="A135" s="503" t="s">
        <v>115</v>
      </c>
      <c r="B135" s="562">
        <v>5.5841545920000006E-2</v>
      </c>
      <c r="C135" s="563" t="s">
        <v>1407</v>
      </c>
      <c r="D135" s="502">
        <v>500</v>
      </c>
      <c r="E135" s="562" t="s">
        <v>979</v>
      </c>
      <c r="F135" s="562" t="s">
        <v>954</v>
      </c>
      <c r="G135" s="591">
        <v>379.28207733428781</v>
      </c>
      <c r="H135" s="566" t="s">
        <v>954</v>
      </c>
      <c r="I135" s="523">
        <v>5.5841545920000006E-2</v>
      </c>
    </row>
    <row r="136" spans="1:181" ht="11.25" customHeight="1">
      <c r="A136" s="515" t="s">
        <v>116</v>
      </c>
      <c r="B136" s="562">
        <v>19.414033188019804</v>
      </c>
      <c r="C136" s="563" t="s">
        <v>1407</v>
      </c>
      <c r="D136" s="502">
        <v>500</v>
      </c>
      <c r="E136" s="562" t="s">
        <v>979</v>
      </c>
      <c r="F136" s="562" t="s">
        <v>954</v>
      </c>
      <c r="G136" s="591">
        <v>771.16303781051113</v>
      </c>
      <c r="H136" s="566" t="s">
        <v>954</v>
      </c>
      <c r="I136" s="523">
        <v>19.414033188019804</v>
      </c>
    </row>
    <row r="137" spans="1:181" ht="11.25" customHeight="1">
      <c r="A137" s="503" t="s">
        <v>476</v>
      </c>
      <c r="B137" s="562">
        <v>0.78214285714285714</v>
      </c>
      <c r="C137" s="563" t="s">
        <v>674</v>
      </c>
      <c r="D137" s="502">
        <v>1000</v>
      </c>
      <c r="E137" s="562" t="s">
        <v>979</v>
      </c>
      <c r="F137" s="562">
        <v>0.25</v>
      </c>
      <c r="G137" s="591">
        <v>0.78214285714285714</v>
      </c>
      <c r="H137" s="566" t="s">
        <v>954</v>
      </c>
      <c r="I137" s="523" t="s">
        <v>1408</v>
      </c>
    </row>
    <row r="138" spans="1:181" ht="11.25" customHeight="1">
      <c r="A138" s="503" t="s">
        <v>366</v>
      </c>
      <c r="B138" s="562">
        <v>0.78197728000000011</v>
      </c>
      <c r="C138" s="563" t="s">
        <v>1407</v>
      </c>
      <c r="D138" s="502">
        <v>500</v>
      </c>
      <c r="E138" s="562" t="s">
        <v>979</v>
      </c>
      <c r="F138" s="562" t="s">
        <v>954</v>
      </c>
      <c r="G138" s="591">
        <v>817.67394716981141</v>
      </c>
      <c r="H138" s="566">
        <v>817.29880000000014</v>
      </c>
      <c r="I138" s="523">
        <v>0.78197728000000011</v>
      </c>
    </row>
    <row r="139" spans="1:181" ht="11.25" customHeight="1">
      <c r="A139" s="503" t="s">
        <v>20</v>
      </c>
      <c r="B139" s="562">
        <v>0.47529913041323968</v>
      </c>
      <c r="C139" s="563" t="s">
        <v>674</v>
      </c>
      <c r="D139" s="502">
        <v>500</v>
      </c>
      <c r="E139" s="562" t="s">
        <v>979</v>
      </c>
      <c r="F139" s="562" t="s">
        <v>954</v>
      </c>
      <c r="G139" s="591">
        <v>0.47529913041323968</v>
      </c>
      <c r="H139" s="566" t="s">
        <v>954</v>
      </c>
      <c r="I139" s="523">
        <v>254.81502602987422</v>
      </c>
    </row>
    <row r="140" spans="1:181" ht="11.25" customHeight="1">
      <c r="A140" s="503" t="s">
        <v>57</v>
      </c>
      <c r="B140" s="562">
        <v>100</v>
      </c>
      <c r="C140" s="563" t="s">
        <v>1409</v>
      </c>
      <c r="D140" s="502">
        <v>100</v>
      </c>
      <c r="E140" s="562" t="s">
        <v>979</v>
      </c>
      <c r="F140" s="562" t="s">
        <v>954</v>
      </c>
      <c r="G140" s="591">
        <v>194.95991204485469</v>
      </c>
      <c r="H140" s="566" t="s">
        <v>1394</v>
      </c>
      <c r="I140" s="523">
        <v>173.383087072352</v>
      </c>
    </row>
    <row r="141" spans="1:181" ht="11.25" customHeight="1">
      <c r="A141" s="503" t="s">
        <v>56</v>
      </c>
      <c r="B141" s="562">
        <v>183.39493451041466</v>
      </c>
      <c r="C141" s="563" t="s">
        <v>674</v>
      </c>
      <c r="D141" s="502">
        <v>500</v>
      </c>
      <c r="E141" s="562" t="s">
        <v>979</v>
      </c>
      <c r="F141" s="562" t="s">
        <v>954</v>
      </c>
      <c r="G141" s="591">
        <v>183.39493451041466</v>
      </c>
      <c r="H141" s="566" t="s">
        <v>1394</v>
      </c>
      <c r="I141" s="523">
        <v>213.66258721743901</v>
      </c>
    </row>
    <row r="142" spans="1:181" ht="11.25" customHeight="1">
      <c r="A142" s="503" t="s">
        <v>777</v>
      </c>
      <c r="B142" s="562">
        <v>500</v>
      </c>
      <c r="C142" s="563" t="s">
        <v>1409</v>
      </c>
      <c r="D142" s="502">
        <v>500</v>
      </c>
      <c r="E142" s="562" t="s">
        <v>979</v>
      </c>
      <c r="F142" s="562" t="s">
        <v>954</v>
      </c>
      <c r="G142" s="591">
        <v>1251.4195942435338</v>
      </c>
      <c r="H142" s="566" t="s">
        <v>954</v>
      </c>
      <c r="I142" s="523">
        <v>1000</v>
      </c>
    </row>
    <row r="143" spans="1:181" ht="11.25" customHeight="1">
      <c r="A143" s="503" t="s">
        <v>814</v>
      </c>
      <c r="B143" s="562">
        <v>0.17652248407169688</v>
      </c>
      <c r="C143" s="563" t="s">
        <v>673</v>
      </c>
      <c r="D143" s="502">
        <v>500</v>
      </c>
      <c r="E143" s="562" t="s">
        <v>979</v>
      </c>
      <c r="F143" s="562" t="s">
        <v>954</v>
      </c>
      <c r="G143" s="591">
        <v>12.423206309478356</v>
      </c>
      <c r="H143" s="566">
        <v>0.17652248407169688</v>
      </c>
      <c r="I143" s="523">
        <v>16.365006000000001</v>
      </c>
    </row>
    <row r="144" spans="1:181" ht="11.25" customHeight="1">
      <c r="A144" s="503" t="s">
        <v>815</v>
      </c>
      <c r="B144" s="562">
        <v>1.2408521400000003</v>
      </c>
      <c r="C144" s="563" t="s">
        <v>1407</v>
      </c>
      <c r="D144" s="502">
        <v>500</v>
      </c>
      <c r="E144" s="562" t="s">
        <v>979</v>
      </c>
      <c r="F144" s="562" t="s">
        <v>954</v>
      </c>
      <c r="G144" s="591">
        <v>639.65388301886787</v>
      </c>
      <c r="H144" s="566">
        <v>222.90445714285715</v>
      </c>
      <c r="I144" s="523">
        <v>1.2408521400000003</v>
      </c>
    </row>
    <row r="145" spans="1:9" ht="11.25" customHeight="1">
      <c r="A145" s="503" t="s">
        <v>477</v>
      </c>
      <c r="B145" s="562">
        <v>8.9161782857142876E-3</v>
      </c>
      <c r="C145" s="563" t="s">
        <v>673</v>
      </c>
      <c r="D145" s="502">
        <v>100</v>
      </c>
      <c r="E145" s="562" t="s">
        <v>979</v>
      </c>
      <c r="F145" s="562" t="s">
        <v>954</v>
      </c>
      <c r="G145" s="591">
        <v>0.32364531998538026</v>
      </c>
      <c r="H145" s="566">
        <v>8.9161782857142876E-3</v>
      </c>
      <c r="I145" s="523">
        <v>7.5829700000000014E-2</v>
      </c>
    </row>
    <row r="146" spans="1:9" ht="11.25" customHeight="1">
      <c r="A146" s="503" t="s">
        <v>478</v>
      </c>
      <c r="B146" s="562">
        <v>8.9161782857142866E-2</v>
      </c>
      <c r="C146" s="563" t="s">
        <v>673</v>
      </c>
      <c r="D146" s="502">
        <v>500</v>
      </c>
      <c r="E146" s="562" t="s">
        <v>979</v>
      </c>
      <c r="F146" s="562" t="s">
        <v>954</v>
      </c>
      <c r="G146" s="591">
        <v>0.88767733974939533</v>
      </c>
      <c r="H146" s="566">
        <v>8.9161782857142866E-2</v>
      </c>
      <c r="I146" s="523">
        <v>0.35762750000000004</v>
      </c>
    </row>
    <row r="147" spans="1:9" ht="11.25" customHeight="1">
      <c r="A147" s="503" t="s">
        <v>479</v>
      </c>
      <c r="B147" s="562">
        <v>0.50371266928000002</v>
      </c>
      <c r="C147" s="563" t="s">
        <v>1407</v>
      </c>
      <c r="D147" s="502">
        <v>100</v>
      </c>
      <c r="E147" s="562" t="s">
        <v>979</v>
      </c>
      <c r="F147" s="562" t="s">
        <v>954</v>
      </c>
      <c r="G147" s="591">
        <v>1264.257491523651</v>
      </c>
      <c r="H147" s="566" t="s">
        <v>954</v>
      </c>
      <c r="I147" s="523">
        <v>0.50371266928000002</v>
      </c>
    </row>
    <row r="148" spans="1:9" ht="11.25" customHeight="1">
      <c r="A148" s="503" t="s">
        <v>480</v>
      </c>
      <c r="B148" s="562">
        <v>0.26012950155235531</v>
      </c>
      <c r="C148" s="563" t="s">
        <v>1407</v>
      </c>
      <c r="D148" s="502">
        <v>500</v>
      </c>
      <c r="E148" s="562" t="s">
        <v>979</v>
      </c>
      <c r="F148" s="562" t="s">
        <v>954</v>
      </c>
      <c r="G148" s="591">
        <v>12.642735911142926</v>
      </c>
      <c r="H148" s="566" t="s">
        <v>954</v>
      </c>
      <c r="I148" s="523">
        <v>0.26012950155235531</v>
      </c>
    </row>
    <row r="149" spans="1:9" ht="11.25" customHeight="1">
      <c r="A149" s="515" t="s">
        <v>117</v>
      </c>
      <c r="B149" s="562">
        <v>2.8380587009897851</v>
      </c>
      <c r="C149" s="563" t="s">
        <v>1407</v>
      </c>
      <c r="D149" s="502">
        <v>1000</v>
      </c>
      <c r="E149" s="562" t="s">
        <v>979</v>
      </c>
      <c r="F149" s="562" t="s">
        <v>954</v>
      </c>
      <c r="G149" s="591">
        <v>126.42735911142927</v>
      </c>
      <c r="H149" s="566" t="s">
        <v>954</v>
      </c>
      <c r="I149" s="523">
        <v>2.8380587009897851</v>
      </c>
    </row>
    <row r="150" spans="1:9" ht="11.25" customHeight="1">
      <c r="A150" s="503" t="s">
        <v>118</v>
      </c>
      <c r="B150" s="562">
        <v>0.87299569451100001</v>
      </c>
      <c r="C150" s="563" t="s">
        <v>1407</v>
      </c>
      <c r="D150" s="502">
        <v>500</v>
      </c>
      <c r="E150" s="562" t="s">
        <v>979</v>
      </c>
      <c r="F150" s="562" t="s">
        <v>954</v>
      </c>
      <c r="G150" s="591">
        <v>101.14188728914341</v>
      </c>
      <c r="H150" s="566" t="s">
        <v>954</v>
      </c>
      <c r="I150" s="523">
        <v>0.87299569451100001</v>
      </c>
    </row>
    <row r="151" spans="1:9" ht="11.25" customHeight="1">
      <c r="A151" s="503" t="s">
        <v>119</v>
      </c>
      <c r="B151" s="562">
        <v>5.029527559055118E-3</v>
      </c>
      <c r="C151" s="563" t="s">
        <v>674</v>
      </c>
      <c r="D151" s="502">
        <v>100</v>
      </c>
      <c r="E151" s="562" t="s">
        <v>979</v>
      </c>
      <c r="F151" s="562" t="s">
        <v>954</v>
      </c>
      <c r="G151" s="591">
        <v>5.029527559055118E-3</v>
      </c>
      <c r="H151" s="566" t="s">
        <v>1394</v>
      </c>
      <c r="I151" s="523">
        <v>1.2799907999999999E-2</v>
      </c>
    </row>
    <row r="152" spans="1:9" ht="11.25" customHeight="1">
      <c r="A152" s="503" t="s">
        <v>120</v>
      </c>
      <c r="B152" s="562">
        <v>0.15845058605710996</v>
      </c>
      <c r="C152" s="563" t="s">
        <v>674</v>
      </c>
      <c r="D152" s="502">
        <v>100</v>
      </c>
      <c r="E152" s="562" t="s">
        <v>979</v>
      </c>
      <c r="F152" s="562" t="s">
        <v>954</v>
      </c>
      <c r="G152" s="591">
        <v>0.15845058605710996</v>
      </c>
      <c r="H152" s="566" t="s">
        <v>1394</v>
      </c>
      <c r="I152" s="523">
        <v>0.43626651913429476</v>
      </c>
    </row>
    <row r="153" spans="1:9" ht="11.25" customHeight="1">
      <c r="A153" s="503" t="s">
        <v>602</v>
      </c>
      <c r="B153" s="562">
        <v>17.719343116981133</v>
      </c>
      <c r="C153" s="563" t="s">
        <v>1407</v>
      </c>
      <c r="D153" s="502">
        <v>100</v>
      </c>
      <c r="E153" s="562" t="s">
        <v>979</v>
      </c>
      <c r="F153" s="562" t="s">
        <v>954</v>
      </c>
      <c r="G153" s="591">
        <v>87.320574162679421</v>
      </c>
      <c r="H153" s="566" t="s">
        <v>954</v>
      </c>
      <c r="I153" s="523">
        <v>17.719343116981133</v>
      </c>
    </row>
    <row r="154" spans="1:9" ht="11.25" customHeight="1">
      <c r="A154" s="515" t="s">
        <v>939</v>
      </c>
      <c r="B154" s="562">
        <v>2.7937804034550004</v>
      </c>
      <c r="C154" s="563" t="s">
        <v>1407</v>
      </c>
      <c r="D154" s="502">
        <v>500</v>
      </c>
      <c r="E154" s="562" t="s">
        <v>979</v>
      </c>
      <c r="F154" s="562" t="s">
        <v>954</v>
      </c>
      <c r="G154" s="591">
        <v>449.03985437165932</v>
      </c>
      <c r="H154" s="566" t="s">
        <v>954</v>
      </c>
      <c r="I154" s="523">
        <v>2.7937804034550004</v>
      </c>
    </row>
    <row r="155" spans="1:9" ht="11.25" customHeight="1">
      <c r="A155" s="515" t="s">
        <v>603</v>
      </c>
      <c r="B155" s="562">
        <v>30.171580463643995</v>
      </c>
      <c r="C155" s="563" t="s">
        <v>1407</v>
      </c>
      <c r="D155" s="502">
        <v>500</v>
      </c>
      <c r="E155" s="562" t="s">
        <v>979</v>
      </c>
      <c r="F155" s="562" t="s">
        <v>954</v>
      </c>
      <c r="G155" s="591">
        <v>31.237531954550995</v>
      </c>
      <c r="H155" s="566" t="s">
        <v>954</v>
      </c>
      <c r="I155" s="523">
        <v>30.171580463643995</v>
      </c>
    </row>
    <row r="156" spans="1:9" ht="11.25" customHeight="1">
      <c r="A156" s="515" t="s">
        <v>605</v>
      </c>
      <c r="B156" s="562">
        <v>1.1834179394023117</v>
      </c>
      <c r="C156" s="563" t="s">
        <v>1407</v>
      </c>
      <c r="D156" s="502">
        <v>500</v>
      </c>
      <c r="E156" s="562" t="s">
        <v>979</v>
      </c>
      <c r="F156" s="562" t="s">
        <v>954</v>
      </c>
      <c r="G156" s="591">
        <v>7.2694180429212993</v>
      </c>
      <c r="H156" s="566" t="s">
        <v>954</v>
      </c>
      <c r="I156" s="523">
        <v>1.1834179394023117</v>
      </c>
    </row>
    <row r="157" spans="1:9" ht="11.25" customHeight="1">
      <c r="A157" s="503" t="s">
        <v>481</v>
      </c>
      <c r="B157" s="562">
        <v>770</v>
      </c>
      <c r="C157" s="563" t="s">
        <v>380</v>
      </c>
      <c r="D157" s="502">
        <v>1000</v>
      </c>
      <c r="E157" s="562" t="s">
        <v>979</v>
      </c>
      <c r="F157" s="562">
        <v>770</v>
      </c>
      <c r="G157" s="591">
        <v>77.999214351185017</v>
      </c>
      <c r="H157" s="566" t="s">
        <v>954</v>
      </c>
      <c r="I157" s="523" t="s">
        <v>1408</v>
      </c>
    </row>
    <row r="158" spans="1:9" ht="11.25" customHeight="1">
      <c r="A158" s="503" t="s">
        <v>482</v>
      </c>
      <c r="B158" s="562">
        <v>3.6336480000000004E-2</v>
      </c>
      <c r="C158" s="563" t="s">
        <v>673</v>
      </c>
      <c r="D158" s="502">
        <v>500</v>
      </c>
      <c r="E158" s="562" t="s">
        <v>979</v>
      </c>
      <c r="F158" s="562" t="s">
        <v>954</v>
      </c>
      <c r="G158" s="591">
        <v>5.8999999999999997E-2</v>
      </c>
      <c r="H158" s="566">
        <v>3.6336480000000004E-2</v>
      </c>
      <c r="I158" s="523">
        <v>0.35480635999999999</v>
      </c>
    </row>
    <row r="159" spans="1:9" ht="11.25" customHeight="1">
      <c r="A159" s="503" t="s">
        <v>483</v>
      </c>
      <c r="B159" s="562">
        <v>1.3588587999999999</v>
      </c>
      <c r="C159" s="563" t="s">
        <v>1407</v>
      </c>
      <c r="D159" s="502">
        <v>259.54240000000004</v>
      </c>
      <c r="E159" s="562" t="s">
        <v>979</v>
      </c>
      <c r="F159" s="562" t="s">
        <v>954</v>
      </c>
      <c r="G159" s="591">
        <v>129.23345456467081</v>
      </c>
      <c r="H159" s="566">
        <v>44.580891428571441</v>
      </c>
      <c r="I159" s="523">
        <v>1.3588587999999999</v>
      </c>
    </row>
    <row r="160" spans="1:9" s="1" customFormat="1" ht="11.25" customHeight="1">
      <c r="A160" s="503" t="s">
        <v>484</v>
      </c>
      <c r="B160" s="562">
        <v>1000</v>
      </c>
      <c r="C160" s="563" t="s">
        <v>1409</v>
      </c>
      <c r="D160" s="502">
        <v>1000</v>
      </c>
      <c r="E160" s="562" t="s">
        <v>979</v>
      </c>
      <c r="F160" s="562">
        <v>349</v>
      </c>
      <c r="G160" s="591">
        <v>4692.8571428571431</v>
      </c>
      <c r="H160" s="566" t="s">
        <v>954</v>
      </c>
      <c r="I160" s="523" t="s">
        <v>1408</v>
      </c>
    </row>
    <row r="161" spans="1:9" s="1" customFormat="1" ht="22.5" customHeight="1">
      <c r="A161" s="465" t="s">
        <v>615</v>
      </c>
      <c r="B161" s="568" t="s">
        <v>486</v>
      </c>
      <c r="C161" s="569" t="s">
        <v>367</v>
      </c>
      <c r="D161" s="562" t="s">
        <v>367</v>
      </c>
      <c r="E161" s="562" t="s">
        <v>367</v>
      </c>
      <c r="F161" s="562" t="s">
        <v>367</v>
      </c>
      <c r="G161" s="565" t="s">
        <v>367</v>
      </c>
      <c r="H161" s="566" t="s">
        <v>367</v>
      </c>
      <c r="I161" s="592" t="s">
        <v>367</v>
      </c>
    </row>
    <row r="162" spans="1:9" s="1" customFormat="1" ht="11.25" customHeight="1" thickBot="1">
      <c r="A162" s="466" t="s">
        <v>616</v>
      </c>
      <c r="B162" s="572" t="s">
        <v>368</v>
      </c>
      <c r="C162" s="573" t="s">
        <v>367</v>
      </c>
      <c r="D162" s="572" t="s">
        <v>367</v>
      </c>
      <c r="E162" s="572" t="s">
        <v>367</v>
      </c>
      <c r="F162" s="572" t="s">
        <v>367</v>
      </c>
      <c r="G162" s="575" t="s">
        <v>367</v>
      </c>
      <c r="H162" s="576" t="s">
        <v>367</v>
      </c>
      <c r="I162" s="593" t="s">
        <v>367</v>
      </c>
    </row>
    <row r="163" spans="1:9" s="1" customFormat="1" ht="11.25" customHeight="1" thickTop="1">
      <c r="A163" s="474" t="s">
        <v>488</v>
      </c>
      <c r="B163" s="475"/>
      <c r="C163" s="475"/>
      <c r="D163" s="475"/>
      <c r="E163" s="475"/>
      <c r="F163" s="475"/>
      <c r="G163" s="475"/>
      <c r="H163" s="475"/>
      <c r="I163" s="578"/>
    </row>
    <row r="164" spans="1:9" s="1" customFormat="1" ht="11.25" customHeight="1">
      <c r="A164" s="4" t="s">
        <v>491</v>
      </c>
      <c r="B164" s="475"/>
      <c r="C164" s="475"/>
      <c r="D164" s="475"/>
      <c r="E164" s="475"/>
      <c r="F164" s="518"/>
      <c r="G164" s="475"/>
      <c r="H164" s="475"/>
      <c r="I164" s="578"/>
    </row>
    <row r="165" spans="1:9" s="1" customFormat="1" ht="11.25" customHeight="1">
      <c r="A165" s="474"/>
      <c r="B165" s="475"/>
      <c r="C165" s="475"/>
      <c r="D165" s="475"/>
      <c r="E165" s="475"/>
      <c r="F165" s="475"/>
      <c r="G165" s="475"/>
      <c r="H165" s="475"/>
      <c r="I165" s="578"/>
    </row>
    <row r="166" spans="1:9" ht="11.25" customHeight="1">
      <c r="A166" s="479" t="s">
        <v>391</v>
      </c>
      <c r="B166" s="475"/>
      <c r="C166" s="475"/>
      <c r="D166" s="475"/>
      <c r="E166" s="475"/>
      <c r="F166" s="518"/>
      <c r="G166" s="475"/>
      <c r="H166" s="475"/>
      <c r="I166" s="476"/>
    </row>
    <row r="167" spans="1:9" ht="11.25" customHeight="1">
      <c r="A167" s="479" t="s">
        <v>617</v>
      </c>
      <c r="B167" s="475"/>
      <c r="C167" s="475"/>
      <c r="D167" s="475"/>
      <c r="E167" s="475"/>
      <c r="F167" s="518"/>
      <c r="G167" s="475"/>
      <c r="H167" s="475"/>
      <c r="I167" s="476"/>
    </row>
    <row r="168" spans="1:9" ht="11.25" customHeight="1">
      <c r="A168" s="4" t="s">
        <v>1076</v>
      </c>
      <c r="B168" s="475"/>
      <c r="C168" s="475"/>
      <c r="D168" s="475"/>
      <c r="E168" s="475"/>
      <c r="F168" s="518"/>
      <c r="G168" s="475"/>
      <c r="H168" s="475"/>
      <c r="I168" s="476"/>
    </row>
    <row r="169" spans="1:9" ht="11.25" customHeight="1">
      <c r="A169" s="479" t="s">
        <v>778</v>
      </c>
      <c r="B169" s="475"/>
      <c r="C169" s="475"/>
      <c r="D169" s="475"/>
      <c r="E169" s="475"/>
      <c r="F169" s="518"/>
      <c r="G169" s="475"/>
      <c r="H169" s="475"/>
      <c r="I169" s="476"/>
    </row>
    <row r="170" spans="1:9" ht="11.25" customHeight="1" thickBot="1">
      <c r="A170" s="5"/>
      <c r="B170" s="579"/>
      <c r="C170" s="579"/>
      <c r="D170" s="579"/>
      <c r="E170" s="579"/>
      <c r="F170" s="580"/>
      <c r="G170" s="579"/>
      <c r="H170" s="579"/>
      <c r="I170" s="581"/>
    </row>
    <row r="171" spans="1:9" ht="11.25" customHeight="1" thickTop="1"/>
  </sheetData>
  <sheetProtection algorithmName="SHA-512" hashValue="07XyxWqrDCDk6VYOApqo4t+mmroEE6xgahMAVjZBX2Jox4PxSYW/UBJmv5tLBvvGKnASnXAJ5EJPY0eFzHbQeA==" saltValue="gdTGF+8hSK2AUoMlXyBxNg==" spinCount="100000" sheet="1" objects="1" scenarios="1"/>
  <mergeCells count="5">
    <mergeCell ref="F4:F5"/>
    <mergeCell ref="A4:A6"/>
    <mergeCell ref="B4:B6"/>
    <mergeCell ref="D4:D5"/>
    <mergeCell ref="E4:E5"/>
  </mergeCells>
  <phoneticPr fontId="0" type="noConversion"/>
  <printOptions horizontalCentered="1"/>
  <pageMargins left="0.17" right="0.16" top="0.53" bottom="1" header="0.5" footer="0.5"/>
  <pageSetup scale="75" fitToHeight="4" orientation="landscape" r:id="rId1"/>
  <headerFooter alignWithMargins="0">
    <oddFooter>&amp;LHawai'i DOH
Spring 2024&amp;C&amp;8Page &amp;P of &amp;N&amp;R&amp;A</oddFooter>
  </headerFooter>
  <rowBreaks count="1" manualBreakCount="1">
    <brk id="16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29"/>
    <pageSetUpPr fitToPage="1"/>
  </sheetPr>
  <dimension ref="A1:J171"/>
  <sheetViews>
    <sheetView zoomScale="85" zoomScaleNormal="85" workbookViewId="0">
      <pane ySplit="3165" topLeftCell="A7" activePane="bottomLeft"/>
      <selection activeCell="B7" sqref="B7"/>
      <selection pane="bottomLeft" activeCell="B7" sqref="B7"/>
    </sheetView>
  </sheetViews>
  <sheetFormatPr defaultColWidth="8.73046875" defaultRowHeight="10.15"/>
  <cols>
    <col min="1" max="1" width="40.59765625" style="3" customWidth="1"/>
    <col min="2" max="2" width="11.73046875" style="481" customWidth="1"/>
    <col min="3" max="3" width="19.59765625" style="481" customWidth="1"/>
    <col min="4" max="5" width="13.59765625" style="481" customWidth="1"/>
    <col min="6" max="6" width="12.265625" style="481" customWidth="1"/>
    <col min="7" max="7" width="13.59765625" style="481" customWidth="1"/>
    <col min="8" max="8" width="11.3984375" style="481" customWidth="1"/>
    <col min="9" max="9" width="12.59765625" style="481" customWidth="1"/>
    <col min="10" max="16384" width="8.73046875" style="3"/>
  </cols>
  <sheetData>
    <row r="1" spans="1:10" ht="45">
      <c r="A1" s="6" t="s">
        <v>495</v>
      </c>
      <c r="B1" s="530"/>
      <c r="C1" s="530"/>
      <c r="D1" s="530"/>
      <c r="E1" s="530"/>
      <c r="F1" s="530"/>
      <c r="G1" s="530"/>
      <c r="H1" s="530"/>
      <c r="I1" s="530"/>
      <c r="J1" s="530"/>
    </row>
    <row r="2" spans="1:10" ht="15.4" thickBot="1">
      <c r="A2" s="6"/>
      <c r="B2" s="530"/>
      <c r="C2" s="530"/>
      <c r="D2" s="530"/>
      <c r="E2" s="530"/>
      <c r="F2" s="530"/>
      <c r="G2" s="530"/>
      <c r="H2" s="530"/>
      <c r="I2" s="530"/>
    </row>
    <row r="3" spans="1:10" s="588" customFormat="1" ht="14.1" customHeight="1" thickTop="1" thickBot="1">
      <c r="A3" s="584"/>
      <c r="B3" s="534" t="s">
        <v>841</v>
      </c>
      <c r="C3" s="585"/>
      <c r="D3" s="586"/>
      <c r="E3" s="586"/>
      <c r="F3" s="587"/>
      <c r="G3" s="586"/>
      <c r="H3" s="586"/>
      <c r="I3" s="446"/>
    </row>
    <row r="4" spans="1:10" s="588" customFormat="1" ht="35.25" customHeight="1" thickTop="1" thickBot="1">
      <c r="A4" s="1403" t="s">
        <v>232</v>
      </c>
      <c r="B4" s="1408" t="s">
        <v>842</v>
      </c>
      <c r="C4" s="541"/>
      <c r="D4" s="1406" t="s">
        <v>909</v>
      </c>
      <c r="E4" s="1401" t="s">
        <v>1027</v>
      </c>
      <c r="F4" s="1401" t="s">
        <v>380</v>
      </c>
      <c r="G4" s="542" t="s">
        <v>907</v>
      </c>
      <c r="H4" s="543"/>
      <c r="I4" s="544" t="s">
        <v>390</v>
      </c>
    </row>
    <row r="5" spans="1:10" s="588" customFormat="1" ht="48" customHeight="1">
      <c r="A5" s="1403"/>
      <c r="B5" s="1409"/>
      <c r="C5" s="545"/>
      <c r="D5" s="1407"/>
      <c r="E5" s="1402"/>
      <c r="F5" s="1402"/>
      <c r="G5" s="546" t="s">
        <v>606</v>
      </c>
      <c r="H5" s="547" t="s">
        <v>547</v>
      </c>
      <c r="I5" s="548" t="s">
        <v>72</v>
      </c>
    </row>
    <row r="6" spans="1:10" s="588" customFormat="1" ht="10.5" thickBot="1">
      <c r="A6" s="1411"/>
      <c r="B6" s="1410"/>
      <c r="C6" s="549" t="s">
        <v>485</v>
      </c>
      <c r="D6" s="550" t="s">
        <v>837</v>
      </c>
      <c r="E6" s="551" t="s">
        <v>838</v>
      </c>
      <c r="F6" s="552" t="s">
        <v>836</v>
      </c>
      <c r="G6" s="553" t="s">
        <v>464</v>
      </c>
      <c r="H6" s="554" t="s">
        <v>839</v>
      </c>
      <c r="I6" s="555" t="s">
        <v>989</v>
      </c>
    </row>
    <row r="7" spans="1:10" ht="11.25" customHeight="1">
      <c r="A7" s="454" t="s">
        <v>548</v>
      </c>
      <c r="B7" s="556">
        <v>118.02725999999998</v>
      </c>
      <c r="C7" s="557" t="s">
        <v>673</v>
      </c>
      <c r="D7" s="589">
        <v>1000</v>
      </c>
      <c r="E7" s="556" t="s">
        <v>979</v>
      </c>
      <c r="F7" s="556" t="s">
        <v>954</v>
      </c>
      <c r="G7" s="589">
        <v>647.71344582513132</v>
      </c>
      <c r="H7" s="560">
        <v>118.02725999999998</v>
      </c>
      <c r="I7" s="561">
        <v>167.11985200000001</v>
      </c>
    </row>
    <row r="8" spans="1:10" ht="11.25" customHeight="1">
      <c r="A8" s="458" t="s">
        <v>549</v>
      </c>
      <c r="B8" s="562">
        <v>127.20004500000002</v>
      </c>
      <c r="C8" s="563" t="s">
        <v>1407</v>
      </c>
      <c r="D8" s="591">
        <v>500</v>
      </c>
      <c r="E8" s="562" t="s">
        <v>979</v>
      </c>
      <c r="F8" s="562" t="s">
        <v>954</v>
      </c>
      <c r="G8" s="591">
        <v>339.48905290891071</v>
      </c>
      <c r="H8" s="566" t="s">
        <v>1394</v>
      </c>
      <c r="I8" s="567">
        <v>127.20004500000002</v>
      </c>
    </row>
    <row r="9" spans="1:10" ht="11.25" customHeight="1">
      <c r="A9" s="458" t="s">
        <v>550</v>
      </c>
      <c r="B9" s="562">
        <v>9.2346749999999993</v>
      </c>
      <c r="C9" s="563" t="s">
        <v>1407</v>
      </c>
      <c r="D9" s="591">
        <v>500</v>
      </c>
      <c r="E9" s="562" t="s">
        <v>979</v>
      </c>
      <c r="F9" s="562" t="s">
        <v>954</v>
      </c>
      <c r="G9" s="591">
        <v>5739.0879292078434</v>
      </c>
      <c r="H9" s="566">
        <v>1420.3494838238926</v>
      </c>
      <c r="I9" s="567">
        <v>9.2346749999999993</v>
      </c>
    </row>
    <row r="10" spans="1:10" ht="11.25" customHeight="1">
      <c r="A10" s="458" t="s">
        <v>551</v>
      </c>
      <c r="B10" s="562">
        <v>3.910714285714286</v>
      </c>
      <c r="C10" s="563" t="s">
        <v>674</v>
      </c>
      <c r="D10" s="591">
        <v>1000</v>
      </c>
      <c r="E10" s="562" t="s">
        <v>979</v>
      </c>
      <c r="F10" s="562" t="s">
        <v>954</v>
      </c>
      <c r="G10" s="591">
        <v>3.910714285714286</v>
      </c>
      <c r="H10" s="566" t="s">
        <v>954</v>
      </c>
      <c r="I10" s="567">
        <v>17.700271040400004</v>
      </c>
    </row>
    <row r="11" spans="1:10" ht="11.25" customHeight="1">
      <c r="A11" s="458" t="s">
        <v>161</v>
      </c>
      <c r="B11" s="562">
        <v>113.78462320028632</v>
      </c>
      <c r="C11" s="563" t="s">
        <v>674</v>
      </c>
      <c r="D11" s="591">
        <v>500</v>
      </c>
      <c r="E11" s="562" t="s">
        <v>979</v>
      </c>
      <c r="F11" s="562" t="s">
        <v>954</v>
      </c>
      <c r="G11" s="591">
        <v>113.78462320028632</v>
      </c>
      <c r="H11" s="566" t="s">
        <v>954</v>
      </c>
      <c r="I11" s="567">
        <v>127.94618681423999</v>
      </c>
    </row>
    <row r="12" spans="1:10" ht="11.25" customHeight="1">
      <c r="A12" s="462" t="s">
        <v>162</v>
      </c>
      <c r="B12" s="562">
        <v>1.5423260756210222</v>
      </c>
      <c r="C12" s="563" t="s">
        <v>674</v>
      </c>
      <c r="D12" s="591">
        <v>500</v>
      </c>
      <c r="E12" s="562" t="s">
        <v>979</v>
      </c>
      <c r="F12" s="562" t="s">
        <v>954</v>
      </c>
      <c r="G12" s="591">
        <v>1.5423260756210222</v>
      </c>
      <c r="H12" s="566" t="s">
        <v>954</v>
      </c>
      <c r="I12" s="567">
        <v>7.51648003277296</v>
      </c>
    </row>
    <row r="13" spans="1:10" ht="11.25" customHeight="1">
      <c r="A13" s="462" t="s">
        <v>94</v>
      </c>
      <c r="B13" s="562">
        <v>1.5315758488811595</v>
      </c>
      <c r="C13" s="563" t="s">
        <v>674</v>
      </c>
      <c r="D13" s="591">
        <v>500</v>
      </c>
      <c r="E13" s="562" t="s">
        <v>979</v>
      </c>
      <c r="F13" s="562" t="s">
        <v>954</v>
      </c>
      <c r="G13" s="591">
        <v>1.5315758488811595</v>
      </c>
      <c r="H13" s="566" t="s">
        <v>954</v>
      </c>
      <c r="I13" s="567">
        <v>4.6038440200734376</v>
      </c>
    </row>
    <row r="14" spans="1:10" ht="11.25" customHeight="1">
      <c r="A14" s="458" t="s">
        <v>552</v>
      </c>
      <c r="B14" s="562">
        <v>4.2251984613333331</v>
      </c>
      <c r="C14" s="563" t="s">
        <v>673</v>
      </c>
      <c r="D14" s="591">
        <v>500</v>
      </c>
      <c r="E14" s="562" t="s">
        <v>979</v>
      </c>
      <c r="F14" s="562" t="s">
        <v>954</v>
      </c>
      <c r="G14" s="591">
        <v>3489.8853344626582</v>
      </c>
      <c r="H14" s="566">
        <v>4.2251984613333331</v>
      </c>
      <c r="I14" s="567">
        <v>4.2251987225786163</v>
      </c>
    </row>
    <row r="15" spans="1:10" ht="11.25" customHeight="1">
      <c r="A15" s="458" t="s">
        <v>553</v>
      </c>
      <c r="B15" s="562">
        <v>6.2566828069364648</v>
      </c>
      <c r="C15" s="563" t="s">
        <v>674</v>
      </c>
      <c r="D15" s="591">
        <v>1000</v>
      </c>
      <c r="E15" s="562" t="s">
        <v>979</v>
      </c>
      <c r="F15" s="562">
        <v>2.4</v>
      </c>
      <c r="G15" s="591">
        <v>6.2566828069364648</v>
      </c>
      <c r="H15" s="566" t="s">
        <v>954</v>
      </c>
      <c r="I15" s="567" t="s">
        <v>1408</v>
      </c>
    </row>
    <row r="16" spans="1:10" ht="11.25" customHeight="1">
      <c r="A16" s="458" t="s">
        <v>686</v>
      </c>
      <c r="B16" s="562">
        <v>24</v>
      </c>
      <c r="C16" s="563" t="s">
        <v>380</v>
      </c>
      <c r="D16" s="591">
        <v>1000</v>
      </c>
      <c r="E16" s="562" t="s">
        <v>979</v>
      </c>
      <c r="F16" s="562">
        <v>24</v>
      </c>
      <c r="G16" s="591">
        <v>23</v>
      </c>
      <c r="H16" s="566" t="s">
        <v>954</v>
      </c>
      <c r="I16" s="567" t="s">
        <v>1408</v>
      </c>
    </row>
    <row r="17" spans="1:9" ht="11.25" customHeight="1">
      <c r="A17" s="458" t="s">
        <v>95</v>
      </c>
      <c r="B17" s="562">
        <v>2.2732603019174396</v>
      </c>
      <c r="C17" s="563" t="s">
        <v>674</v>
      </c>
      <c r="D17" s="591">
        <v>500</v>
      </c>
      <c r="E17" s="562" t="s">
        <v>979</v>
      </c>
      <c r="F17" s="562" t="s">
        <v>954</v>
      </c>
      <c r="G17" s="591">
        <v>2.2732603019174396</v>
      </c>
      <c r="H17" s="566" t="s">
        <v>954</v>
      </c>
      <c r="I17" s="567">
        <v>12.298114915944003</v>
      </c>
    </row>
    <row r="18" spans="1:9" ht="11.25" customHeight="1">
      <c r="A18" s="458" t="s">
        <v>687</v>
      </c>
      <c r="B18" s="562">
        <v>1000</v>
      </c>
      <c r="C18" s="563" t="s">
        <v>1409</v>
      </c>
      <c r="D18" s="591">
        <v>1000</v>
      </c>
      <c r="E18" s="562" t="s">
        <v>979</v>
      </c>
      <c r="F18" s="562">
        <v>690</v>
      </c>
      <c r="G18" s="591">
        <v>3061.0483042137716</v>
      </c>
      <c r="H18" s="566" t="s">
        <v>954</v>
      </c>
      <c r="I18" s="567" t="s">
        <v>1408</v>
      </c>
    </row>
    <row r="19" spans="1:9" ht="11.25" customHeight="1">
      <c r="A19" s="458" t="s">
        <v>1156</v>
      </c>
      <c r="B19" s="562">
        <v>0.15626576008516002</v>
      </c>
      <c r="C19" s="563" t="s">
        <v>1407</v>
      </c>
      <c r="D19" s="591">
        <v>1000</v>
      </c>
      <c r="E19" s="562" t="s">
        <v>979</v>
      </c>
      <c r="F19" s="562" t="s">
        <v>954</v>
      </c>
      <c r="G19" s="591">
        <v>632.13679555714634</v>
      </c>
      <c r="H19" s="566" t="s">
        <v>954</v>
      </c>
      <c r="I19" s="567">
        <v>0.15626576008516002</v>
      </c>
    </row>
    <row r="20" spans="1:9" ht="11.25" customHeight="1">
      <c r="A20" s="458" t="s">
        <v>688</v>
      </c>
      <c r="B20" s="562">
        <v>0.76939408284023669</v>
      </c>
      <c r="C20" s="563" t="s">
        <v>673</v>
      </c>
      <c r="D20" s="591">
        <v>500</v>
      </c>
      <c r="E20" s="562" t="s">
        <v>979</v>
      </c>
      <c r="F20" s="562" t="s">
        <v>954</v>
      </c>
      <c r="G20" s="591">
        <v>1.2457241814692348</v>
      </c>
      <c r="H20" s="566">
        <v>0.76939408284023669</v>
      </c>
      <c r="I20" s="567">
        <v>101.42064000000001</v>
      </c>
    </row>
    <row r="21" spans="1:9" ht="11.25" customHeight="1">
      <c r="A21" s="458" t="s">
        <v>689</v>
      </c>
      <c r="B21" s="562">
        <v>11.131115733318255</v>
      </c>
      <c r="C21" s="563" t="s">
        <v>674</v>
      </c>
      <c r="D21" s="591">
        <v>500</v>
      </c>
      <c r="E21" s="562" t="s">
        <v>979</v>
      </c>
      <c r="F21" s="562" t="s">
        <v>954</v>
      </c>
      <c r="G21" s="591">
        <v>11.131115733318255</v>
      </c>
      <c r="H21" s="566" t="s">
        <v>954</v>
      </c>
      <c r="I21" s="567">
        <v>138.01773007480003</v>
      </c>
    </row>
    <row r="22" spans="1:9" ht="11.25" customHeight="1">
      <c r="A22" s="458" t="s">
        <v>690</v>
      </c>
      <c r="B22" s="562">
        <v>3.5639370920589939</v>
      </c>
      <c r="C22" s="563" t="s">
        <v>674</v>
      </c>
      <c r="D22" s="591">
        <v>500</v>
      </c>
      <c r="E22" s="562" t="s">
        <v>979</v>
      </c>
      <c r="F22" s="562" t="s">
        <v>954</v>
      </c>
      <c r="G22" s="591">
        <v>3.5639370920589939</v>
      </c>
      <c r="H22" s="566" t="s">
        <v>954</v>
      </c>
      <c r="I22" s="567">
        <v>78.006722284176007</v>
      </c>
    </row>
    <row r="23" spans="1:9" ht="11.25" customHeight="1">
      <c r="A23" s="458" t="s">
        <v>691</v>
      </c>
      <c r="B23" s="562">
        <v>11.285807709958021</v>
      </c>
      <c r="C23" s="563" t="s">
        <v>674</v>
      </c>
      <c r="D23" s="591">
        <v>500</v>
      </c>
      <c r="E23" s="562" t="s">
        <v>979</v>
      </c>
      <c r="F23" s="562" t="s">
        <v>954</v>
      </c>
      <c r="G23" s="591">
        <v>11.285807709958021</v>
      </c>
      <c r="H23" s="566" t="s">
        <v>954</v>
      </c>
      <c r="I23" s="567">
        <v>74.625303072465002</v>
      </c>
    </row>
    <row r="24" spans="1:9" ht="11.25" customHeight="1">
      <c r="A24" s="458" t="s">
        <v>692</v>
      </c>
      <c r="B24" s="562">
        <v>34.528000116195038</v>
      </c>
      <c r="C24" s="563" t="s">
        <v>1407</v>
      </c>
      <c r="D24" s="591">
        <v>500</v>
      </c>
      <c r="E24" s="562" t="s">
        <v>979</v>
      </c>
      <c r="F24" s="562" t="s">
        <v>954</v>
      </c>
      <c r="G24" s="591">
        <v>478.19569558367709</v>
      </c>
      <c r="H24" s="566" t="s">
        <v>954</v>
      </c>
      <c r="I24" s="567">
        <v>34.528000116195038</v>
      </c>
    </row>
    <row r="25" spans="1:9" ht="11.25" customHeight="1">
      <c r="A25" s="458" t="s">
        <v>693</v>
      </c>
      <c r="B25" s="562">
        <v>39.003361440024008</v>
      </c>
      <c r="C25" s="563" t="s">
        <v>1407</v>
      </c>
      <c r="D25" s="591">
        <v>500</v>
      </c>
      <c r="E25" s="562" t="s">
        <v>979</v>
      </c>
      <c r="F25" s="562" t="s">
        <v>954</v>
      </c>
      <c r="G25" s="591">
        <v>112.85807709958023</v>
      </c>
      <c r="H25" s="566" t="s">
        <v>954</v>
      </c>
      <c r="I25" s="567">
        <v>39.003361440024008</v>
      </c>
    </row>
    <row r="26" spans="1:9" ht="11.25" customHeight="1">
      <c r="A26" s="458" t="s">
        <v>126</v>
      </c>
      <c r="B26" s="562">
        <v>31.114129015408725</v>
      </c>
      <c r="C26" s="563" t="s">
        <v>674</v>
      </c>
      <c r="D26" s="591">
        <v>1000</v>
      </c>
      <c r="E26" s="562" t="s">
        <v>979</v>
      </c>
      <c r="F26" s="562">
        <v>3</v>
      </c>
      <c r="G26" s="591">
        <v>31.114129015408725</v>
      </c>
      <c r="H26" s="566" t="s">
        <v>954</v>
      </c>
      <c r="I26" s="567" t="s">
        <v>1408</v>
      </c>
    </row>
    <row r="27" spans="1:9" ht="11.25" customHeight="1">
      <c r="A27" s="458" t="s">
        <v>233</v>
      </c>
      <c r="B27" s="562">
        <v>10.157103856679932</v>
      </c>
      <c r="C27" s="563" t="s">
        <v>674</v>
      </c>
      <c r="D27" s="591">
        <v>500</v>
      </c>
      <c r="E27" s="562" t="s">
        <v>979</v>
      </c>
      <c r="F27" s="562" t="s">
        <v>954</v>
      </c>
      <c r="G27" s="591">
        <v>10.157103856679932</v>
      </c>
      <c r="H27" s="566" t="s">
        <v>1394</v>
      </c>
      <c r="I27" s="567">
        <v>230.95592832704406</v>
      </c>
    </row>
    <row r="28" spans="1:9" ht="11.25" customHeight="1">
      <c r="A28" s="458" t="s">
        <v>127</v>
      </c>
      <c r="B28" s="562">
        <v>7.8962365734984701E-3</v>
      </c>
      <c r="C28" s="563" t="s">
        <v>673</v>
      </c>
      <c r="D28" s="591">
        <v>500</v>
      </c>
      <c r="E28" s="562" t="s">
        <v>979</v>
      </c>
      <c r="F28" s="562" t="s">
        <v>954</v>
      </c>
      <c r="G28" s="591">
        <v>0.23842763078674306</v>
      </c>
      <c r="H28" s="566">
        <v>7.8962365734984701E-3</v>
      </c>
      <c r="I28" s="567">
        <v>0.95774348880303517</v>
      </c>
    </row>
    <row r="29" spans="1:9" ht="11.25" customHeight="1">
      <c r="A29" s="503" t="s">
        <v>1103</v>
      </c>
      <c r="B29" s="562">
        <v>3.8666109556463671E-3</v>
      </c>
      <c r="C29" s="563" t="s">
        <v>1407</v>
      </c>
      <c r="D29" s="591">
        <v>500</v>
      </c>
      <c r="E29" s="562" t="s">
        <v>979</v>
      </c>
      <c r="F29" s="562" t="s">
        <v>954</v>
      </c>
      <c r="G29" s="591">
        <v>3.7245820040701219</v>
      </c>
      <c r="H29" s="566" t="s">
        <v>1394</v>
      </c>
      <c r="I29" s="567">
        <v>3.8666109556463671E-3</v>
      </c>
    </row>
    <row r="30" spans="1:9" ht="11.25" customHeight="1">
      <c r="A30" s="458" t="s">
        <v>128</v>
      </c>
      <c r="B30" s="562">
        <v>37.34554262742413</v>
      </c>
      <c r="C30" s="563" t="s">
        <v>674</v>
      </c>
      <c r="D30" s="591">
        <v>500</v>
      </c>
      <c r="E30" s="562" t="s">
        <v>979</v>
      </c>
      <c r="F30" s="562" t="s">
        <v>954</v>
      </c>
      <c r="G30" s="591">
        <v>37.34554262742413</v>
      </c>
      <c r="H30" s="566" t="s">
        <v>954</v>
      </c>
      <c r="I30" s="567">
        <v>536.04724524903008</v>
      </c>
    </row>
    <row r="31" spans="1:9" ht="11.25" customHeight="1">
      <c r="A31" s="458" t="s">
        <v>129</v>
      </c>
      <c r="B31" s="562">
        <v>1000</v>
      </c>
      <c r="C31" s="563" t="s">
        <v>1409</v>
      </c>
      <c r="D31" s="591">
        <v>1000</v>
      </c>
      <c r="E31" s="562" t="s">
        <v>979</v>
      </c>
      <c r="F31" s="562" t="s">
        <v>954</v>
      </c>
      <c r="G31" s="591">
        <v>3126.8470643815126</v>
      </c>
      <c r="H31" s="566" t="s">
        <v>954</v>
      </c>
      <c r="I31" s="567" t="s">
        <v>1408</v>
      </c>
    </row>
    <row r="32" spans="1:9" ht="11.25" customHeight="1">
      <c r="A32" s="458" t="s">
        <v>130</v>
      </c>
      <c r="B32" s="562">
        <v>1.6219659043659043E-2</v>
      </c>
      <c r="C32" s="563" t="s">
        <v>673</v>
      </c>
      <c r="D32" s="591">
        <v>932.0059079245284</v>
      </c>
      <c r="E32" s="562" t="s">
        <v>979</v>
      </c>
      <c r="F32" s="562" t="s">
        <v>954</v>
      </c>
      <c r="G32" s="591">
        <v>0.31751238306685059</v>
      </c>
      <c r="H32" s="566">
        <v>1.6219659043659043E-2</v>
      </c>
      <c r="I32" s="567">
        <v>2.1063063003537699</v>
      </c>
    </row>
    <row r="33" spans="1:9" ht="11.25" customHeight="1">
      <c r="A33" s="458" t="s">
        <v>131</v>
      </c>
      <c r="B33" s="562">
        <v>9.4972900000000013</v>
      </c>
      <c r="C33" s="563" t="s">
        <v>1407</v>
      </c>
      <c r="D33" s="591">
        <v>500</v>
      </c>
      <c r="E33" s="562" t="s">
        <v>979</v>
      </c>
      <c r="F33" s="562" t="s">
        <v>954</v>
      </c>
      <c r="G33" s="591">
        <v>20.335256675423288</v>
      </c>
      <c r="H33" s="566" t="s">
        <v>954</v>
      </c>
      <c r="I33" s="567">
        <v>9.4972900000000013</v>
      </c>
    </row>
    <row r="34" spans="1:9" ht="11.25" customHeight="1">
      <c r="A34" s="458" t="s">
        <v>132</v>
      </c>
      <c r="B34" s="562">
        <v>0.22290445714285717</v>
      </c>
      <c r="C34" s="563" t="s">
        <v>673</v>
      </c>
      <c r="D34" s="591">
        <v>500</v>
      </c>
      <c r="E34" s="562" t="s">
        <v>979</v>
      </c>
      <c r="F34" s="562" t="s">
        <v>954</v>
      </c>
      <c r="G34" s="591">
        <v>1.4804724326703158</v>
      </c>
      <c r="H34" s="566">
        <v>0.22290445714285717</v>
      </c>
      <c r="I34" s="567">
        <v>1.8052135599999999</v>
      </c>
    </row>
    <row r="35" spans="1:9" ht="11.25" customHeight="1">
      <c r="A35" s="458" t="s">
        <v>133</v>
      </c>
      <c r="B35" s="562">
        <v>17</v>
      </c>
      <c r="C35" s="563" t="s">
        <v>380</v>
      </c>
      <c r="D35" s="591">
        <v>1000</v>
      </c>
      <c r="E35" s="562" t="s">
        <v>979</v>
      </c>
      <c r="F35" s="562">
        <v>17</v>
      </c>
      <c r="G35" s="591">
        <v>1.492622703268411</v>
      </c>
      <c r="H35" s="566" t="s">
        <v>954</v>
      </c>
      <c r="I35" s="567" t="s">
        <v>1408</v>
      </c>
    </row>
    <row r="36" spans="1:9" ht="11.25" customHeight="1">
      <c r="A36" s="458" t="s">
        <v>134</v>
      </c>
      <c r="B36" s="562">
        <v>0.10002123076923075</v>
      </c>
      <c r="C36" s="563" t="s">
        <v>673</v>
      </c>
      <c r="D36" s="591">
        <v>453.26214201257858</v>
      </c>
      <c r="E36" s="562" t="s">
        <v>979</v>
      </c>
      <c r="F36" s="562" t="s">
        <v>954</v>
      </c>
      <c r="G36" s="591">
        <v>0.71011514254445907</v>
      </c>
      <c r="H36" s="566">
        <v>0.10002123076923075</v>
      </c>
      <c r="I36" s="567">
        <v>19.879806548616237</v>
      </c>
    </row>
    <row r="37" spans="1:9" ht="11.25" customHeight="1">
      <c r="A37" s="458" t="s">
        <v>614</v>
      </c>
      <c r="B37" s="562">
        <v>16.627770348612255</v>
      </c>
      <c r="C37" s="563" t="s">
        <v>674</v>
      </c>
      <c r="D37" s="591">
        <v>1000</v>
      </c>
      <c r="E37" s="562" t="s">
        <v>979</v>
      </c>
      <c r="F37" s="562" t="s">
        <v>954</v>
      </c>
      <c r="G37" s="591">
        <v>16.627770348612255</v>
      </c>
      <c r="H37" s="566" t="s">
        <v>954</v>
      </c>
      <c r="I37" s="567">
        <v>22.699061202515725</v>
      </c>
    </row>
    <row r="38" spans="1:9" ht="11.25" customHeight="1">
      <c r="A38" s="458" t="s">
        <v>135</v>
      </c>
      <c r="B38" s="562">
        <v>2.6142493472050554</v>
      </c>
      <c r="C38" s="563" t="s">
        <v>674</v>
      </c>
      <c r="D38" s="591">
        <v>1000</v>
      </c>
      <c r="E38" s="562" t="s">
        <v>979</v>
      </c>
      <c r="F38" s="562" t="s">
        <v>954</v>
      </c>
      <c r="G38" s="591">
        <v>2.6142493472050554</v>
      </c>
      <c r="H38" s="566" t="s">
        <v>954</v>
      </c>
      <c r="I38" s="567">
        <v>8.5904826156000027</v>
      </c>
    </row>
    <row r="39" spans="1:9" ht="11.25" customHeight="1">
      <c r="A39" s="458" t="s">
        <v>136</v>
      </c>
      <c r="B39" s="562">
        <v>2.229044571428572</v>
      </c>
      <c r="C39" s="563" t="s">
        <v>673</v>
      </c>
      <c r="D39" s="591">
        <v>500</v>
      </c>
      <c r="E39" s="562" t="s">
        <v>979</v>
      </c>
      <c r="F39" s="562" t="s">
        <v>954</v>
      </c>
      <c r="G39" s="591">
        <v>58.735856754033783</v>
      </c>
      <c r="H39" s="566">
        <v>2.229044571428572</v>
      </c>
      <c r="I39" s="567">
        <v>12.775202000000002</v>
      </c>
    </row>
    <row r="40" spans="1:9" ht="11.25" customHeight="1">
      <c r="A40" s="458" t="s">
        <v>781</v>
      </c>
      <c r="B40" s="562">
        <v>11.501468800000001</v>
      </c>
      <c r="C40" s="563" t="s">
        <v>1407</v>
      </c>
      <c r="D40" s="591">
        <v>500</v>
      </c>
      <c r="E40" s="562" t="s">
        <v>979</v>
      </c>
      <c r="F40" s="562" t="s">
        <v>954</v>
      </c>
      <c r="G40" s="591">
        <v>1199.043520033186</v>
      </c>
      <c r="H40" s="566">
        <v>178.32356571428573</v>
      </c>
      <c r="I40" s="567">
        <v>11.501468800000001</v>
      </c>
    </row>
    <row r="41" spans="1:9" ht="11.25" customHeight="1">
      <c r="A41" s="514" t="s">
        <v>137</v>
      </c>
      <c r="B41" s="562">
        <v>2.6092494983277589E-2</v>
      </c>
      <c r="C41" s="563" t="s">
        <v>673</v>
      </c>
      <c r="D41" s="591">
        <v>500</v>
      </c>
      <c r="E41" s="562" t="s">
        <v>979</v>
      </c>
      <c r="F41" s="562" t="s">
        <v>954</v>
      </c>
      <c r="G41" s="591">
        <v>0.34283322379966413</v>
      </c>
      <c r="H41" s="566">
        <v>2.6092494983277589E-2</v>
      </c>
      <c r="I41" s="567">
        <v>3.0595261596575343</v>
      </c>
    </row>
    <row r="42" spans="1:9" ht="11.25" customHeight="1">
      <c r="A42" s="503" t="s">
        <v>782</v>
      </c>
      <c r="B42" s="562">
        <v>4.012280228571429</v>
      </c>
      <c r="C42" s="563" t="s">
        <v>673</v>
      </c>
      <c r="D42" s="591">
        <v>100</v>
      </c>
      <c r="E42" s="562" t="s">
        <v>979</v>
      </c>
      <c r="F42" s="562" t="s">
        <v>954</v>
      </c>
      <c r="G42" s="591">
        <v>24.383473244162705</v>
      </c>
      <c r="H42" s="566">
        <v>4.012280228571429</v>
      </c>
      <c r="I42" s="567">
        <v>60.94398504489795</v>
      </c>
    </row>
    <row r="43" spans="1:9" ht="11.25" customHeight="1">
      <c r="A43" s="503" t="s">
        <v>138</v>
      </c>
      <c r="B43" s="562">
        <v>0.1160572986</v>
      </c>
      <c r="C43" s="563" t="s">
        <v>1407</v>
      </c>
      <c r="D43" s="591">
        <v>100</v>
      </c>
      <c r="E43" s="562" t="s">
        <v>979</v>
      </c>
      <c r="F43" s="562" t="s">
        <v>954</v>
      </c>
      <c r="G43" s="591">
        <v>68.476431433471518</v>
      </c>
      <c r="H43" s="566">
        <v>36.555936436299852</v>
      </c>
      <c r="I43" s="567">
        <v>0.1160572986</v>
      </c>
    </row>
    <row r="44" spans="1:9" ht="11.25" customHeight="1">
      <c r="A44" s="503" t="s">
        <v>612</v>
      </c>
      <c r="B44" s="562">
        <v>1145</v>
      </c>
      <c r="C44" s="563" t="s">
        <v>380</v>
      </c>
      <c r="D44" s="591" t="s">
        <v>367</v>
      </c>
      <c r="E44" s="562" t="s">
        <v>979</v>
      </c>
      <c r="F44" s="562">
        <v>1145</v>
      </c>
      <c r="G44" s="591" t="s">
        <v>954</v>
      </c>
      <c r="H44" s="566" t="s">
        <v>954</v>
      </c>
      <c r="I44" s="567" t="s">
        <v>1408</v>
      </c>
    </row>
    <row r="45" spans="1:9" ht="11.25" customHeight="1">
      <c r="A45" s="503" t="s">
        <v>779</v>
      </c>
      <c r="B45" s="562">
        <v>1000</v>
      </c>
      <c r="C45" s="563" t="s">
        <v>1409</v>
      </c>
      <c r="D45" s="591">
        <v>1000</v>
      </c>
      <c r="E45" s="562" t="s">
        <v>979</v>
      </c>
      <c r="F45" s="562" t="s">
        <v>954</v>
      </c>
      <c r="G45" s="591" t="s">
        <v>954</v>
      </c>
      <c r="H45" s="566" t="s">
        <v>954</v>
      </c>
      <c r="I45" s="567" t="s">
        <v>1408</v>
      </c>
    </row>
    <row r="46" spans="1:9" ht="11.25" customHeight="1">
      <c r="A46" s="503" t="s">
        <v>780</v>
      </c>
      <c r="B46" s="562">
        <v>29.632417484956957</v>
      </c>
      <c r="C46" s="563" t="s">
        <v>674</v>
      </c>
      <c r="D46" s="591">
        <v>1000</v>
      </c>
      <c r="E46" s="562" t="s">
        <v>979</v>
      </c>
      <c r="F46" s="562" t="s">
        <v>954</v>
      </c>
      <c r="G46" s="591">
        <v>29.632417484956957</v>
      </c>
      <c r="H46" s="566" t="s">
        <v>954</v>
      </c>
      <c r="I46" s="567" t="s">
        <v>1408</v>
      </c>
    </row>
    <row r="47" spans="1:9" ht="11.25" customHeight="1">
      <c r="A47" s="503" t="s">
        <v>139</v>
      </c>
      <c r="B47" s="562">
        <v>29.963032276400003</v>
      </c>
      <c r="C47" s="563" t="s">
        <v>1407</v>
      </c>
      <c r="D47" s="591">
        <v>1000</v>
      </c>
      <c r="E47" s="562" t="s">
        <v>979</v>
      </c>
      <c r="F47" s="562" t="s">
        <v>954</v>
      </c>
      <c r="G47" s="591">
        <v>1128.5807709958024</v>
      </c>
      <c r="H47" s="566" t="s">
        <v>954</v>
      </c>
      <c r="I47" s="567">
        <v>29.963032276400003</v>
      </c>
    </row>
    <row r="48" spans="1:9" ht="11.25" customHeight="1">
      <c r="A48" s="503" t="s">
        <v>140</v>
      </c>
      <c r="B48" s="562">
        <v>80</v>
      </c>
      <c r="C48" s="563" t="s">
        <v>380</v>
      </c>
      <c r="D48" s="591">
        <v>1000</v>
      </c>
      <c r="E48" s="562" t="s">
        <v>979</v>
      </c>
      <c r="F48" s="562">
        <v>80</v>
      </c>
      <c r="G48" s="591">
        <v>4.6799528610711016</v>
      </c>
      <c r="H48" s="566" t="s">
        <v>954</v>
      </c>
      <c r="I48" s="567" t="s">
        <v>1408</v>
      </c>
    </row>
    <row r="49" spans="1:9" ht="11.25" customHeight="1">
      <c r="A49" s="503" t="s">
        <v>141</v>
      </c>
      <c r="B49" s="562">
        <v>625.71428571428567</v>
      </c>
      <c r="C49" s="563" t="s">
        <v>674</v>
      </c>
      <c r="D49" s="591">
        <v>1000</v>
      </c>
      <c r="E49" s="562" t="s">
        <v>979</v>
      </c>
      <c r="F49" s="562">
        <v>252</v>
      </c>
      <c r="G49" s="591">
        <v>625.71428571428567</v>
      </c>
      <c r="H49" s="566" t="s">
        <v>954</v>
      </c>
      <c r="I49" s="567" t="s">
        <v>1408</v>
      </c>
    </row>
    <row r="50" spans="1:9" ht="11.25" customHeight="1">
      <c r="A50" s="503" t="s">
        <v>142</v>
      </c>
      <c r="B50" s="562">
        <v>4.7522674398767206</v>
      </c>
      <c r="C50" s="563" t="s">
        <v>674</v>
      </c>
      <c r="D50" s="591">
        <v>100</v>
      </c>
      <c r="E50" s="562" t="s">
        <v>979</v>
      </c>
      <c r="F50" s="562" t="s">
        <v>954</v>
      </c>
      <c r="G50" s="591">
        <v>4.7522674398767206</v>
      </c>
      <c r="H50" s="566" t="s">
        <v>1394</v>
      </c>
      <c r="I50" s="567" t="s">
        <v>1408</v>
      </c>
    </row>
    <row r="51" spans="1:9" ht="11.25" customHeight="1">
      <c r="A51" s="515" t="s">
        <v>96</v>
      </c>
      <c r="B51" s="562">
        <v>7.6885224645527996</v>
      </c>
      <c r="C51" s="563" t="s">
        <v>1407</v>
      </c>
      <c r="D51" s="591">
        <v>500</v>
      </c>
      <c r="E51" s="562" t="s">
        <v>979</v>
      </c>
      <c r="F51" s="562" t="s">
        <v>954</v>
      </c>
      <c r="G51" s="591">
        <v>8.0589159430149166</v>
      </c>
      <c r="H51" s="566" t="s">
        <v>954</v>
      </c>
      <c r="I51" s="567">
        <v>7.6885224645527996</v>
      </c>
    </row>
    <row r="52" spans="1:9" ht="11.25" customHeight="1">
      <c r="A52" s="503" t="s">
        <v>97</v>
      </c>
      <c r="B52" s="562">
        <v>1.5946613970000001</v>
      </c>
      <c r="C52" s="563" t="s">
        <v>1407</v>
      </c>
      <c r="D52" s="591">
        <v>500</v>
      </c>
      <c r="E52" s="562" t="s">
        <v>979</v>
      </c>
      <c r="F52" s="562" t="s">
        <v>954</v>
      </c>
      <c r="G52" s="591">
        <v>379.28207733428781</v>
      </c>
      <c r="H52" s="566" t="s">
        <v>954</v>
      </c>
      <c r="I52" s="567">
        <v>1.5946613970000001</v>
      </c>
    </row>
    <row r="53" spans="1:9" ht="11.25" customHeight="1">
      <c r="A53" s="503" t="s">
        <v>143</v>
      </c>
      <c r="B53" s="562">
        <v>1.1285807709958025</v>
      </c>
      <c r="C53" s="563" t="s">
        <v>674</v>
      </c>
      <c r="D53" s="591">
        <v>500</v>
      </c>
      <c r="E53" s="562" t="s">
        <v>979</v>
      </c>
      <c r="F53" s="562" t="s">
        <v>954</v>
      </c>
      <c r="G53" s="591">
        <v>1.1285807709958025</v>
      </c>
      <c r="H53" s="566" t="s">
        <v>954</v>
      </c>
      <c r="I53" s="567">
        <v>396.74000108622505</v>
      </c>
    </row>
    <row r="54" spans="1:9" ht="11.25" customHeight="1">
      <c r="A54" s="503" t="s">
        <v>381</v>
      </c>
      <c r="B54" s="562">
        <v>8.061539999999999E-4</v>
      </c>
      <c r="C54" s="563" t="s">
        <v>1407</v>
      </c>
      <c r="D54" s="591">
        <v>500</v>
      </c>
      <c r="E54" s="562" t="s">
        <v>979</v>
      </c>
      <c r="F54" s="562" t="s">
        <v>954</v>
      </c>
      <c r="G54" s="591">
        <v>5.7102531036448472E-3</v>
      </c>
      <c r="H54" s="566" t="s">
        <v>1394</v>
      </c>
      <c r="I54" s="567">
        <v>8.061539999999999E-4</v>
      </c>
    </row>
    <row r="55" spans="1:9" ht="11.25" customHeight="1">
      <c r="A55" s="503" t="s">
        <v>144</v>
      </c>
      <c r="B55" s="562">
        <v>3.1206624000000001</v>
      </c>
      <c r="C55" s="563" t="s">
        <v>673</v>
      </c>
      <c r="D55" s="591">
        <v>100</v>
      </c>
      <c r="E55" s="562" t="s">
        <v>979</v>
      </c>
      <c r="F55" s="562" t="s">
        <v>954</v>
      </c>
      <c r="G55" s="591">
        <v>8.0043859649122808</v>
      </c>
      <c r="H55" s="566">
        <v>3.1206624000000001</v>
      </c>
      <c r="I55" s="567">
        <v>29.358382000000002</v>
      </c>
    </row>
    <row r="56" spans="1:9" ht="11.25" customHeight="1">
      <c r="A56" s="503" t="s">
        <v>487</v>
      </c>
      <c r="B56" s="562">
        <v>1.0002123076923077E-3</v>
      </c>
      <c r="C56" s="563" t="s">
        <v>673</v>
      </c>
      <c r="D56" s="591">
        <v>500</v>
      </c>
      <c r="E56" s="562" t="s">
        <v>979</v>
      </c>
      <c r="F56" s="562" t="s">
        <v>954</v>
      </c>
      <c r="G56" s="591">
        <v>3.8604149142467709E-2</v>
      </c>
      <c r="H56" s="566">
        <v>1.0002123076923077E-3</v>
      </c>
      <c r="I56" s="567">
        <v>0.19749944842761794</v>
      </c>
    </row>
    <row r="57" spans="1:9" ht="11.25" customHeight="1">
      <c r="A57" s="503" t="s">
        <v>145</v>
      </c>
      <c r="B57" s="562">
        <v>7.5354699999999992</v>
      </c>
      <c r="C57" s="563" t="s">
        <v>1407</v>
      </c>
      <c r="D57" s="591">
        <v>376.29790188679249</v>
      </c>
      <c r="E57" s="562" t="s">
        <v>979</v>
      </c>
      <c r="F57" s="562" t="s">
        <v>954</v>
      </c>
      <c r="G57" s="591">
        <v>376.29790188679249</v>
      </c>
      <c r="H57" s="566">
        <v>8.9161782857142882</v>
      </c>
      <c r="I57" s="567">
        <v>7.5354699999999992</v>
      </c>
    </row>
    <row r="58" spans="1:9" ht="11.25" customHeight="1">
      <c r="A58" s="503" t="s">
        <v>225</v>
      </c>
      <c r="B58" s="562">
        <v>42.259661000000008</v>
      </c>
      <c r="C58" s="563" t="s">
        <v>1407</v>
      </c>
      <c r="D58" s="591">
        <v>100</v>
      </c>
      <c r="E58" s="562" t="s">
        <v>979</v>
      </c>
      <c r="F58" s="562" t="s">
        <v>954</v>
      </c>
      <c r="G58" s="591">
        <v>204.33995287331547</v>
      </c>
      <c r="H58" s="566" t="s">
        <v>1394</v>
      </c>
      <c r="I58" s="567">
        <v>42.259661000000008</v>
      </c>
    </row>
    <row r="59" spans="1:9" ht="11.25" customHeight="1">
      <c r="A59" s="503" t="s">
        <v>226</v>
      </c>
      <c r="B59" s="562">
        <v>5.4557034965034959E-2</v>
      </c>
      <c r="C59" s="563" t="s">
        <v>673</v>
      </c>
      <c r="D59" s="591">
        <v>500</v>
      </c>
      <c r="E59" s="562" t="s">
        <v>979</v>
      </c>
      <c r="F59" s="562" t="s">
        <v>954</v>
      </c>
      <c r="G59" s="591">
        <v>2.8246065179655564</v>
      </c>
      <c r="H59" s="566">
        <v>5.4557034965034959E-2</v>
      </c>
      <c r="I59" s="567">
        <v>8.4916260000000001</v>
      </c>
    </row>
    <row r="60" spans="1:9" ht="11.25" customHeight="1">
      <c r="A60" s="503" t="s">
        <v>227</v>
      </c>
      <c r="B60" s="562">
        <v>1.1617684070381793</v>
      </c>
      <c r="C60" s="563" t="s">
        <v>674</v>
      </c>
      <c r="D60" s="591">
        <v>500</v>
      </c>
      <c r="E60" s="562" t="s">
        <v>979</v>
      </c>
      <c r="F60" s="562" t="s">
        <v>954</v>
      </c>
      <c r="G60" s="591">
        <v>1.1617684070381793</v>
      </c>
      <c r="H60" s="566" t="s">
        <v>954</v>
      </c>
      <c r="I60" s="567">
        <v>21.711140007125639</v>
      </c>
    </row>
    <row r="61" spans="1:9" ht="11.25" customHeight="1">
      <c r="A61" s="503" t="s">
        <v>361</v>
      </c>
      <c r="B61" s="562">
        <v>2.1784553645811879</v>
      </c>
      <c r="C61" s="563" t="s">
        <v>674</v>
      </c>
      <c r="D61" s="591">
        <v>500</v>
      </c>
      <c r="E61" s="562" t="s">
        <v>979</v>
      </c>
      <c r="F61" s="562" t="s">
        <v>954</v>
      </c>
      <c r="G61" s="591">
        <v>2.1784553645811879</v>
      </c>
      <c r="H61" s="566" t="s">
        <v>954</v>
      </c>
      <c r="I61" s="567">
        <v>63.459004600188678</v>
      </c>
    </row>
    <row r="62" spans="1:9" ht="11.25" customHeight="1">
      <c r="A62" s="503" t="s">
        <v>362</v>
      </c>
      <c r="B62" s="562">
        <v>1.9200322290192162</v>
      </c>
      <c r="C62" s="563" t="s">
        <v>674</v>
      </c>
      <c r="D62" s="591">
        <v>500</v>
      </c>
      <c r="E62" s="562" t="s">
        <v>979</v>
      </c>
      <c r="F62" s="562" t="s">
        <v>954</v>
      </c>
      <c r="G62" s="591">
        <v>1.9200322290192162</v>
      </c>
      <c r="H62" s="566" t="s">
        <v>954</v>
      </c>
      <c r="I62" s="567">
        <v>136.53682485800002</v>
      </c>
    </row>
    <row r="63" spans="1:9" ht="11.25" customHeight="1">
      <c r="A63" s="503" t="s">
        <v>363</v>
      </c>
      <c r="B63" s="562">
        <v>1.8212193250639632</v>
      </c>
      <c r="C63" s="563" t="s">
        <v>674</v>
      </c>
      <c r="D63" s="591">
        <v>1000</v>
      </c>
      <c r="E63" s="562" t="s">
        <v>979</v>
      </c>
      <c r="F63" s="562" t="s">
        <v>954</v>
      </c>
      <c r="G63" s="591">
        <v>1.8212193250639632</v>
      </c>
      <c r="H63" s="566" t="s">
        <v>954</v>
      </c>
      <c r="I63" s="567">
        <v>5.5643503540062893</v>
      </c>
    </row>
    <row r="64" spans="1:9" ht="11.25" customHeight="1">
      <c r="A64" s="503" t="s">
        <v>234</v>
      </c>
      <c r="B64" s="562">
        <v>0.37507961538461537</v>
      </c>
      <c r="C64" s="563" t="s">
        <v>673</v>
      </c>
      <c r="D64" s="591">
        <v>500</v>
      </c>
      <c r="E64" s="562" t="s">
        <v>979</v>
      </c>
      <c r="F64" s="562" t="s">
        <v>954</v>
      </c>
      <c r="G64" s="591">
        <v>3.8337235773200096</v>
      </c>
      <c r="H64" s="566">
        <v>0.37507961538461537</v>
      </c>
      <c r="I64" s="567">
        <v>33.234295599999996</v>
      </c>
    </row>
    <row r="65" spans="1:9" ht="11.25" customHeight="1">
      <c r="A65" s="503" t="s">
        <v>235</v>
      </c>
      <c r="B65" s="562">
        <v>2.3081822485207102E-2</v>
      </c>
      <c r="C65" s="563" t="s">
        <v>673</v>
      </c>
      <c r="D65" s="591">
        <v>500</v>
      </c>
      <c r="E65" s="562" t="s">
        <v>979</v>
      </c>
      <c r="F65" s="562" t="s">
        <v>954</v>
      </c>
      <c r="G65" s="591">
        <v>0.50063402707119875</v>
      </c>
      <c r="H65" s="566">
        <v>2.3081822485207102E-2</v>
      </c>
      <c r="I65" s="567">
        <v>2.5584009872689482</v>
      </c>
    </row>
    <row r="66" spans="1:9" ht="11.25" customHeight="1">
      <c r="A66" s="503" t="s">
        <v>294</v>
      </c>
      <c r="B66" s="562">
        <v>8.9161782857142882</v>
      </c>
      <c r="C66" s="563" t="s">
        <v>673</v>
      </c>
      <c r="D66" s="591">
        <v>500</v>
      </c>
      <c r="E66" s="562" t="s">
        <v>979</v>
      </c>
      <c r="F66" s="562" t="s">
        <v>954</v>
      </c>
      <c r="G66" s="591">
        <v>48.76242864214462</v>
      </c>
      <c r="H66" s="566">
        <v>8.9161782857142882</v>
      </c>
      <c r="I66" s="567">
        <v>649.99006799999995</v>
      </c>
    </row>
    <row r="67" spans="1:9" ht="11.25" customHeight="1">
      <c r="A67" s="503" t="s">
        <v>295</v>
      </c>
      <c r="B67" s="562">
        <v>1.7832356571428574</v>
      </c>
      <c r="C67" s="563" t="s">
        <v>673</v>
      </c>
      <c r="D67" s="591">
        <v>100</v>
      </c>
      <c r="E67" s="562" t="s">
        <v>979</v>
      </c>
      <c r="F67" s="562" t="s">
        <v>954</v>
      </c>
      <c r="G67" s="591">
        <v>13.091269762884867</v>
      </c>
      <c r="H67" s="566">
        <v>1.7832356571428574</v>
      </c>
      <c r="I67" s="567">
        <v>176.12264999999999</v>
      </c>
    </row>
    <row r="68" spans="1:9" ht="11.25" customHeight="1">
      <c r="A68" s="503" t="s">
        <v>228</v>
      </c>
      <c r="B68" s="562">
        <v>1.7832356571428574</v>
      </c>
      <c r="C68" s="563" t="s">
        <v>673</v>
      </c>
      <c r="D68" s="591">
        <v>500</v>
      </c>
      <c r="E68" s="562" t="s">
        <v>979</v>
      </c>
      <c r="F68" s="562" t="s">
        <v>954</v>
      </c>
      <c r="G68" s="591">
        <v>15.08165040563425</v>
      </c>
      <c r="H68" s="566">
        <v>1.7832356571428574</v>
      </c>
      <c r="I68" s="567">
        <v>168.79044000000005</v>
      </c>
    </row>
    <row r="69" spans="1:9" ht="11.25" customHeight="1">
      <c r="A69" s="503" t="s">
        <v>942</v>
      </c>
      <c r="B69" s="562">
        <v>7.3286070300000006E-2</v>
      </c>
      <c r="C69" s="563" t="s">
        <v>1407</v>
      </c>
      <c r="D69" s="591">
        <v>500</v>
      </c>
      <c r="E69" s="562" t="s">
        <v>979</v>
      </c>
      <c r="F69" s="562" t="s">
        <v>954</v>
      </c>
      <c r="G69" s="591">
        <v>37.928207733428785</v>
      </c>
      <c r="H69" s="566" t="s">
        <v>954</v>
      </c>
      <c r="I69" s="567">
        <v>7.3286070300000006E-2</v>
      </c>
    </row>
    <row r="70" spans="1:9" ht="11.25" customHeight="1">
      <c r="A70" s="503" t="s">
        <v>98</v>
      </c>
      <c r="B70" s="562">
        <v>0.63944364185000002</v>
      </c>
      <c r="C70" s="563" t="s">
        <v>1407</v>
      </c>
      <c r="D70" s="591">
        <v>500</v>
      </c>
      <c r="E70" s="562" t="s">
        <v>979</v>
      </c>
      <c r="F70" s="562" t="s">
        <v>954</v>
      </c>
      <c r="G70" s="591">
        <v>139.83692077823397</v>
      </c>
      <c r="H70" s="566" t="s">
        <v>954</v>
      </c>
      <c r="I70" s="567">
        <v>0.63944364185000002</v>
      </c>
    </row>
    <row r="71" spans="1:9" ht="11.25" customHeight="1">
      <c r="A71" s="503" t="s">
        <v>943</v>
      </c>
      <c r="B71" s="562">
        <v>0.1621965904365904</v>
      </c>
      <c r="C71" s="563" t="s">
        <v>673</v>
      </c>
      <c r="D71" s="591">
        <v>100</v>
      </c>
      <c r="E71" s="562" t="s">
        <v>979</v>
      </c>
      <c r="F71" s="562" t="s">
        <v>954</v>
      </c>
      <c r="G71" s="591">
        <v>2.6265264274451212</v>
      </c>
      <c r="H71" s="566">
        <v>0.1621965904365904</v>
      </c>
      <c r="I71" s="567">
        <v>2.7455800000000004</v>
      </c>
    </row>
    <row r="72" spans="1:9" ht="11.25" customHeight="1">
      <c r="A72" s="503" t="s">
        <v>296</v>
      </c>
      <c r="B72" s="562">
        <v>0.15003184615384613</v>
      </c>
      <c r="C72" s="563" t="s">
        <v>673</v>
      </c>
      <c r="D72" s="591">
        <v>500</v>
      </c>
      <c r="E72" s="562" t="s">
        <v>979</v>
      </c>
      <c r="F72" s="562" t="s">
        <v>954</v>
      </c>
      <c r="G72" s="591">
        <v>1.9127700817840205</v>
      </c>
      <c r="H72" s="566">
        <v>0.15003184615384613</v>
      </c>
      <c r="I72" s="567">
        <v>8.9246092000000008</v>
      </c>
    </row>
    <row r="73" spans="1:9" ht="11.25" customHeight="1">
      <c r="A73" s="503" t="s">
        <v>944</v>
      </c>
      <c r="B73" s="562">
        <v>2.5285471822285857</v>
      </c>
      <c r="C73" s="563" t="s">
        <v>674</v>
      </c>
      <c r="D73" s="591">
        <v>1000</v>
      </c>
      <c r="E73" s="562" t="s">
        <v>979</v>
      </c>
      <c r="F73" s="562" t="s">
        <v>954</v>
      </c>
      <c r="G73" s="591">
        <v>2.5285471822285857</v>
      </c>
      <c r="H73" s="566" t="s">
        <v>954</v>
      </c>
      <c r="I73" s="567">
        <v>23.524815135188682</v>
      </c>
    </row>
    <row r="74" spans="1:9" ht="11.25" customHeight="1">
      <c r="A74" s="503" t="s">
        <v>945</v>
      </c>
      <c r="B74" s="562">
        <v>17.068842544600002</v>
      </c>
      <c r="C74" s="563" t="s">
        <v>1407</v>
      </c>
      <c r="D74" s="591">
        <v>500</v>
      </c>
      <c r="E74" s="562" t="s">
        <v>979</v>
      </c>
      <c r="F74" s="562" t="s">
        <v>954</v>
      </c>
      <c r="G74" s="591">
        <v>10114.188728914341</v>
      </c>
      <c r="H74" s="566" t="s">
        <v>954</v>
      </c>
      <c r="I74" s="567">
        <v>17.068842544600002</v>
      </c>
    </row>
    <row r="75" spans="1:9" ht="11.25" customHeight="1">
      <c r="A75" s="503" t="s">
        <v>947</v>
      </c>
      <c r="B75" s="562">
        <v>57.151287655000004</v>
      </c>
      <c r="C75" s="563" t="s">
        <v>1407</v>
      </c>
      <c r="D75" s="591">
        <v>100</v>
      </c>
      <c r="E75" s="562" t="s">
        <v>979</v>
      </c>
      <c r="F75" s="562" t="s">
        <v>954</v>
      </c>
      <c r="G75" s="591">
        <v>252.8514983047302</v>
      </c>
      <c r="H75" s="566" t="s">
        <v>954</v>
      </c>
      <c r="I75" s="567">
        <v>57.151287655000004</v>
      </c>
    </row>
    <row r="76" spans="1:9" ht="11.25" customHeight="1">
      <c r="A76" s="503" t="s">
        <v>946</v>
      </c>
      <c r="B76" s="562">
        <v>74.37008555200002</v>
      </c>
      <c r="C76" s="563" t="s">
        <v>1407</v>
      </c>
      <c r="D76" s="591">
        <v>500</v>
      </c>
      <c r="E76" s="562" t="s">
        <v>979</v>
      </c>
      <c r="F76" s="562" t="s">
        <v>954</v>
      </c>
      <c r="G76" s="591">
        <v>126427.35911142928</v>
      </c>
      <c r="H76" s="566" t="s">
        <v>954</v>
      </c>
      <c r="I76" s="567">
        <v>74.37008555200002</v>
      </c>
    </row>
    <row r="77" spans="1:9" ht="11.25" customHeight="1">
      <c r="A77" s="515" t="s">
        <v>99</v>
      </c>
      <c r="B77" s="562">
        <v>1.2642735911142928</v>
      </c>
      <c r="C77" s="563" t="s">
        <v>674</v>
      </c>
      <c r="D77" s="591">
        <v>500</v>
      </c>
      <c r="E77" s="562" t="s">
        <v>979</v>
      </c>
      <c r="F77" s="562" t="s">
        <v>954</v>
      </c>
      <c r="G77" s="591">
        <v>1.2642735911142928</v>
      </c>
      <c r="H77" s="566" t="s">
        <v>954</v>
      </c>
      <c r="I77" s="567">
        <v>5.8365904143000007</v>
      </c>
    </row>
    <row r="78" spans="1:9" ht="11.25" customHeight="1">
      <c r="A78" s="503" t="s">
        <v>297</v>
      </c>
      <c r="B78" s="562">
        <v>25.285471822285853</v>
      </c>
      <c r="C78" s="563" t="s">
        <v>674</v>
      </c>
      <c r="D78" s="591">
        <v>500</v>
      </c>
      <c r="E78" s="562" t="s">
        <v>979</v>
      </c>
      <c r="F78" s="562" t="s">
        <v>954</v>
      </c>
      <c r="G78" s="591">
        <v>25.285471822285853</v>
      </c>
      <c r="H78" s="566" t="s">
        <v>954</v>
      </c>
      <c r="I78" s="567">
        <v>28.990973510958003</v>
      </c>
    </row>
    <row r="79" spans="1:9" ht="11.25" customHeight="1">
      <c r="A79" s="515" t="s">
        <v>100</v>
      </c>
      <c r="B79" s="562">
        <v>1.6790787415094435</v>
      </c>
      <c r="C79" s="563" t="s">
        <v>674</v>
      </c>
      <c r="D79" s="591">
        <v>500</v>
      </c>
      <c r="E79" s="562" t="s">
        <v>979</v>
      </c>
      <c r="F79" s="562" t="s">
        <v>954</v>
      </c>
      <c r="G79" s="591">
        <v>1.6790787415094435</v>
      </c>
      <c r="H79" s="566" t="s">
        <v>954</v>
      </c>
      <c r="I79" s="567">
        <v>10.51049286958</v>
      </c>
    </row>
    <row r="80" spans="1:9" ht="11.25" customHeight="1">
      <c r="A80" s="515" t="s">
        <v>101</v>
      </c>
      <c r="B80" s="562">
        <v>0.34934343533368617</v>
      </c>
      <c r="C80" s="563" t="s">
        <v>674</v>
      </c>
      <c r="D80" s="591">
        <v>500</v>
      </c>
      <c r="E80" s="562" t="s">
        <v>979</v>
      </c>
      <c r="F80" s="562" t="s">
        <v>954</v>
      </c>
      <c r="G80" s="591">
        <v>0.34934343533368617</v>
      </c>
      <c r="H80" s="566" t="s">
        <v>954</v>
      </c>
      <c r="I80" s="567">
        <v>10.726436077499999</v>
      </c>
    </row>
    <row r="81" spans="1:9" ht="11.25" customHeight="1">
      <c r="A81" s="503" t="s">
        <v>382</v>
      </c>
      <c r="B81" s="562">
        <v>5.2502538570849584</v>
      </c>
      <c r="C81" s="563" t="s">
        <v>674</v>
      </c>
      <c r="D81" s="591">
        <v>500</v>
      </c>
      <c r="E81" s="562" t="s">
        <v>979</v>
      </c>
      <c r="F81" s="562" t="s">
        <v>954</v>
      </c>
      <c r="G81" s="591">
        <v>5.2502538570849584</v>
      </c>
      <c r="H81" s="566" t="s">
        <v>1394</v>
      </c>
      <c r="I81" s="567">
        <v>23.069680000000002</v>
      </c>
    </row>
    <row r="82" spans="1:9" ht="11.25" customHeight="1">
      <c r="A82" s="458" t="s">
        <v>594</v>
      </c>
      <c r="B82" s="562">
        <v>2.4000000000000001E-4</v>
      </c>
      <c r="C82" s="563" t="s">
        <v>674</v>
      </c>
      <c r="D82" s="591">
        <v>1000</v>
      </c>
      <c r="E82" s="562" t="s">
        <v>979</v>
      </c>
      <c r="F82" s="562">
        <v>2.0000000000000002E-5</v>
      </c>
      <c r="G82" s="591">
        <v>2.4000000000000001E-4</v>
      </c>
      <c r="H82" s="566" t="s">
        <v>954</v>
      </c>
      <c r="I82" s="567">
        <v>0.29894007572327047</v>
      </c>
    </row>
    <row r="83" spans="1:9" ht="11.25" customHeight="1">
      <c r="A83" s="503" t="s">
        <v>102</v>
      </c>
      <c r="B83" s="562">
        <v>3.6221206207000001</v>
      </c>
      <c r="C83" s="563" t="s">
        <v>1407</v>
      </c>
      <c r="D83" s="591">
        <v>500</v>
      </c>
      <c r="E83" s="562" t="s">
        <v>979</v>
      </c>
      <c r="F83" s="562" t="s">
        <v>954</v>
      </c>
      <c r="G83" s="591">
        <v>25.285471822285853</v>
      </c>
      <c r="H83" s="566" t="s">
        <v>954</v>
      </c>
      <c r="I83" s="567">
        <v>3.6221206207000001</v>
      </c>
    </row>
    <row r="84" spans="1:9" ht="11.25" customHeight="1">
      <c r="A84" s="503" t="s">
        <v>370</v>
      </c>
      <c r="B84" s="562">
        <v>13.216616117924531</v>
      </c>
      <c r="C84" s="563" t="s">
        <v>1407</v>
      </c>
      <c r="D84" s="591">
        <v>500</v>
      </c>
      <c r="E84" s="562" t="s">
        <v>979</v>
      </c>
      <c r="F84" s="562" t="s">
        <v>954</v>
      </c>
      <c r="G84" s="591">
        <v>93.857142857142861</v>
      </c>
      <c r="H84" s="566" t="s">
        <v>954</v>
      </c>
      <c r="I84" s="567">
        <v>13.216616117924531</v>
      </c>
    </row>
    <row r="85" spans="1:9" ht="11.25" customHeight="1">
      <c r="A85" s="503" t="s">
        <v>337</v>
      </c>
      <c r="B85" s="562">
        <v>3.7928207733428785</v>
      </c>
      <c r="C85" s="563" t="s">
        <v>674</v>
      </c>
      <c r="D85" s="591">
        <v>500</v>
      </c>
      <c r="E85" s="562" t="s">
        <v>979</v>
      </c>
      <c r="F85" s="562" t="s">
        <v>954</v>
      </c>
      <c r="G85" s="591">
        <v>3.7928207733428785</v>
      </c>
      <c r="H85" s="566" t="s">
        <v>954</v>
      </c>
      <c r="I85" s="567">
        <v>30.160012305031447</v>
      </c>
    </row>
    <row r="86" spans="1:9" ht="11.25" customHeight="1">
      <c r="A86" s="503" t="s">
        <v>28</v>
      </c>
      <c r="B86" s="562">
        <v>0</v>
      </c>
      <c r="C86" s="563" t="s">
        <v>1407</v>
      </c>
      <c r="D86" s="591">
        <v>500</v>
      </c>
      <c r="E86" s="562" t="s">
        <v>979</v>
      </c>
      <c r="F86" s="562" t="s">
        <v>954</v>
      </c>
      <c r="G86" s="591" t="s">
        <v>954</v>
      </c>
      <c r="H86" s="566" t="s">
        <v>954</v>
      </c>
      <c r="I86" s="567">
        <v>0</v>
      </c>
    </row>
    <row r="87" spans="1:9" ht="11.25" customHeight="1">
      <c r="A87" s="503" t="s">
        <v>338</v>
      </c>
      <c r="B87" s="562">
        <v>17.232306000000005</v>
      </c>
      <c r="C87" s="563" t="s">
        <v>1407</v>
      </c>
      <c r="D87" s="591">
        <v>479.48318616352208</v>
      </c>
      <c r="E87" s="562" t="s">
        <v>979</v>
      </c>
      <c r="F87" s="562" t="s">
        <v>954</v>
      </c>
      <c r="G87" s="591">
        <v>62.483630071956853</v>
      </c>
      <c r="H87" s="566">
        <v>24.005095384615387</v>
      </c>
      <c r="I87" s="567">
        <v>17.232306000000005</v>
      </c>
    </row>
    <row r="88" spans="1:9" ht="11.25" customHeight="1">
      <c r="A88" s="503" t="s">
        <v>339</v>
      </c>
      <c r="B88" s="562">
        <v>119.66181814990003</v>
      </c>
      <c r="C88" s="563" t="s">
        <v>1407</v>
      </c>
      <c r="D88" s="591">
        <v>500</v>
      </c>
      <c r="E88" s="562" t="s">
        <v>979</v>
      </c>
      <c r="F88" s="562" t="s">
        <v>954</v>
      </c>
      <c r="G88" s="591">
        <v>478.19569558367709</v>
      </c>
      <c r="H88" s="566" t="s">
        <v>954</v>
      </c>
      <c r="I88" s="567">
        <v>119.66181814990003</v>
      </c>
    </row>
    <row r="89" spans="1:9" ht="11.25" customHeight="1">
      <c r="A89" s="503" t="s">
        <v>340</v>
      </c>
      <c r="B89" s="562">
        <v>93.052630320000006</v>
      </c>
      <c r="C89" s="563" t="s">
        <v>673</v>
      </c>
      <c r="D89" s="591">
        <v>500</v>
      </c>
      <c r="E89" s="562" t="s">
        <v>979</v>
      </c>
      <c r="F89" s="562" t="s">
        <v>954</v>
      </c>
      <c r="G89" s="591">
        <v>453.94296153544229</v>
      </c>
      <c r="H89" s="566">
        <v>93.052630320000006</v>
      </c>
      <c r="I89" s="567">
        <v>456.34676160000009</v>
      </c>
    </row>
    <row r="90" spans="1:9" ht="11.25" customHeight="1">
      <c r="A90" s="503" t="s">
        <v>103</v>
      </c>
      <c r="B90" s="562">
        <v>500</v>
      </c>
      <c r="C90" s="563" t="s">
        <v>1409</v>
      </c>
      <c r="D90" s="591">
        <v>500</v>
      </c>
      <c r="E90" s="562" t="s">
        <v>979</v>
      </c>
      <c r="F90" s="562" t="s">
        <v>954</v>
      </c>
      <c r="G90" s="591">
        <v>1264.2735911142927</v>
      </c>
      <c r="H90" s="566" t="s">
        <v>954</v>
      </c>
      <c r="I90" s="567">
        <v>7494.9000002802468</v>
      </c>
    </row>
    <row r="91" spans="1:9" ht="11.25" customHeight="1">
      <c r="A91" s="503" t="s">
        <v>341</v>
      </c>
      <c r="B91" s="562">
        <v>1.3201258135444218</v>
      </c>
      <c r="C91" s="563" t="s">
        <v>674</v>
      </c>
      <c r="D91" s="591">
        <v>1000</v>
      </c>
      <c r="E91" s="562" t="s">
        <v>979</v>
      </c>
      <c r="F91" s="562" t="s">
        <v>954</v>
      </c>
      <c r="G91" s="591">
        <v>1.3201258135444218</v>
      </c>
      <c r="H91" s="566" t="s">
        <v>954</v>
      </c>
      <c r="I91" s="567">
        <v>44.579208905660373</v>
      </c>
    </row>
    <row r="92" spans="1:9" ht="11.25" customHeight="1">
      <c r="A92" s="503" t="s">
        <v>342</v>
      </c>
      <c r="B92" s="562">
        <v>0.20335714285714288</v>
      </c>
      <c r="C92" s="563" t="s">
        <v>674</v>
      </c>
      <c r="D92" s="591">
        <v>1000</v>
      </c>
      <c r="E92" s="562" t="s">
        <v>979</v>
      </c>
      <c r="F92" s="562" t="s">
        <v>954</v>
      </c>
      <c r="G92" s="591">
        <v>0.20335714285714288</v>
      </c>
      <c r="H92" s="566" t="s">
        <v>954</v>
      </c>
      <c r="I92" s="567">
        <v>12.15203256100629</v>
      </c>
    </row>
    <row r="93" spans="1:9" ht="11.25" customHeight="1">
      <c r="A93" s="503" t="s">
        <v>371</v>
      </c>
      <c r="B93" s="562">
        <v>0.15642857142857144</v>
      </c>
      <c r="C93" s="563" t="s">
        <v>674</v>
      </c>
      <c r="D93" s="591">
        <v>500</v>
      </c>
      <c r="E93" s="562" t="s">
        <v>979</v>
      </c>
      <c r="F93" s="562" t="s">
        <v>954</v>
      </c>
      <c r="G93" s="591">
        <v>0.15642857142857144</v>
      </c>
      <c r="H93" s="566" t="s">
        <v>954</v>
      </c>
      <c r="I93" s="567">
        <v>0.23115615974842768</v>
      </c>
    </row>
    <row r="94" spans="1:9" ht="11.25" customHeight="1">
      <c r="A94" s="503" t="s">
        <v>343</v>
      </c>
      <c r="B94" s="562">
        <v>1.2706826027542686</v>
      </c>
      <c r="C94" s="563" t="s">
        <v>674</v>
      </c>
      <c r="D94" s="591">
        <v>500</v>
      </c>
      <c r="E94" s="562" t="s">
        <v>979</v>
      </c>
      <c r="F94" s="562" t="s">
        <v>954</v>
      </c>
      <c r="G94" s="591">
        <v>1.2706826027542686</v>
      </c>
      <c r="H94" s="566" t="s">
        <v>954</v>
      </c>
      <c r="I94" s="567">
        <v>2.2261052000000001</v>
      </c>
    </row>
    <row r="95" spans="1:9" ht="11.25" customHeight="1">
      <c r="A95" s="503" t="s">
        <v>364</v>
      </c>
      <c r="B95" s="562">
        <v>7.4558984912000012E-2</v>
      </c>
      <c r="C95" s="563" t="s">
        <v>1407</v>
      </c>
      <c r="D95" s="591">
        <v>500</v>
      </c>
      <c r="E95" s="562" t="s">
        <v>979</v>
      </c>
      <c r="F95" s="562" t="s">
        <v>954</v>
      </c>
      <c r="G95" s="591">
        <v>0.54847786239896112</v>
      </c>
      <c r="H95" s="566" t="s">
        <v>954</v>
      </c>
      <c r="I95" s="567">
        <v>7.4558984912000012E-2</v>
      </c>
    </row>
    <row r="96" spans="1:9" ht="11.25" customHeight="1">
      <c r="A96" s="503" t="s">
        <v>344</v>
      </c>
      <c r="B96" s="562">
        <v>1.9583143021736595</v>
      </c>
      <c r="C96" s="563" t="s">
        <v>674</v>
      </c>
      <c r="D96" s="591">
        <v>500</v>
      </c>
      <c r="E96" s="562" t="s">
        <v>979</v>
      </c>
      <c r="F96" s="562" t="s">
        <v>954</v>
      </c>
      <c r="G96" s="591">
        <v>1.9583143021736595</v>
      </c>
      <c r="H96" s="566" t="s">
        <v>954</v>
      </c>
      <c r="I96" s="567">
        <v>5.6876100000000003</v>
      </c>
    </row>
    <row r="97" spans="1:9" ht="11.25" customHeight="1">
      <c r="A97" s="503" t="s">
        <v>104</v>
      </c>
      <c r="B97" s="562">
        <v>417.2102850677166</v>
      </c>
      <c r="C97" s="563" t="s">
        <v>674</v>
      </c>
      <c r="D97" s="591">
        <v>500</v>
      </c>
      <c r="E97" s="562" t="s">
        <v>979</v>
      </c>
      <c r="F97" s="562" t="s">
        <v>954</v>
      </c>
      <c r="G97" s="591">
        <v>417.2102850677166</v>
      </c>
      <c r="H97" s="566" t="s">
        <v>954</v>
      </c>
      <c r="I97" s="567">
        <v>1074.0200007138053</v>
      </c>
    </row>
    <row r="98" spans="1:9" ht="11.25" customHeight="1">
      <c r="A98" s="503" t="s">
        <v>345</v>
      </c>
      <c r="B98" s="562">
        <v>11.285807709958021</v>
      </c>
      <c r="C98" s="563" t="s">
        <v>674</v>
      </c>
      <c r="D98" s="591">
        <v>500</v>
      </c>
      <c r="E98" s="562" t="s">
        <v>979</v>
      </c>
      <c r="F98" s="562" t="s">
        <v>954</v>
      </c>
      <c r="G98" s="591">
        <v>11.285807709958021</v>
      </c>
      <c r="H98" s="566" t="s">
        <v>954</v>
      </c>
      <c r="I98" s="567">
        <v>30.767270206382754</v>
      </c>
    </row>
    <row r="99" spans="1:9" ht="11.25" customHeight="1">
      <c r="A99" s="503" t="s">
        <v>105</v>
      </c>
      <c r="B99" s="562">
        <v>46.57315466</v>
      </c>
      <c r="C99" s="563" t="s">
        <v>1407</v>
      </c>
      <c r="D99" s="591">
        <v>500</v>
      </c>
      <c r="E99" s="562" t="s">
        <v>979</v>
      </c>
      <c r="F99" s="562" t="s">
        <v>954</v>
      </c>
      <c r="G99" s="591">
        <v>550.36828362211691</v>
      </c>
      <c r="H99" s="566" t="s">
        <v>954</v>
      </c>
      <c r="I99" s="567">
        <v>46.57315466</v>
      </c>
    </row>
    <row r="100" spans="1:9" ht="11.25" customHeight="1">
      <c r="A100" s="503" t="s">
        <v>346</v>
      </c>
      <c r="B100" s="562">
        <v>200</v>
      </c>
      <c r="C100" s="563" t="s">
        <v>674</v>
      </c>
      <c r="D100" s="591">
        <v>1000</v>
      </c>
      <c r="E100" s="562" t="s">
        <v>979</v>
      </c>
      <c r="F100" s="562">
        <v>73</v>
      </c>
      <c r="G100" s="591">
        <v>200</v>
      </c>
      <c r="H100" s="566" t="s">
        <v>954</v>
      </c>
      <c r="I100" s="567" t="s">
        <v>1408</v>
      </c>
    </row>
    <row r="101" spans="1:9" ht="11.25" customHeight="1">
      <c r="A101" s="503" t="s">
        <v>347</v>
      </c>
      <c r="B101" s="562">
        <v>4.6925983598593568</v>
      </c>
      <c r="C101" s="563" t="s">
        <v>674</v>
      </c>
      <c r="D101" s="591">
        <v>500</v>
      </c>
      <c r="E101" s="562" t="s">
        <v>979</v>
      </c>
      <c r="F101" s="562">
        <v>0.72</v>
      </c>
      <c r="G101" s="591">
        <v>4.6925983598593568</v>
      </c>
      <c r="H101" s="566" t="s">
        <v>954</v>
      </c>
      <c r="I101" s="567" t="s">
        <v>1408</v>
      </c>
    </row>
    <row r="102" spans="1:9" ht="11.25" customHeight="1">
      <c r="A102" s="503" t="s">
        <v>348</v>
      </c>
      <c r="B102" s="562">
        <v>16.144000157125785</v>
      </c>
      <c r="C102" s="563" t="s">
        <v>1407</v>
      </c>
      <c r="D102" s="591">
        <v>500</v>
      </c>
      <c r="E102" s="562" t="s">
        <v>979</v>
      </c>
      <c r="F102" s="562" t="s">
        <v>954</v>
      </c>
      <c r="G102" s="591">
        <v>63.213679555714634</v>
      </c>
      <c r="H102" s="566" t="s">
        <v>954</v>
      </c>
      <c r="I102" s="567">
        <v>16.144000157125785</v>
      </c>
    </row>
    <row r="103" spans="1:9" ht="11.25" customHeight="1">
      <c r="A103" s="503" t="s">
        <v>350</v>
      </c>
      <c r="B103" s="562">
        <v>55.122950000000003</v>
      </c>
      <c r="C103" s="563" t="s">
        <v>1407</v>
      </c>
      <c r="D103" s="591">
        <v>500</v>
      </c>
      <c r="E103" s="562" t="s">
        <v>979</v>
      </c>
      <c r="F103" s="562" t="s">
        <v>954</v>
      </c>
      <c r="G103" s="591">
        <v>5607.4340205591161</v>
      </c>
      <c r="H103" s="566">
        <v>2229.044571428572</v>
      </c>
      <c r="I103" s="567">
        <v>55.122950000000003</v>
      </c>
    </row>
    <row r="104" spans="1:9" ht="11.25" customHeight="1">
      <c r="A104" s="503" t="s">
        <v>351</v>
      </c>
      <c r="B104" s="562">
        <v>6.5132760000000012</v>
      </c>
      <c r="C104" s="563" t="s">
        <v>1407</v>
      </c>
      <c r="D104" s="591">
        <v>100</v>
      </c>
      <c r="E104" s="562" t="s">
        <v>979</v>
      </c>
      <c r="F104" s="562" t="s">
        <v>954</v>
      </c>
      <c r="G104" s="591">
        <v>3356.5423899371067</v>
      </c>
      <c r="H104" s="566">
        <v>1337.4267428571429</v>
      </c>
      <c r="I104" s="567">
        <v>6.5132760000000012</v>
      </c>
    </row>
    <row r="105" spans="1:9" ht="11.25" customHeight="1">
      <c r="A105" s="503" t="s">
        <v>352</v>
      </c>
      <c r="B105" s="562">
        <v>1.5642857142857143</v>
      </c>
      <c r="C105" s="563" t="s">
        <v>674</v>
      </c>
      <c r="D105" s="591">
        <v>100</v>
      </c>
      <c r="E105" s="562" t="s">
        <v>979</v>
      </c>
      <c r="F105" s="562" t="s">
        <v>954</v>
      </c>
      <c r="G105" s="591">
        <v>1.5642857142857143</v>
      </c>
      <c r="H105" s="566" t="s">
        <v>954</v>
      </c>
      <c r="I105" s="567" t="s">
        <v>1408</v>
      </c>
    </row>
    <row r="106" spans="1:9" ht="11.25" customHeight="1">
      <c r="A106" s="503" t="s">
        <v>353</v>
      </c>
      <c r="B106" s="562">
        <v>2.3081822485207097</v>
      </c>
      <c r="C106" s="563" t="s">
        <v>673</v>
      </c>
      <c r="D106" s="591">
        <v>100</v>
      </c>
      <c r="E106" s="562" t="s">
        <v>979</v>
      </c>
      <c r="F106" s="562" t="s">
        <v>954</v>
      </c>
      <c r="G106" s="591">
        <v>49.897973388145594</v>
      </c>
      <c r="H106" s="566">
        <v>2.3081822485207097</v>
      </c>
      <c r="I106" s="567">
        <v>10.045962000000001</v>
      </c>
    </row>
    <row r="107" spans="1:9" ht="11.25" customHeight="1">
      <c r="A107" s="503" t="s">
        <v>349</v>
      </c>
      <c r="B107" s="562">
        <v>21.671266666666664</v>
      </c>
      <c r="C107" s="563" t="s">
        <v>673</v>
      </c>
      <c r="D107" s="591">
        <v>500</v>
      </c>
      <c r="E107" s="562" t="s">
        <v>979</v>
      </c>
      <c r="F107" s="562" t="s">
        <v>954</v>
      </c>
      <c r="G107" s="591">
        <v>57.608321104047015</v>
      </c>
      <c r="H107" s="566">
        <v>21.671266666666664</v>
      </c>
      <c r="I107" s="567">
        <v>204.76738</v>
      </c>
    </row>
    <row r="108" spans="1:9" ht="11.25" customHeight="1">
      <c r="A108" s="458" t="s">
        <v>590</v>
      </c>
      <c r="B108" s="562">
        <v>15.644102090000001</v>
      </c>
      <c r="C108" s="563" t="s">
        <v>1407</v>
      </c>
      <c r="D108" s="591">
        <v>500</v>
      </c>
      <c r="E108" s="562" t="s">
        <v>979</v>
      </c>
      <c r="F108" s="562" t="s">
        <v>954</v>
      </c>
      <c r="G108" s="591">
        <v>169.01743569313257</v>
      </c>
      <c r="H108" s="566">
        <v>394.015536</v>
      </c>
      <c r="I108" s="567">
        <v>15.644102090000001</v>
      </c>
    </row>
    <row r="109" spans="1:9" ht="11.25" customHeight="1">
      <c r="A109" s="458" t="s">
        <v>591</v>
      </c>
      <c r="B109" s="562">
        <v>17.412176880000001</v>
      </c>
      <c r="C109" s="563" t="s">
        <v>1407</v>
      </c>
      <c r="D109" s="591">
        <v>500</v>
      </c>
      <c r="E109" s="562" t="s">
        <v>979</v>
      </c>
      <c r="F109" s="562" t="s">
        <v>954</v>
      </c>
      <c r="G109" s="591">
        <v>38.017884706403599</v>
      </c>
      <c r="H109" s="566">
        <v>43.956236800788616</v>
      </c>
      <c r="I109" s="567">
        <v>17.412176880000001</v>
      </c>
    </row>
    <row r="110" spans="1:9" ht="11.25" customHeight="1">
      <c r="A110" s="503" t="s">
        <v>465</v>
      </c>
      <c r="B110" s="562">
        <v>78.203503981200072</v>
      </c>
      <c r="C110" s="563" t="s">
        <v>674</v>
      </c>
      <c r="D110" s="591">
        <v>1000</v>
      </c>
      <c r="E110" s="562" t="s">
        <v>979</v>
      </c>
      <c r="F110" s="562">
        <v>4</v>
      </c>
      <c r="G110" s="591">
        <v>78.203503981200072</v>
      </c>
      <c r="H110" s="566" t="s">
        <v>954</v>
      </c>
      <c r="I110" s="567" t="s">
        <v>1408</v>
      </c>
    </row>
    <row r="111" spans="1:9" ht="11.25" customHeight="1">
      <c r="A111" s="503" t="s">
        <v>466</v>
      </c>
      <c r="B111" s="562">
        <v>6.9968054941286626</v>
      </c>
      <c r="C111" s="563" t="s">
        <v>673</v>
      </c>
      <c r="D111" s="591">
        <v>500</v>
      </c>
      <c r="E111" s="562" t="s">
        <v>979</v>
      </c>
      <c r="F111" s="562" t="s">
        <v>954</v>
      </c>
      <c r="G111" s="591">
        <v>20.639007337759541</v>
      </c>
      <c r="H111" s="566">
        <v>6.9968054941286626</v>
      </c>
      <c r="I111" s="567">
        <v>54.397366800000015</v>
      </c>
    </row>
    <row r="112" spans="1:9" ht="11.25" customHeight="1">
      <c r="A112" s="503" t="s">
        <v>812</v>
      </c>
      <c r="B112" s="562">
        <v>410</v>
      </c>
      <c r="C112" s="563" t="s">
        <v>380</v>
      </c>
      <c r="D112" s="591">
        <v>1000</v>
      </c>
      <c r="E112" s="562" t="s">
        <v>979</v>
      </c>
      <c r="F112" s="562">
        <v>410</v>
      </c>
      <c r="G112" s="591">
        <v>124.37096748749823</v>
      </c>
      <c r="H112" s="566" t="s">
        <v>954</v>
      </c>
      <c r="I112" s="567" t="s">
        <v>1408</v>
      </c>
    </row>
    <row r="113" spans="1:9" ht="11.25" customHeight="1">
      <c r="A113" s="515" t="s">
        <v>106</v>
      </c>
      <c r="B113" s="562">
        <v>5.5889478096309899</v>
      </c>
      <c r="C113" s="563" t="s">
        <v>674</v>
      </c>
      <c r="D113" s="591">
        <v>500</v>
      </c>
      <c r="E113" s="562" t="s">
        <v>979</v>
      </c>
      <c r="F113" s="562" t="s">
        <v>954</v>
      </c>
      <c r="G113" s="591">
        <v>5.5889478096309899</v>
      </c>
      <c r="H113" s="566" t="s">
        <v>1394</v>
      </c>
      <c r="I113" s="567">
        <v>75.462736000000007</v>
      </c>
    </row>
    <row r="114" spans="1:9" ht="11.25" customHeight="1">
      <c r="A114" s="515" t="s">
        <v>107</v>
      </c>
      <c r="B114" s="562">
        <v>1.2642735911142928</v>
      </c>
      <c r="C114" s="563" t="s">
        <v>674</v>
      </c>
      <c r="D114" s="591">
        <v>500</v>
      </c>
      <c r="E114" s="562" t="s">
        <v>979</v>
      </c>
      <c r="F114" s="562" t="s">
        <v>954</v>
      </c>
      <c r="G114" s="591">
        <v>1.2642735911142928</v>
      </c>
      <c r="H114" s="566" t="s">
        <v>954</v>
      </c>
      <c r="I114" s="567">
        <v>3.0757344014400001</v>
      </c>
    </row>
    <row r="115" spans="1:9" ht="11.25" customHeight="1">
      <c r="A115" s="515" t="s">
        <v>108</v>
      </c>
      <c r="B115" s="562">
        <v>3.0562200956937802</v>
      </c>
      <c r="C115" s="563" t="s">
        <v>674</v>
      </c>
      <c r="D115" s="591">
        <v>500</v>
      </c>
      <c r="E115" s="562" t="s">
        <v>979</v>
      </c>
      <c r="F115" s="562" t="s">
        <v>954</v>
      </c>
      <c r="G115" s="591">
        <v>3.0562200956937802</v>
      </c>
      <c r="H115" s="566" t="s">
        <v>1394</v>
      </c>
      <c r="I115" s="567">
        <v>39.424186240000004</v>
      </c>
    </row>
    <row r="116" spans="1:9" ht="11.25" customHeight="1">
      <c r="A116" s="515" t="s">
        <v>109</v>
      </c>
      <c r="B116" s="562">
        <v>1.2642735911142928</v>
      </c>
      <c r="C116" s="563" t="s">
        <v>674</v>
      </c>
      <c r="D116" s="591">
        <v>500</v>
      </c>
      <c r="E116" s="562" t="s">
        <v>979</v>
      </c>
      <c r="F116" s="562" t="s">
        <v>954</v>
      </c>
      <c r="G116" s="591">
        <v>1.2642735911142928</v>
      </c>
      <c r="H116" s="566" t="s">
        <v>954</v>
      </c>
      <c r="I116" s="567">
        <v>22.932591538</v>
      </c>
    </row>
    <row r="117" spans="1:9" ht="11.25" customHeight="1">
      <c r="A117" s="515" t="s">
        <v>110</v>
      </c>
      <c r="B117" s="562">
        <v>24.733643272000002</v>
      </c>
      <c r="C117" s="563" t="s">
        <v>1407</v>
      </c>
      <c r="D117" s="591">
        <v>500</v>
      </c>
      <c r="E117" s="562" t="s">
        <v>979</v>
      </c>
      <c r="F117" s="562" t="s">
        <v>954</v>
      </c>
      <c r="G117" s="591">
        <v>32.678116840063197</v>
      </c>
      <c r="H117" s="566" t="s">
        <v>954</v>
      </c>
      <c r="I117" s="567">
        <v>24.733643272000002</v>
      </c>
    </row>
    <row r="118" spans="1:9" ht="11.25" customHeight="1">
      <c r="A118" s="503" t="s">
        <v>467</v>
      </c>
      <c r="B118" s="562">
        <v>0.98017273127524474</v>
      </c>
      <c r="C118" s="563" t="s">
        <v>674</v>
      </c>
      <c r="D118" s="591">
        <v>500</v>
      </c>
      <c r="E118" s="562" t="s">
        <v>979</v>
      </c>
      <c r="F118" s="562" t="s">
        <v>954</v>
      </c>
      <c r="G118" s="591">
        <v>0.98017273127524474</v>
      </c>
      <c r="H118" s="566" t="s">
        <v>954</v>
      </c>
      <c r="I118" s="567">
        <v>1.2775380172750002</v>
      </c>
    </row>
    <row r="119" spans="1:9" ht="11.25" customHeight="1">
      <c r="A119" s="515" t="s">
        <v>111</v>
      </c>
      <c r="B119" s="562">
        <v>113.78462320028632</v>
      </c>
      <c r="C119" s="563" t="s">
        <v>674</v>
      </c>
      <c r="D119" s="591">
        <v>500</v>
      </c>
      <c r="E119" s="562" t="s">
        <v>979</v>
      </c>
      <c r="F119" s="562" t="s">
        <v>954</v>
      </c>
      <c r="G119" s="591">
        <v>113.78462320028632</v>
      </c>
      <c r="H119" s="566" t="s">
        <v>954</v>
      </c>
      <c r="I119" s="567">
        <v>2312.3552734856503</v>
      </c>
    </row>
    <row r="120" spans="1:9" ht="11.25" customHeight="1">
      <c r="A120" s="503" t="s">
        <v>231</v>
      </c>
      <c r="B120" s="562">
        <v>1.2</v>
      </c>
      <c r="C120" s="563" t="s">
        <v>1407</v>
      </c>
      <c r="D120" s="591">
        <v>1000</v>
      </c>
      <c r="E120" s="562" t="s">
        <v>979</v>
      </c>
      <c r="F120" s="562" t="s">
        <v>954</v>
      </c>
      <c r="G120" s="591">
        <v>10.95</v>
      </c>
      <c r="H120" s="566" t="s">
        <v>954</v>
      </c>
      <c r="I120" s="567">
        <v>1.2</v>
      </c>
    </row>
    <row r="121" spans="1:9" ht="11.25" customHeight="1">
      <c r="A121" s="503" t="s">
        <v>468</v>
      </c>
      <c r="B121" s="562">
        <v>463.04414452751359</v>
      </c>
      <c r="C121" s="563" t="s">
        <v>674</v>
      </c>
      <c r="D121" s="591">
        <v>500</v>
      </c>
      <c r="E121" s="562" t="s">
        <v>979</v>
      </c>
      <c r="F121" s="562" t="s">
        <v>954</v>
      </c>
      <c r="G121" s="591">
        <v>463.04414452751359</v>
      </c>
      <c r="H121" s="566" t="s">
        <v>1394</v>
      </c>
      <c r="I121" s="567">
        <v>697.27318052999988</v>
      </c>
    </row>
    <row r="122" spans="1:9" ht="11.25" customHeight="1">
      <c r="A122" s="503" t="s">
        <v>469</v>
      </c>
      <c r="B122" s="562">
        <v>9.323174492999998</v>
      </c>
      <c r="C122" s="563" t="s">
        <v>1407</v>
      </c>
      <c r="D122" s="591">
        <v>500</v>
      </c>
      <c r="E122" s="562" t="s">
        <v>979</v>
      </c>
      <c r="F122" s="562" t="s">
        <v>954</v>
      </c>
      <c r="G122" s="591">
        <v>3792.5672185128146</v>
      </c>
      <c r="H122" s="566" t="s">
        <v>954</v>
      </c>
      <c r="I122" s="567">
        <v>9.323174492999998</v>
      </c>
    </row>
    <row r="123" spans="1:9" ht="11.25" customHeight="1">
      <c r="A123" s="503" t="s">
        <v>365</v>
      </c>
      <c r="B123" s="562">
        <v>1.1741947383207836</v>
      </c>
      <c r="C123" s="563" t="s">
        <v>674</v>
      </c>
      <c r="D123" s="591">
        <v>500</v>
      </c>
      <c r="E123" s="562" t="s">
        <v>979</v>
      </c>
      <c r="F123" s="562" t="s">
        <v>954</v>
      </c>
      <c r="G123" s="591">
        <v>1.1741947383207836</v>
      </c>
      <c r="H123" s="566" t="s">
        <v>954</v>
      </c>
      <c r="I123" s="567">
        <v>43.32947592</v>
      </c>
    </row>
    <row r="124" spans="1:9" ht="11.25" customHeight="1">
      <c r="A124" s="503" t="s">
        <v>112</v>
      </c>
      <c r="B124" s="562">
        <v>109.7758044845575</v>
      </c>
      <c r="C124" s="563" t="s">
        <v>1407</v>
      </c>
      <c r="D124" s="591">
        <v>500</v>
      </c>
      <c r="E124" s="562" t="s">
        <v>979</v>
      </c>
      <c r="F124" s="562" t="s">
        <v>954</v>
      </c>
      <c r="G124" s="591">
        <v>1264.2735911142927</v>
      </c>
      <c r="H124" s="566" t="s">
        <v>954</v>
      </c>
      <c r="I124" s="567">
        <v>109.7758044845575</v>
      </c>
    </row>
    <row r="125" spans="1:9" ht="11.25" customHeight="1">
      <c r="A125" s="503" t="s">
        <v>470</v>
      </c>
      <c r="B125" s="562">
        <v>44.028912348000006</v>
      </c>
      <c r="C125" s="563" t="s">
        <v>673</v>
      </c>
      <c r="D125" s="591">
        <v>500</v>
      </c>
      <c r="E125" s="562" t="s">
        <v>979</v>
      </c>
      <c r="F125" s="562" t="s">
        <v>954</v>
      </c>
      <c r="G125" s="591">
        <v>356.36905187830342</v>
      </c>
      <c r="H125" s="566">
        <v>44.028912348000006</v>
      </c>
      <c r="I125" s="567">
        <v>608.88472767000007</v>
      </c>
    </row>
    <row r="126" spans="1:9" ht="11.25" customHeight="1">
      <c r="A126" s="503" t="s">
        <v>471</v>
      </c>
      <c r="B126" s="562">
        <v>78.213207407198283</v>
      </c>
      <c r="C126" s="563" t="s">
        <v>674</v>
      </c>
      <c r="D126" s="591">
        <v>1000</v>
      </c>
      <c r="E126" s="562" t="s">
        <v>979</v>
      </c>
      <c r="F126" s="562">
        <v>7.1</v>
      </c>
      <c r="G126" s="591">
        <v>78.213207407198283</v>
      </c>
      <c r="H126" s="566" t="s">
        <v>954</v>
      </c>
      <c r="I126" s="567" t="s">
        <v>1408</v>
      </c>
    </row>
    <row r="127" spans="1:9" ht="11.25" customHeight="1">
      <c r="A127" s="503" t="s">
        <v>813</v>
      </c>
      <c r="B127" s="562">
        <v>78.214285714285708</v>
      </c>
      <c r="C127" s="563" t="s">
        <v>674</v>
      </c>
      <c r="D127" s="591">
        <v>1000</v>
      </c>
      <c r="E127" s="562" t="s">
        <v>979</v>
      </c>
      <c r="F127" s="562">
        <v>1.5</v>
      </c>
      <c r="G127" s="591">
        <v>78.214285714285708</v>
      </c>
      <c r="H127" s="566" t="s">
        <v>954</v>
      </c>
      <c r="I127" s="567" t="s">
        <v>1408</v>
      </c>
    </row>
    <row r="128" spans="1:9" ht="11.25" customHeight="1">
      <c r="A128" s="503" t="s">
        <v>113</v>
      </c>
      <c r="B128" s="562">
        <v>1.9455204667664003</v>
      </c>
      <c r="C128" s="563" t="s">
        <v>1407</v>
      </c>
      <c r="D128" s="591">
        <v>500</v>
      </c>
      <c r="E128" s="562" t="s">
        <v>979</v>
      </c>
      <c r="F128" s="562" t="s">
        <v>954</v>
      </c>
      <c r="G128" s="591">
        <v>4.3570822453417595</v>
      </c>
      <c r="H128" s="566" t="s">
        <v>954</v>
      </c>
      <c r="I128" s="567">
        <v>1.9455204667664003</v>
      </c>
    </row>
    <row r="129" spans="1:9" ht="11.25" customHeight="1">
      <c r="A129" s="503" t="s">
        <v>472</v>
      </c>
      <c r="B129" s="562">
        <v>10.057542000000002</v>
      </c>
      <c r="C129" s="563" t="s">
        <v>1407</v>
      </c>
      <c r="D129" s="591">
        <v>500</v>
      </c>
      <c r="E129" s="562" t="s">
        <v>979</v>
      </c>
      <c r="F129" s="562" t="s">
        <v>954</v>
      </c>
      <c r="G129" s="591">
        <v>867.20140880503141</v>
      </c>
      <c r="H129" s="566">
        <v>445.80891428571431</v>
      </c>
      <c r="I129" s="567">
        <v>10.057542000000002</v>
      </c>
    </row>
    <row r="130" spans="1:9" ht="11.25" customHeight="1">
      <c r="A130" s="503" t="s">
        <v>114</v>
      </c>
      <c r="B130" s="562">
        <v>2.0901222739155294</v>
      </c>
      <c r="C130" s="563" t="s">
        <v>1407</v>
      </c>
      <c r="D130" s="591">
        <v>500</v>
      </c>
      <c r="E130" s="562" t="s">
        <v>979</v>
      </c>
      <c r="F130" s="562" t="s">
        <v>954</v>
      </c>
      <c r="G130" s="591">
        <v>164.35556684485806</v>
      </c>
      <c r="H130" s="566" t="s">
        <v>954</v>
      </c>
      <c r="I130" s="567">
        <v>2.0901222739155294</v>
      </c>
    </row>
    <row r="131" spans="1:9" ht="11.25" customHeight="1">
      <c r="A131" s="503" t="s">
        <v>19</v>
      </c>
      <c r="B131" s="562">
        <v>20.254185000000003</v>
      </c>
      <c r="C131" s="563" t="s">
        <v>1407</v>
      </c>
      <c r="D131" s="591">
        <v>100</v>
      </c>
      <c r="E131" s="562" t="s">
        <v>979</v>
      </c>
      <c r="F131" s="562" t="s">
        <v>954</v>
      </c>
      <c r="G131" s="591">
        <v>1344.7368421052633</v>
      </c>
      <c r="H131" s="566" t="s">
        <v>1394</v>
      </c>
      <c r="I131" s="567">
        <v>20.254185000000003</v>
      </c>
    </row>
    <row r="132" spans="1:9" ht="11.25" customHeight="1">
      <c r="A132" s="503" t="s">
        <v>473</v>
      </c>
      <c r="B132" s="562">
        <v>2.1697025011683992</v>
      </c>
      <c r="C132" s="563" t="s">
        <v>674</v>
      </c>
      <c r="D132" s="591">
        <v>100</v>
      </c>
      <c r="E132" s="562" t="s">
        <v>979</v>
      </c>
      <c r="F132" s="562" t="s">
        <v>954</v>
      </c>
      <c r="G132" s="591">
        <v>2.1697025011683992</v>
      </c>
      <c r="H132" s="566" t="s">
        <v>1394</v>
      </c>
      <c r="I132" s="567">
        <v>22.944829600000002</v>
      </c>
    </row>
    <row r="133" spans="1:9" ht="11.25" customHeight="1">
      <c r="A133" s="503" t="s">
        <v>474</v>
      </c>
      <c r="B133" s="562">
        <v>1.0347023872679044E-2</v>
      </c>
      <c r="C133" s="563" t="s">
        <v>673</v>
      </c>
      <c r="D133" s="591">
        <v>500</v>
      </c>
      <c r="E133" s="562" t="s">
        <v>979</v>
      </c>
      <c r="F133" s="562" t="s">
        <v>954</v>
      </c>
      <c r="G133" s="591">
        <v>0.64236269696443038</v>
      </c>
      <c r="H133" s="566">
        <v>1.0347023872679044E-2</v>
      </c>
      <c r="I133" s="567">
        <v>4.3406778365182381</v>
      </c>
    </row>
    <row r="134" spans="1:9" ht="11.25" customHeight="1">
      <c r="A134" s="503" t="s">
        <v>475</v>
      </c>
      <c r="B134" s="562">
        <v>9.8381538461538437E-2</v>
      </c>
      <c r="C134" s="563" t="s">
        <v>673</v>
      </c>
      <c r="D134" s="591">
        <v>166.02402867924528</v>
      </c>
      <c r="E134" s="562" t="s">
        <v>979</v>
      </c>
      <c r="F134" s="562" t="s">
        <v>954</v>
      </c>
      <c r="G134" s="591">
        <v>1.1398717475371951</v>
      </c>
      <c r="H134" s="566">
        <v>9.8381538461538437E-2</v>
      </c>
      <c r="I134" s="567">
        <v>24.757739463813646</v>
      </c>
    </row>
    <row r="135" spans="1:9" ht="11.25" customHeight="1">
      <c r="A135" s="503" t="s">
        <v>115</v>
      </c>
      <c r="B135" s="562">
        <v>0.51188083760000003</v>
      </c>
      <c r="C135" s="563" t="s">
        <v>1407</v>
      </c>
      <c r="D135" s="591">
        <v>500</v>
      </c>
      <c r="E135" s="562" t="s">
        <v>979</v>
      </c>
      <c r="F135" s="562" t="s">
        <v>954</v>
      </c>
      <c r="G135" s="591">
        <v>379.28207733428781</v>
      </c>
      <c r="H135" s="566" t="s">
        <v>954</v>
      </c>
      <c r="I135" s="567">
        <v>0.51188083760000003</v>
      </c>
    </row>
    <row r="136" spans="1:9" ht="11.25" customHeight="1">
      <c r="A136" s="515" t="s">
        <v>116</v>
      </c>
      <c r="B136" s="562">
        <v>105.89472648010802</v>
      </c>
      <c r="C136" s="563" t="s">
        <v>1407</v>
      </c>
      <c r="D136" s="591">
        <v>500</v>
      </c>
      <c r="E136" s="562" t="s">
        <v>979</v>
      </c>
      <c r="F136" s="562" t="s">
        <v>954</v>
      </c>
      <c r="G136" s="591">
        <v>771.16303781051113</v>
      </c>
      <c r="H136" s="566" t="s">
        <v>954</v>
      </c>
      <c r="I136" s="567">
        <v>105.89472648010802</v>
      </c>
    </row>
    <row r="137" spans="1:9" ht="11.25" customHeight="1">
      <c r="A137" s="503" t="s">
        <v>476</v>
      </c>
      <c r="B137" s="562">
        <v>0.78214285714285714</v>
      </c>
      <c r="C137" s="563" t="s">
        <v>674</v>
      </c>
      <c r="D137" s="591">
        <v>1000</v>
      </c>
      <c r="E137" s="562" t="s">
        <v>979</v>
      </c>
      <c r="F137" s="562">
        <v>0.25</v>
      </c>
      <c r="G137" s="591">
        <v>0.78214285714285714</v>
      </c>
      <c r="H137" s="566" t="s">
        <v>954</v>
      </c>
      <c r="I137" s="567" t="s">
        <v>1408</v>
      </c>
    </row>
    <row r="138" spans="1:9" ht="11.25" customHeight="1">
      <c r="A138" s="503" t="s">
        <v>366</v>
      </c>
      <c r="B138" s="562">
        <v>31.917439999999999</v>
      </c>
      <c r="C138" s="563" t="s">
        <v>1407</v>
      </c>
      <c r="D138" s="591">
        <v>500</v>
      </c>
      <c r="E138" s="562" t="s">
        <v>979</v>
      </c>
      <c r="F138" s="562" t="s">
        <v>954</v>
      </c>
      <c r="G138" s="591">
        <v>817.67394716981141</v>
      </c>
      <c r="H138" s="566">
        <v>817.29880000000014</v>
      </c>
      <c r="I138" s="567">
        <v>31.917439999999999</v>
      </c>
    </row>
    <row r="139" spans="1:9" ht="11.25" customHeight="1">
      <c r="A139" s="503" t="s">
        <v>20</v>
      </c>
      <c r="B139" s="562">
        <v>0.47529913041323968</v>
      </c>
      <c r="C139" s="563" t="s">
        <v>674</v>
      </c>
      <c r="D139" s="591">
        <v>500</v>
      </c>
      <c r="E139" s="562" t="s">
        <v>979</v>
      </c>
      <c r="F139" s="562" t="s">
        <v>954</v>
      </c>
      <c r="G139" s="591">
        <v>0.47529913041323968</v>
      </c>
      <c r="H139" s="566" t="s">
        <v>954</v>
      </c>
      <c r="I139" s="567">
        <v>254.81502602987422</v>
      </c>
    </row>
    <row r="140" spans="1:9" ht="11.25" customHeight="1">
      <c r="A140" s="503" t="s">
        <v>57</v>
      </c>
      <c r="B140" s="562">
        <v>100</v>
      </c>
      <c r="C140" s="563" t="s">
        <v>1409</v>
      </c>
      <c r="D140" s="591">
        <v>100</v>
      </c>
      <c r="E140" s="562" t="s">
        <v>979</v>
      </c>
      <c r="F140" s="562" t="s">
        <v>954</v>
      </c>
      <c r="G140" s="591">
        <v>194.95991204485469</v>
      </c>
      <c r="H140" s="566" t="s">
        <v>1394</v>
      </c>
      <c r="I140" s="567">
        <v>5000</v>
      </c>
    </row>
    <row r="141" spans="1:9" ht="11.25" customHeight="1">
      <c r="A141" s="503" t="s">
        <v>56</v>
      </c>
      <c r="B141" s="562">
        <v>183.39493451041466</v>
      </c>
      <c r="C141" s="563" t="s">
        <v>674</v>
      </c>
      <c r="D141" s="591">
        <v>500</v>
      </c>
      <c r="E141" s="562" t="s">
        <v>979</v>
      </c>
      <c r="F141" s="562" t="s">
        <v>954</v>
      </c>
      <c r="G141" s="591">
        <v>183.39493451041466</v>
      </c>
      <c r="H141" s="566" t="s">
        <v>1394</v>
      </c>
      <c r="I141" s="567">
        <v>5000</v>
      </c>
    </row>
    <row r="142" spans="1:9" ht="11.25" customHeight="1">
      <c r="A142" s="503" t="s">
        <v>777</v>
      </c>
      <c r="B142" s="562">
        <v>500</v>
      </c>
      <c r="C142" s="563" t="s">
        <v>1409</v>
      </c>
      <c r="D142" s="591">
        <v>500</v>
      </c>
      <c r="E142" s="562" t="s">
        <v>979</v>
      </c>
      <c r="F142" s="562" t="s">
        <v>954</v>
      </c>
      <c r="G142" s="591">
        <v>1251.4195942435338</v>
      </c>
      <c r="H142" s="566" t="s">
        <v>954</v>
      </c>
      <c r="I142" s="567">
        <v>5000</v>
      </c>
    </row>
    <row r="143" spans="1:9" ht="11.25" customHeight="1">
      <c r="A143" s="503" t="s">
        <v>814</v>
      </c>
      <c r="B143" s="562">
        <v>0.17652248407169688</v>
      </c>
      <c r="C143" s="563" t="s">
        <v>673</v>
      </c>
      <c r="D143" s="591">
        <v>500</v>
      </c>
      <c r="E143" s="562" t="s">
        <v>979</v>
      </c>
      <c r="F143" s="562" t="s">
        <v>954</v>
      </c>
      <c r="G143" s="591">
        <v>12.423206309478356</v>
      </c>
      <c r="H143" s="566">
        <v>0.17652248407169688</v>
      </c>
      <c r="I143" s="567">
        <v>98.190035999999992</v>
      </c>
    </row>
    <row r="144" spans="1:9" ht="11.25" customHeight="1">
      <c r="A144" s="503" t="s">
        <v>815</v>
      </c>
      <c r="B144" s="562">
        <v>222.90445714285715</v>
      </c>
      <c r="C144" s="563" t="s">
        <v>673</v>
      </c>
      <c r="D144" s="591">
        <v>500</v>
      </c>
      <c r="E144" s="562" t="s">
        <v>979</v>
      </c>
      <c r="F144" s="562" t="s">
        <v>954</v>
      </c>
      <c r="G144" s="591">
        <v>639.65388301886787</v>
      </c>
      <c r="H144" s="566">
        <v>222.90445714285715</v>
      </c>
      <c r="I144" s="567">
        <v>676.82844000000011</v>
      </c>
    </row>
    <row r="145" spans="1:9" ht="11.25" customHeight="1">
      <c r="A145" s="503" t="s">
        <v>477</v>
      </c>
      <c r="B145" s="562">
        <v>8.9161782857142876E-3</v>
      </c>
      <c r="C145" s="563" t="s">
        <v>673</v>
      </c>
      <c r="D145" s="591">
        <v>100</v>
      </c>
      <c r="E145" s="562" t="s">
        <v>979</v>
      </c>
      <c r="F145" s="562" t="s">
        <v>954</v>
      </c>
      <c r="G145" s="591">
        <v>0.32364531998538026</v>
      </c>
      <c r="H145" s="566">
        <v>8.9161782857142876E-3</v>
      </c>
      <c r="I145" s="567">
        <v>1.6171378439206749</v>
      </c>
    </row>
    <row r="146" spans="1:9" ht="11.25" customHeight="1">
      <c r="A146" s="503" t="s">
        <v>478</v>
      </c>
      <c r="B146" s="562">
        <v>8.9161782857142866E-2</v>
      </c>
      <c r="C146" s="563" t="s">
        <v>673</v>
      </c>
      <c r="D146" s="591">
        <v>500</v>
      </c>
      <c r="E146" s="562" t="s">
        <v>979</v>
      </c>
      <c r="F146" s="562" t="s">
        <v>954</v>
      </c>
      <c r="G146" s="591">
        <v>0.88767733974939533</v>
      </c>
      <c r="H146" s="566">
        <v>8.9161782857142866E-2</v>
      </c>
      <c r="I146" s="567">
        <v>14.94096390998954</v>
      </c>
    </row>
    <row r="147" spans="1:9" ht="11.25" customHeight="1">
      <c r="A147" s="503" t="s">
        <v>479</v>
      </c>
      <c r="B147" s="562">
        <v>4.5069028304000005</v>
      </c>
      <c r="C147" s="563" t="s">
        <v>1407</v>
      </c>
      <c r="D147" s="591">
        <v>100</v>
      </c>
      <c r="E147" s="562" t="s">
        <v>979</v>
      </c>
      <c r="F147" s="562" t="s">
        <v>954</v>
      </c>
      <c r="G147" s="591">
        <v>1264.257491523651</v>
      </c>
      <c r="H147" s="566" t="s">
        <v>954</v>
      </c>
      <c r="I147" s="567">
        <v>4.5069028304000005</v>
      </c>
    </row>
    <row r="148" spans="1:9" ht="11.25" customHeight="1">
      <c r="A148" s="503" t="s">
        <v>480</v>
      </c>
      <c r="B148" s="562">
        <v>2.4672233898</v>
      </c>
      <c r="C148" s="563" t="s">
        <v>1407</v>
      </c>
      <c r="D148" s="591">
        <v>500</v>
      </c>
      <c r="E148" s="562" t="s">
        <v>979</v>
      </c>
      <c r="F148" s="562" t="s">
        <v>954</v>
      </c>
      <c r="G148" s="591">
        <v>12.642735911142926</v>
      </c>
      <c r="H148" s="566" t="s">
        <v>954</v>
      </c>
      <c r="I148" s="567">
        <v>2.4672233898</v>
      </c>
    </row>
    <row r="149" spans="1:9" ht="11.25" customHeight="1">
      <c r="A149" s="515" t="s">
        <v>117</v>
      </c>
      <c r="B149" s="562">
        <v>12.184769044617401</v>
      </c>
      <c r="C149" s="563" t="s">
        <v>1407</v>
      </c>
      <c r="D149" s="591">
        <v>1000</v>
      </c>
      <c r="E149" s="562" t="s">
        <v>979</v>
      </c>
      <c r="F149" s="562" t="s">
        <v>954</v>
      </c>
      <c r="G149" s="591">
        <v>126.42735911142927</v>
      </c>
      <c r="H149" s="566" t="s">
        <v>954</v>
      </c>
      <c r="I149" s="567">
        <v>12.184769044617401</v>
      </c>
    </row>
    <row r="150" spans="1:9" ht="11.25" customHeight="1">
      <c r="A150" s="503" t="s">
        <v>118</v>
      </c>
      <c r="B150" s="562">
        <v>7.8569612505990012</v>
      </c>
      <c r="C150" s="563" t="s">
        <v>1407</v>
      </c>
      <c r="D150" s="591">
        <v>500</v>
      </c>
      <c r="E150" s="562" t="s">
        <v>979</v>
      </c>
      <c r="F150" s="562" t="s">
        <v>954</v>
      </c>
      <c r="G150" s="591">
        <v>101.14188728914341</v>
      </c>
      <c r="H150" s="566" t="s">
        <v>954</v>
      </c>
      <c r="I150" s="567">
        <v>7.8569612505990012</v>
      </c>
    </row>
    <row r="151" spans="1:9" ht="11.25" customHeight="1">
      <c r="A151" s="503" t="s">
        <v>119</v>
      </c>
      <c r="B151" s="562">
        <v>5.029527559055118E-3</v>
      </c>
      <c r="C151" s="563" t="s">
        <v>674</v>
      </c>
      <c r="D151" s="591">
        <v>100</v>
      </c>
      <c r="E151" s="562" t="s">
        <v>979</v>
      </c>
      <c r="F151" s="562" t="s">
        <v>954</v>
      </c>
      <c r="G151" s="591">
        <v>5.029527559055118E-3</v>
      </c>
      <c r="H151" s="566" t="s">
        <v>1394</v>
      </c>
      <c r="I151" s="567">
        <v>2.9866451999999999</v>
      </c>
    </row>
    <row r="152" spans="1:9" ht="11.25" customHeight="1">
      <c r="A152" s="503" t="s">
        <v>120</v>
      </c>
      <c r="B152" s="562">
        <v>0.15845058605710996</v>
      </c>
      <c r="C152" s="563" t="s">
        <v>674</v>
      </c>
      <c r="D152" s="591">
        <v>100</v>
      </c>
      <c r="E152" s="562" t="s">
        <v>979</v>
      </c>
      <c r="F152" s="562" t="s">
        <v>954</v>
      </c>
      <c r="G152" s="591">
        <v>0.15845058605710996</v>
      </c>
      <c r="H152" s="566" t="s">
        <v>1394</v>
      </c>
      <c r="I152" s="567">
        <v>0.43626651913429476</v>
      </c>
    </row>
    <row r="153" spans="1:9" ht="11.25" customHeight="1">
      <c r="A153" s="503" t="s">
        <v>602</v>
      </c>
      <c r="B153" s="562">
        <v>55.787894350000002</v>
      </c>
      <c r="C153" s="563" t="s">
        <v>1407</v>
      </c>
      <c r="D153" s="591">
        <v>100</v>
      </c>
      <c r="E153" s="562" t="s">
        <v>979</v>
      </c>
      <c r="F153" s="562" t="s">
        <v>954</v>
      </c>
      <c r="G153" s="591">
        <v>87.320574162679421</v>
      </c>
      <c r="H153" s="566" t="s">
        <v>954</v>
      </c>
      <c r="I153" s="567">
        <v>55.787894350000002</v>
      </c>
    </row>
    <row r="154" spans="1:9" ht="11.25" customHeight="1">
      <c r="A154" s="515" t="s">
        <v>939</v>
      </c>
      <c r="B154" s="562">
        <v>7.5432070893285008</v>
      </c>
      <c r="C154" s="563" t="s">
        <v>1407</v>
      </c>
      <c r="D154" s="591">
        <v>500</v>
      </c>
      <c r="E154" s="562" t="s">
        <v>979</v>
      </c>
      <c r="F154" s="562" t="s">
        <v>954</v>
      </c>
      <c r="G154" s="591">
        <v>449.03985437165932</v>
      </c>
      <c r="H154" s="566" t="s">
        <v>954</v>
      </c>
      <c r="I154" s="567">
        <v>7.5432070893285008</v>
      </c>
    </row>
    <row r="155" spans="1:9" ht="11.25" customHeight="1">
      <c r="A155" s="515" t="s">
        <v>603</v>
      </c>
      <c r="B155" s="562">
        <v>30.171580463643995</v>
      </c>
      <c r="C155" s="563" t="s">
        <v>1407</v>
      </c>
      <c r="D155" s="591">
        <v>500</v>
      </c>
      <c r="E155" s="562" t="s">
        <v>979</v>
      </c>
      <c r="F155" s="562" t="s">
        <v>954</v>
      </c>
      <c r="G155" s="591">
        <v>31.237531954550995</v>
      </c>
      <c r="H155" s="566" t="s">
        <v>954</v>
      </c>
      <c r="I155" s="567">
        <v>30.171580463643995</v>
      </c>
    </row>
    <row r="156" spans="1:9" ht="11.25" customHeight="1">
      <c r="A156" s="515" t="s">
        <v>605</v>
      </c>
      <c r="B156" s="562">
        <v>7.2694180429212993</v>
      </c>
      <c r="C156" s="563" t="s">
        <v>674</v>
      </c>
      <c r="D156" s="591">
        <v>500</v>
      </c>
      <c r="E156" s="562" t="s">
        <v>979</v>
      </c>
      <c r="F156" s="562" t="s">
        <v>954</v>
      </c>
      <c r="G156" s="591">
        <v>7.2694180429212993</v>
      </c>
      <c r="H156" s="566" t="s">
        <v>954</v>
      </c>
      <c r="I156" s="567">
        <v>98.026347372870006</v>
      </c>
    </row>
    <row r="157" spans="1:9" ht="11.25" customHeight="1">
      <c r="A157" s="503" t="s">
        <v>481</v>
      </c>
      <c r="B157" s="562">
        <v>770</v>
      </c>
      <c r="C157" s="563" t="s">
        <v>380</v>
      </c>
      <c r="D157" s="591">
        <v>1000</v>
      </c>
      <c r="E157" s="562" t="s">
        <v>979</v>
      </c>
      <c r="F157" s="562">
        <v>770</v>
      </c>
      <c r="G157" s="591">
        <v>77.999214351185017</v>
      </c>
      <c r="H157" s="566" t="s">
        <v>954</v>
      </c>
      <c r="I157" s="567" t="s">
        <v>1408</v>
      </c>
    </row>
    <row r="158" spans="1:9" ht="11.25" customHeight="1">
      <c r="A158" s="503" t="s">
        <v>482</v>
      </c>
      <c r="B158" s="562">
        <v>3.6336480000000004E-2</v>
      </c>
      <c r="C158" s="563" t="s">
        <v>673</v>
      </c>
      <c r="D158" s="591">
        <v>500</v>
      </c>
      <c r="E158" s="562" t="s">
        <v>979</v>
      </c>
      <c r="F158" s="562" t="s">
        <v>954</v>
      </c>
      <c r="G158" s="591">
        <v>5.8999999999999997E-2</v>
      </c>
      <c r="H158" s="566">
        <v>3.6336480000000004E-2</v>
      </c>
      <c r="I158" s="567">
        <v>3.2814192109612192</v>
      </c>
    </row>
    <row r="159" spans="1:9" ht="11.25" customHeight="1">
      <c r="A159" s="503" t="s">
        <v>483</v>
      </c>
      <c r="B159" s="562">
        <v>24.041348000000003</v>
      </c>
      <c r="C159" s="563" t="s">
        <v>1407</v>
      </c>
      <c r="D159" s="591">
        <v>259.54240000000004</v>
      </c>
      <c r="E159" s="562" t="s">
        <v>979</v>
      </c>
      <c r="F159" s="562" t="s">
        <v>954</v>
      </c>
      <c r="G159" s="591">
        <v>129.23345456467081</v>
      </c>
      <c r="H159" s="566">
        <v>44.580891428571441</v>
      </c>
      <c r="I159" s="567">
        <v>24.041348000000003</v>
      </c>
    </row>
    <row r="160" spans="1:9" ht="11.25" customHeight="1" thickBot="1">
      <c r="A160" s="503" t="s">
        <v>484</v>
      </c>
      <c r="B160" s="562">
        <v>1000</v>
      </c>
      <c r="C160" s="563" t="s">
        <v>1409</v>
      </c>
      <c r="D160" s="591">
        <v>1000</v>
      </c>
      <c r="E160" s="562" t="s">
        <v>979</v>
      </c>
      <c r="F160" s="562">
        <v>349</v>
      </c>
      <c r="G160" s="591">
        <v>4692.8571428571431</v>
      </c>
      <c r="H160" s="566" t="s">
        <v>954</v>
      </c>
      <c r="I160" s="594" t="s">
        <v>1408</v>
      </c>
    </row>
    <row r="161" spans="1:9" ht="22.5" customHeight="1" thickTop="1">
      <c r="A161" s="465" t="s">
        <v>615</v>
      </c>
      <c r="B161" s="562" t="s">
        <v>486</v>
      </c>
      <c r="C161" s="562" t="s">
        <v>367</v>
      </c>
      <c r="D161" s="591" t="s">
        <v>367</v>
      </c>
      <c r="E161" s="562" t="s">
        <v>367</v>
      </c>
      <c r="F161" s="562" t="s">
        <v>367</v>
      </c>
      <c r="G161" s="565" t="s">
        <v>367</v>
      </c>
      <c r="H161" s="566" t="s">
        <v>367</v>
      </c>
      <c r="I161" s="592" t="s">
        <v>367</v>
      </c>
    </row>
    <row r="162" spans="1:9" ht="11.25" customHeight="1" thickBot="1">
      <c r="A162" s="466" t="s">
        <v>616</v>
      </c>
      <c r="B162" s="572" t="s">
        <v>368</v>
      </c>
      <c r="C162" s="572" t="s">
        <v>367</v>
      </c>
      <c r="D162" s="573" t="s">
        <v>367</v>
      </c>
      <c r="E162" s="572" t="s">
        <v>367</v>
      </c>
      <c r="F162" s="572" t="s">
        <v>367</v>
      </c>
      <c r="G162" s="575" t="s">
        <v>367</v>
      </c>
      <c r="H162" s="576" t="s">
        <v>367</v>
      </c>
      <c r="I162" s="593" t="s">
        <v>367</v>
      </c>
    </row>
    <row r="163" spans="1:9" s="1" customFormat="1" ht="11.25" customHeight="1" thickTop="1">
      <c r="A163" s="474" t="s">
        <v>488</v>
      </c>
      <c r="B163" s="475"/>
      <c r="C163" s="475"/>
      <c r="D163" s="475"/>
      <c r="E163" s="475"/>
      <c r="F163" s="518"/>
      <c r="G163" s="475"/>
      <c r="H163" s="475"/>
      <c r="I163" s="578"/>
    </row>
    <row r="164" spans="1:9" ht="11.25" customHeight="1">
      <c r="A164" s="4" t="s">
        <v>491</v>
      </c>
      <c r="B164" s="475"/>
      <c r="C164" s="475"/>
      <c r="D164" s="475"/>
      <c r="E164" s="595"/>
      <c r="F164" s="475"/>
      <c r="G164" s="475"/>
      <c r="H164" s="475"/>
      <c r="I164" s="476"/>
    </row>
    <row r="165" spans="1:9" ht="11.25" customHeight="1">
      <c r="A165" s="474"/>
      <c r="B165" s="475"/>
      <c r="C165" s="475"/>
      <c r="D165" s="475"/>
      <c r="E165" s="595"/>
      <c r="F165" s="475"/>
      <c r="G165" s="475"/>
      <c r="H165" s="475"/>
      <c r="I165" s="476"/>
    </row>
    <row r="166" spans="1:9" ht="11.25" customHeight="1">
      <c r="A166" s="479" t="s">
        <v>391</v>
      </c>
      <c r="B166" s="475"/>
      <c r="C166" s="475"/>
      <c r="D166" s="475"/>
      <c r="E166" s="475"/>
      <c r="F166" s="518"/>
      <c r="G166" s="475"/>
      <c r="H166" s="475"/>
      <c r="I166" s="476"/>
    </row>
    <row r="167" spans="1:9" ht="11.25" customHeight="1">
      <c r="A167" s="479" t="s">
        <v>617</v>
      </c>
      <c r="B167" s="475"/>
      <c r="C167" s="475"/>
      <c r="D167" s="475"/>
      <c r="E167" s="475"/>
      <c r="F167" s="518"/>
      <c r="G167" s="475"/>
      <c r="H167" s="475"/>
      <c r="I167" s="476"/>
    </row>
    <row r="168" spans="1:9" ht="11.25" customHeight="1">
      <c r="A168" s="4" t="s">
        <v>1076</v>
      </c>
      <c r="B168" s="475"/>
      <c r="C168" s="475"/>
      <c r="D168" s="475"/>
      <c r="E168" s="475"/>
      <c r="F168" s="518"/>
      <c r="G168" s="475"/>
      <c r="H168" s="475"/>
      <c r="I168" s="476"/>
    </row>
    <row r="169" spans="1:9" ht="11.25" customHeight="1">
      <c r="A169" s="479" t="s">
        <v>778</v>
      </c>
      <c r="B169" s="475"/>
      <c r="C169" s="475"/>
      <c r="D169" s="475"/>
      <c r="E169" s="475"/>
      <c r="F169" s="518"/>
      <c r="G169" s="475"/>
      <c r="H169" s="475"/>
      <c r="I169" s="476"/>
    </row>
    <row r="170" spans="1:9" ht="11.25" customHeight="1" thickBot="1">
      <c r="A170" s="5"/>
      <c r="B170" s="579"/>
      <c r="C170" s="579"/>
      <c r="D170" s="579"/>
      <c r="E170" s="579"/>
      <c r="F170" s="580"/>
      <c r="G170" s="579"/>
      <c r="H170" s="579"/>
      <c r="I170" s="581"/>
    </row>
    <row r="171" spans="1:9" ht="10.5" thickTop="1"/>
  </sheetData>
  <sheetProtection algorithmName="SHA-512" hashValue="ivN3WHA2HcIDB92W9OmtEGUJbeS5/RjBLzE+ESXg+sUrG9jgBmaz1i2Sgi/i/gyVIHMNNCUjetALxYEtd387+g==" saltValue="Rsl/0tFm77Md3Om/v9F03g==" spinCount="100000" sheet="1" objects="1" scenarios="1"/>
  <mergeCells count="5">
    <mergeCell ref="F4:F5"/>
    <mergeCell ref="A4:A6"/>
    <mergeCell ref="B4:B6"/>
    <mergeCell ref="D4:D5"/>
    <mergeCell ref="E4:E5"/>
  </mergeCells>
  <phoneticPr fontId="0" type="noConversion"/>
  <printOptions horizontalCentered="1"/>
  <pageMargins left="0.17" right="0.16" top="0.53" bottom="1" header="0.5" footer="0.5"/>
  <pageSetup scale="75" fitToHeight="4" orientation="landscape" r:id="rId1"/>
  <headerFooter alignWithMargins="0">
    <oddFooter>&amp;LHawai'i DOH
Spring 2024&amp;C&amp;8Page &amp;P of &amp;N&amp;R&amp;A</oddFooter>
  </headerFooter>
  <rowBreaks count="1" manualBreakCount="1">
    <brk id="16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29"/>
    <pageSetUpPr fitToPage="1"/>
  </sheetPr>
  <dimension ref="A1:K171"/>
  <sheetViews>
    <sheetView zoomScale="85" zoomScaleNormal="85" workbookViewId="0">
      <pane ySplit="3180" topLeftCell="A7" activePane="bottomLeft"/>
      <selection activeCell="B7" sqref="B7"/>
      <selection pane="bottomLeft" activeCell="B7" sqref="B7"/>
    </sheetView>
  </sheetViews>
  <sheetFormatPr defaultColWidth="8.73046875" defaultRowHeight="10.15"/>
  <cols>
    <col min="1" max="1" width="40.73046875" style="3" customWidth="1"/>
    <col min="2" max="2" width="12.1328125" style="481" customWidth="1"/>
    <col min="3" max="3" width="19.73046875" style="481" customWidth="1"/>
    <col min="4" max="4" width="13.73046875" style="3" customWidth="1"/>
    <col min="5" max="5" width="13.59765625" style="3" customWidth="1"/>
    <col min="6" max="6" width="11.86328125" style="3" customWidth="1"/>
    <col min="7" max="7" width="13.59765625" style="3" customWidth="1"/>
    <col min="8" max="8" width="11.3984375" style="3" customWidth="1"/>
    <col min="9" max="9" width="12.73046875" style="583" customWidth="1"/>
    <col min="10" max="16384" width="8.73046875" style="3"/>
  </cols>
  <sheetData>
    <row r="1" spans="1:11" ht="45">
      <c r="A1" s="6" t="s">
        <v>496</v>
      </c>
      <c r="B1" s="530"/>
      <c r="C1" s="530"/>
      <c r="D1" s="530"/>
      <c r="E1" s="444"/>
      <c r="F1" s="531"/>
      <c r="G1" s="531"/>
      <c r="H1" s="530"/>
      <c r="I1" s="530"/>
      <c r="J1" s="530"/>
      <c r="K1" s="2"/>
    </row>
    <row r="2" spans="1:11" ht="15.95" customHeight="1" thickBot="1">
      <c r="A2" s="596"/>
      <c r="B2" s="530"/>
      <c r="C2" s="530"/>
      <c r="D2" s="531"/>
      <c r="E2" s="531"/>
      <c r="F2" s="531"/>
      <c r="G2" s="531"/>
      <c r="H2" s="531"/>
      <c r="I2" s="530"/>
    </row>
    <row r="3" spans="1:11" s="588" customFormat="1" ht="14.1" customHeight="1" thickTop="1" thickBot="1">
      <c r="A3" s="584"/>
      <c r="B3" s="534" t="s">
        <v>841</v>
      </c>
      <c r="C3" s="585"/>
      <c r="D3" s="586"/>
      <c r="E3" s="586"/>
      <c r="F3" s="587"/>
      <c r="G3" s="586"/>
      <c r="H3" s="586"/>
      <c r="I3" s="446"/>
    </row>
    <row r="4" spans="1:11" s="588" customFormat="1" ht="39" customHeight="1" thickTop="1" thickBot="1">
      <c r="A4" s="1403" t="s">
        <v>232</v>
      </c>
      <c r="B4" s="1408" t="s">
        <v>842</v>
      </c>
      <c r="C4" s="541"/>
      <c r="D4" s="1406" t="s">
        <v>909</v>
      </c>
      <c r="E4" s="1401" t="s">
        <v>1027</v>
      </c>
      <c r="F4" s="1401" t="s">
        <v>380</v>
      </c>
      <c r="G4" s="542" t="s">
        <v>907</v>
      </c>
      <c r="H4" s="543"/>
      <c r="I4" s="544" t="s">
        <v>390</v>
      </c>
    </row>
    <row r="5" spans="1:11" s="588" customFormat="1" ht="45.75" customHeight="1">
      <c r="A5" s="1403"/>
      <c r="B5" s="1409"/>
      <c r="C5" s="545"/>
      <c r="D5" s="1407"/>
      <c r="E5" s="1402"/>
      <c r="F5" s="1402"/>
      <c r="G5" s="546" t="s">
        <v>606</v>
      </c>
      <c r="H5" s="547" t="s">
        <v>547</v>
      </c>
      <c r="I5" s="548" t="s">
        <v>72</v>
      </c>
    </row>
    <row r="6" spans="1:11" s="588" customFormat="1" ht="10.5" thickBot="1">
      <c r="A6" s="1411"/>
      <c r="B6" s="1410"/>
      <c r="C6" s="549" t="s">
        <v>485</v>
      </c>
      <c r="D6" s="550" t="s">
        <v>837</v>
      </c>
      <c r="E6" s="551" t="s">
        <v>838</v>
      </c>
      <c r="F6" s="552" t="s">
        <v>836</v>
      </c>
      <c r="G6" s="553" t="s">
        <v>464</v>
      </c>
      <c r="H6" s="554" t="s">
        <v>839</v>
      </c>
      <c r="I6" s="555" t="s">
        <v>989</v>
      </c>
    </row>
    <row r="7" spans="1:11" ht="11.25" customHeight="1">
      <c r="A7" s="454" t="s">
        <v>548</v>
      </c>
      <c r="B7" s="556">
        <v>118.02725999999998</v>
      </c>
      <c r="C7" s="557" t="s">
        <v>673</v>
      </c>
      <c r="D7" s="556">
        <v>1000</v>
      </c>
      <c r="E7" s="556" t="s">
        <v>979</v>
      </c>
      <c r="F7" s="556" t="s">
        <v>954</v>
      </c>
      <c r="G7" s="498">
        <v>647.71344582513132</v>
      </c>
      <c r="H7" s="560">
        <v>118.02725999999998</v>
      </c>
      <c r="I7" s="561">
        <v>118.02733726415093</v>
      </c>
    </row>
    <row r="8" spans="1:11" ht="11.25" customHeight="1">
      <c r="A8" s="458" t="s">
        <v>549</v>
      </c>
      <c r="B8" s="562">
        <v>5.5120019500000001</v>
      </c>
      <c r="C8" s="563" t="s">
        <v>1407</v>
      </c>
      <c r="D8" s="562">
        <v>500</v>
      </c>
      <c r="E8" s="562" t="s">
        <v>979</v>
      </c>
      <c r="F8" s="562" t="s">
        <v>954</v>
      </c>
      <c r="G8" s="502">
        <v>339.48905290891071</v>
      </c>
      <c r="H8" s="566" t="s">
        <v>1394</v>
      </c>
      <c r="I8" s="567">
        <v>5.5120019500000001</v>
      </c>
    </row>
    <row r="9" spans="1:11" ht="11.25" customHeight="1">
      <c r="A9" s="458" t="s">
        <v>550</v>
      </c>
      <c r="B9" s="562">
        <v>0.9234675</v>
      </c>
      <c r="C9" s="563" t="s">
        <v>1407</v>
      </c>
      <c r="D9" s="562">
        <v>500</v>
      </c>
      <c r="E9" s="562" t="s">
        <v>979</v>
      </c>
      <c r="F9" s="562" t="s">
        <v>954</v>
      </c>
      <c r="G9" s="502">
        <v>5739.0879292078434</v>
      </c>
      <c r="H9" s="566">
        <v>1420.3494838238926</v>
      </c>
      <c r="I9" s="567">
        <v>0.9234675</v>
      </c>
    </row>
    <row r="10" spans="1:11" ht="11.25" customHeight="1">
      <c r="A10" s="458" t="s">
        <v>551</v>
      </c>
      <c r="B10" s="562">
        <v>3.910714285714286</v>
      </c>
      <c r="C10" s="563" t="s">
        <v>674</v>
      </c>
      <c r="D10" s="562">
        <v>1000</v>
      </c>
      <c r="E10" s="562" t="s">
        <v>979</v>
      </c>
      <c r="F10" s="562" t="s">
        <v>954</v>
      </c>
      <c r="G10" s="502">
        <v>3.910714285714286</v>
      </c>
      <c r="H10" s="566" t="s">
        <v>954</v>
      </c>
      <c r="I10" s="567">
        <v>8.3677457928301884</v>
      </c>
    </row>
    <row r="11" spans="1:11" ht="11.25" customHeight="1">
      <c r="A11" s="458" t="s">
        <v>161</v>
      </c>
      <c r="B11" s="562">
        <v>49.756850427759993</v>
      </c>
      <c r="C11" s="563" t="s">
        <v>1407</v>
      </c>
      <c r="D11" s="562">
        <v>500</v>
      </c>
      <c r="E11" s="562" t="s">
        <v>979</v>
      </c>
      <c r="F11" s="562" t="s">
        <v>954</v>
      </c>
      <c r="G11" s="502">
        <v>113.78462320028632</v>
      </c>
      <c r="H11" s="566" t="s">
        <v>954</v>
      </c>
      <c r="I11" s="567">
        <v>49.756850427759993</v>
      </c>
    </row>
    <row r="12" spans="1:11" ht="11.25" customHeight="1">
      <c r="A12" s="462" t="s">
        <v>162</v>
      </c>
      <c r="B12" s="562">
        <v>0.84560400368695798</v>
      </c>
      <c r="C12" s="563" t="s">
        <v>1407</v>
      </c>
      <c r="D12" s="562">
        <v>500</v>
      </c>
      <c r="E12" s="562" t="s">
        <v>979</v>
      </c>
      <c r="F12" s="562" t="s">
        <v>954</v>
      </c>
      <c r="G12" s="502">
        <v>1.5423260756210222</v>
      </c>
      <c r="H12" s="566" t="s">
        <v>954</v>
      </c>
      <c r="I12" s="567">
        <v>0.84560400368695798</v>
      </c>
    </row>
    <row r="13" spans="1:11" ht="11.25" customHeight="1">
      <c r="A13" s="462" t="s">
        <v>94</v>
      </c>
      <c r="B13" s="562">
        <v>0.51675800225314095</v>
      </c>
      <c r="C13" s="563" t="s">
        <v>1407</v>
      </c>
      <c r="D13" s="562">
        <v>500</v>
      </c>
      <c r="E13" s="562" t="s">
        <v>979</v>
      </c>
      <c r="F13" s="562" t="s">
        <v>954</v>
      </c>
      <c r="G13" s="502">
        <v>1.5315758488811595</v>
      </c>
      <c r="H13" s="566" t="s">
        <v>954</v>
      </c>
      <c r="I13" s="567">
        <v>0.51675800225314095</v>
      </c>
    </row>
    <row r="14" spans="1:11" ht="11.25" customHeight="1">
      <c r="A14" s="458" t="s">
        <v>552</v>
      </c>
      <c r="B14" s="562">
        <v>4.2251984613333331</v>
      </c>
      <c r="C14" s="563" t="s">
        <v>673</v>
      </c>
      <c r="D14" s="562">
        <v>500</v>
      </c>
      <c r="E14" s="562" t="s">
        <v>979</v>
      </c>
      <c r="F14" s="562" t="s">
        <v>954</v>
      </c>
      <c r="G14" s="502">
        <v>3489.8853344626582</v>
      </c>
      <c r="H14" s="566">
        <v>4.2251984613333331</v>
      </c>
      <c r="I14" s="567">
        <v>4.2251987225786163</v>
      </c>
    </row>
    <row r="15" spans="1:11" ht="11.25" customHeight="1">
      <c r="A15" s="458" t="s">
        <v>553</v>
      </c>
      <c r="B15" s="562">
        <v>6.2566828069364648</v>
      </c>
      <c r="C15" s="563" t="s">
        <v>674</v>
      </c>
      <c r="D15" s="562">
        <v>1000</v>
      </c>
      <c r="E15" s="562" t="s">
        <v>979</v>
      </c>
      <c r="F15" s="562">
        <v>2.4</v>
      </c>
      <c r="G15" s="502">
        <v>6.2566828069364648</v>
      </c>
      <c r="H15" s="566" t="s">
        <v>954</v>
      </c>
      <c r="I15" s="567" t="s">
        <v>1408</v>
      </c>
    </row>
    <row r="16" spans="1:11" ht="11.25" customHeight="1">
      <c r="A16" s="458" t="s">
        <v>686</v>
      </c>
      <c r="B16" s="562">
        <v>24</v>
      </c>
      <c r="C16" s="563" t="s">
        <v>380</v>
      </c>
      <c r="D16" s="562">
        <v>1000</v>
      </c>
      <c r="E16" s="562" t="s">
        <v>979</v>
      </c>
      <c r="F16" s="562">
        <v>24</v>
      </c>
      <c r="G16" s="502">
        <v>23</v>
      </c>
      <c r="H16" s="566" t="s">
        <v>954</v>
      </c>
      <c r="I16" s="567" t="s">
        <v>1408</v>
      </c>
    </row>
    <row r="17" spans="1:9" ht="11.25" customHeight="1">
      <c r="A17" s="458" t="s">
        <v>95</v>
      </c>
      <c r="B17" s="562">
        <v>0.44720417876160007</v>
      </c>
      <c r="C17" s="563" t="s">
        <v>1407</v>
      </c>
      <c r="D17" s="562">
        <v>500</v>
      </c>
      <c r="E17" s="562" t="s">
        <v>979</v>
      </c>
      <c r="F17" s="562" t="s">
        <v>954</v>
      </c>
      <c r="G17" s="502">
        <v>2.2732603019174396</v>
      </c>
      <c r="H17" s="566" t="s">
        <v>954</v>
      </c>
      <c r="I17" s="567">
        <v>0.44720417876160007</v>
      </c>
    </row>
    <row r="18" spans="1:9" ht="11.25" customHeight="1">
      <c r="A18" s="458" t="s">
        <v>687</v>
      </c>
      <c r="B18" s="562">
        <v>1000</v>
      </c>
      <c r="C18" s="563" t="s">
        <v>1409</v>
      </c>
      <c r="D18" s="562">
        <v>1000</v>
      </c>
      <c r="E18" s="562" t="s">
        <v>979</v>
      </c>
      <c r="F18" s="562">
        <v>690</v>
      </c>
      <c r="G18" s="502">
        <v>3061.0483042137716</v>
      </c>
      <c r="H18" s="566" t="s">
        <v>954</v>
      </c>
      <c r="I18" s="567" t="s">
        <v>1408</v>
      </c>
    </row>
    <row r="19" spans="1:9" ht="11.25" customHeight="1">
      <c r="A19" s="458" t="s">
        <v>1156</v>
      </c>
      <c r="B19" s="562">
        <v>7.8132880042580035E-3</v>
      </c>
      <c r="C19" s="563" t="s">
        <v>1407</v>
      </c>
      <c r="D19" s="562">
        <v>1000</v>
      </c>
      <c r="E19" s="562" t="s">
        <v>979</v>
      </c>
      <c r="F19" s="562" t="s">
        <v>954</v>
      </c>
      <c r="G19" s="502">
        <v>632.13679555714634</v>
      </c>
      <c r="H19" s="566" t="s">
        <v>954</v>
      </c>
      <c r="I19" s="567">
        <v>7.8132880042580035E-3</v>
      </c>
    </row>
    <row r="20" spans="1:9" ht="11.25" customHeight="1">
      <c r="A20" s="458" t="s">
        <v>688</v>
      </c>
      <c r="B20" s="562">
        <v>0.76939408284023669</v>
      </c>
      <c r="C20" s="563" t="s">
        <v>673</v>
      </c>
      <c r="D20" s="562">
        <v>500</v>
      </c>
      <c r="E20" s="562" t="s">
        <v>979</v>
      </c>
      <c r="F20" s="562" t="s">
        <v>954</v>
      </c>
      <c r="G20" s="502">
        <v>1.2457241814692348</v>
      </c>
      <c r="H20" s="566">
        <v>0.76939408284023669</v>
      </c>
      <c r="I20" s="567">
        <v>4.2537009600000006</v>
      </c>
    </row>
    <row r="21" spans="1:9" ht="11.25" customHeight="1">
      <c r="A21" s="458" t="s">
        <v>689</v>
      </c>
      <c r="B21" s="562">
        <v>9.9781008719534601</v>
      </c>
      <c r="C21" s="563" t="s">
        <v>1407</v>
      </c>
      <c r="D21" s="562">
        <v>500</v>
      </c>
      <c r="E21" s="562" t="s">
        <v>979</v>
      </c>
      <c r="F21" s="562" t="s">
        <v>954</v>
      </c>
      <c r="G21" s="502">
        <v>11.131115733318255</v>
      </c>
      <c r="H21" s="566" t="s">
        <v>954</v>
      </c>
      <c r="I21" s="567">
        <v>9.9781008719534601</v>
      </c>
    </row>
    <row r="22" spans="1:9" ht="11.25" customHeight="1">
      <c r="A22" s="458" t="s">
        <v>690</v>
      </c>
      <c r="B22" s="562">
        <v>3.5639370920589939</v>
      </c>
      <c r="C22" s="563" t="s">
        <v>674</v>
      </c>
      <c r="D22" s="562">
        <v>500</v>
      </c>
      <c r="E22" s="562" t="s">
        <v>979</v>
      </c>
      <c r="F22" s="562" t="s">
        <v>954</v>
      </c>
      <c r="G22" s="502">
        <v>3.5639370920589939</v>
      </c>
      <c r="H22" s="566" t="s">
        <v>954</v>
      </c>
      <c r="I22" s="567">
        <v>5.8505041713132</v>
      </c>
    </row>
    <row r="23" spans="1:9" ht="11.25" customHeight="1">
      <c r="A23" s="458" t="s">
        <v>691</v>
      </c>
      <c r="B23" s="562">
        <v>11.285807709958021</v>
      </c>
      <c r="C23" s="563" t="s">
        <v>674</v>
      </c>
      <c r="D23" s="562">
        <v>500</v>
      </c>
      <c r="E23" s="562" t="s">
        <v>979</v>
      </c>
      <c r="F23" s="562" t="s">
        <v>954</v>
      </c>
      <c r="G23" s="502">
        <v>11.285807709958021</v>
      </c>
      <c r="H23" s="566" t="s">
        <v>954</v>
      </c>
      <c r="I23" s="567">
        <v>67.660274785701603</v>
      </c>
    </row>
    <row r="24" spans="1:9" ht="11.25" customHeight="1">
      <c r="A24" s="458" t="s">
        <v>692</v>
      </c>
      <c r="B24" s="562">
        <v>34.528000116195038</v>
      </c>
      <c r="C24" s="563" t="s">
        <v>1407</v>
      </c>
      <c r="D24" s="562">
        <v>500</v>
      </c>
      <c r="E24" s="562" t="s">
        <v>979</v>
      </c>
      <c r="F24" s="562" t="s">
        <v>954</v>
      </c>
      <c r="G24" s="502">
        <v>478.19569558367709</v>
      </c>
      <c r="H24" s="566" t="s">
        <v>954</v>
      </c>
      <c r="I24" s="567">
        <v>34.528000116195038</v>
      </c>
    </row>
    <row r="25" spans="1:9" ht="11.25" customHeight="1">
      <c r="A25" s="458" t="s">
        <v>693</v>
      </c>
      <c r="B25" s="562">
        <v>39.003361440024008</v>
      </c>
      <c r="C25" s="563" t="s">
        <v>1407</v>
      </c>
      <c r="D25" s="562">
        <v>500</v>
      </c>
      <c r="E25" s="562" t="s">
        <v>979</v>
      </c>
      <c r="F25" s="562" t="s">
        <v>954</v>
      </c>
      <c r="G25" s="502">
        <v>112.85807709958023</v>
      </c>
      <c r="H25" s="566" t="s">
        <v>954</v>
      </c>
      <c r="I25" s="567">
        <v>39.003361440024008</v>
      </c>
    </row>
    <row r="26" spans="1:9" ht="11.25" customHeight="1">
      <c r="A26" s="458" t="s">
        <v>126</v>
      </c>
      <c r="B26" s="562">
        <v>31.114129015408725</v>
      </c>
      <c r="C26" s="563" t="s">
        <v>674</v>
      </c>
      <c r="D26" s="562">
        <v>1000</v>
      </c>
      <c r="E26" s="562" t="s">
        <v>979</v>
      </c>
      <c r="F26" s="562">
        <v>3</v>
      </c>
      <c r="G26" s="502">
        <v>31.114129015408725</v>
      </c>
      <c r="H26" s="566" t="s">
        <v>954</v>
      </c>
      <c r="I26" s="567" t="s">
        <v>1408</v>
      </c>
    </row>
    <row r="27" spans="1:9" ht="11.25" customHeight="1">
      <c r="A27" s="458" t="s">
        <v>233</v>
      </c>
      <c r="B27" s="562">
        <v>10.157103856679932</v>
      </c>
      <c r="C27" s="563" t="s">
        <v>674</v>
      </c>
      <c r="D27" s="562">
        <v>500</v>
      </c>
      <c r="E27" s="562" t="s">
        <v>979</v>
      </c>
      <c r="F27" s="562" t="s">
        <v>954</v>
      </c>
      <c r="G27" s="502">
        <v>10.157103856679932</v>
      </c>
      <c r="H27" s="566" t="s">
        <v>1394</v>
      </c>
      <c r="I27" s="567">
        <v>230.95592832704406</v>
      </c>
    </row>
    <row r="28" spans="1:9" ht="11.25" customHeight="1">
      <c r="A28" s="458" t="s">
        <v>127</v>
      </c>
      <c r="B28" s="562">
        <v>7.8962365734984701E-3</v>
      </c>
      <c r="C28" s="563" t="s">
        <v>673</v>
      </c>
      <c r="D28" s="562">
        <v>500</v>
      </c>
      <c r="E28" s="562" t="s">
        <v>979</v>
      </c>
      <c r="F28" s="562" t="s">
        <v>954</v>
      </c>
      <c r="G28" s="502">
        <v>0.23842763078674306</v>
      </c>
      <c r="H28" s="566">
        <v>7.8962365734984701E-3</v>
      </c>
      <c r="I28" s="567">
        <v>0.95774348880303517</v>
      </c>
    </row>
    <row r="29" spans="1:9" ht="11.25" customHeight="1">
      <c r="A29" s="503" t="s">
        <v>1103</v>
      </c>
      <c r="B29" s="562">
        <v>3.8666109556463671E-3</v>
      </c>
      <c r="C29" s="563" t="s">
        <v>1407</v>
      </c>
      <c r="D29" s="562">
        <v>500</v>
      </c>
      <c r="E29" s="562" t="s">
        <v>979</v>
      </c>
      <c r="F29" s="562" t="s">
        <v>954</v>
      </c>
      <c r="G29" s="502">
        <v>3.7245820040701219</v>
      </c>
      <c r="H29" s="566" t="s">
        <v>1394</v>
      </c>
      <c r="I29" s="567">
        <v>3.8666109556463671E-3</v>
      </c>
    </row>
    <row r="30" spans="1:9" ht="11.25" customHeight="1">
      <c r="A30" s="458" t="s">
        <v>128</v>
      </c>
      <c r="B30" s="562">
        <v>37.34554262742413</v>
      </c>
      <c r="C30" s="563" t="s">
        <v>674</v>
      </c>
      <c r="D30" s="562">
        <v>500</v>
      </c>
      <c r="E30" s="562" t="s">
        <v>979</v>
      </c>
      <c r="F30" s="562" t="s">
        <v>954</v>
      </c>
      <c r="G30" s="502">
        <v>37.34554262742413</v>
      </c>
      <c r="H30" s="566" t="s">
        <v>954</v>
      </c>
      <c r="I30" s="567">
        <v>193.77900056224536</v>
      </c>
    </row>
    <row r="31" spans="1:9" ht="11.25" customHeight="1">
      <c r="A31" s="458" t="s">
        <v>129</v>
      </c>
      <c r="B31" s="562">
        <v>1000</v>
      </c>
      <c r="C31" s="563" t="s">
        <v>1409</v>
      </c>
      <c r="D31" s="562">
        <v>1000</v>
      </c>
      <c r="E31" s="562" t="s">
        <v>979</v>
      </c>
      <c r="F31" s="562" t="s">
        <v>954</v>
      </c>
      <c r="G31" s="502">
        <v>3126.8470643815126</v>
      </c>
      <c r="H31" s="566" t="s">
        <v>954</v>
      </c>
      <c r="I31" s="567" t="s">
        <v>1408</v>
      </c>
    </row>
    <row r="32" spans="1:9" ht="11.25" customHeight="1">
      <c r="A32" s="458" t="s">
        <v>130</v>
      </c>
      <c r="B32" s="562">
        <v>1.6219659043659043E-2</v>
      </c>
      <c r="C32" s="563" t="s">
        <v>673</v>
      </c>
      <c r="D32" s="562">
        <v>932.0059079245284</v>
      </c>
      <c r="E32" s="562" t="s">
        <v>979</v>
      </c>
      <c r="F32" s="562" t="s">
        <v>954</v>
      </c>
      <c r="G32" s="502">
        <v>0.31751238306685059</v>
      </c>
      <c r="H32" s="566">
        <v>1.6219659043659043E-2</v>
      </c>
      <c r="I32" s="567">
        <v>2.1063063003537699</v>
      </c>
    </row>
    <row r="33" spans="1:9" ht="11.25" customHeight="1">
      <c r="A33" s="458" t="s">
        <v>131</v>
      </c>
      <c r="B33" s="562">
        <v>1.985797</v>
      </c>
      <c r="C33" s="563" t="s">
        <v>1407</v>
      </c>
      <c r="D33" s="562">
        <v>500</v>
      </c>
      <c r="E33" s="562" t="s">
        <v>979</v>
      </c>
      <c r="F33" s="562" t="s">
        <v>954</v>
      </c>
      <c r="G33" s="502">
        <v>20.335256675423288</v>
      </c>
      <c r="H33" s="566" t="s">
        <v>954</v>
      </c>
      <c r="I33" s="567">
        <v>1.985797</v>
      </c>
    </row>
    <row r="34" spans="1:9" ht="11.25" customHeight="1">
      <c r="A34" s="458" t="s">
        <v>132</v>
      </c>
      <c r="B34" s="562">
        <v>0.22290445714285717</v>
      </c>
      <c r="C34" s="563" t="s">
        <v>673</v>
      </c>
      <c r="D34" s="562">
        <v>500</v>
      </c>
      <c r="E34" s="562" t="s">
        <v>979</v>
      </c>
      <c r="F34" s="562" t="s">
        <v>954</v>
      </c>
      <c r="G34" s="502">
        <v>1.4804724326703158</v>
      </c>
      <c r="H34" s="566">
        <v>0.22290445714285717</v>
      </c>
      <c r="I34" s="567">
        <v>0.76008991999999997</v>
      </c>
    </row>
    <row r="35" spans="1:9" ht="11.25" customHeight="1">
      <c r="A35" s="458" t="s">
        <v>133</v>
      </c>
      <c r="B35" s="562">
        <v>17</v>
      </c>
      <c r="C35" s="563" t="s">
        <v>380</v>
      </c>
      <c r="D35" s="562">
        <v>1000</v>
      </c>
      <c r="E35" s="562" t="s">
        <v>979</v>
      </c>
      <c r="F35" s="562">
        <v>17</v>
      </c>
      <c r="G35" s="502">
        <v>1.492622703268411</v>
      </c>
      <c r="H35" s="566" t="s">
        <v>954</v>
      </c>
      <c r="I35" s="567" t="s">
        <v>1408</v>
      </c>
    </row>
    <row r="36" spans="1:9" ht="11.25" customHeight="1">
      <c r="A36" s="458" t="s">
        <v>134</v>
      </c>
      <c r="B36" s="562">
        <v>0.10002123076923075</v>
      </c>
      <c r="C36" s="563" t="s">
        <v>673</v>
      </c>
      <c r="D36" s="562">
        <v>453.26214201257858</v>
      </c>
      <c r="E36" s="562" t="s">
        <v>979</v>
      </c>
      <c r="F36" s="562" t="s">
        <v>954</v>
      </c>
      <c r="G36" s="502">
        <v>0.71011514254445907</v>
      </c>
      <c r="H36" s="566">
        <v>0.10002123076923075</v>
      </c>
      <c r="I36" s="567">
        <v>1.774601052</v>
      </c>
    </row>
    <row r="37" spans="1:9" ht="11.25" customHeight="1">
      <c r="A37" s="458" t="s">
        <v>614</v>
      </c>
      <c r="B37" s="562">
        <v>16.627770348612255</v>
      </c>
      <c r="C37" s="563" t="s">
        <v>674</v>
      </c>
      <c r="D37" s="562">
        <v>1000</v>
      </c>
      <c r="E37" s="562" t="s">
        <v>979</v>
      </c>
      <c r="F37" s="562" t="s">
        <v>954</v>
      </c>
      <c r="G37" s="502">
        <v>16.627770348612255</v>
      </c>
      <c r="H37" s="566" t="s">
        <v>954</v>
      </c>
      <c r="I37" s="567">
        <v>22.699061202515725</v>
      </c>
    </row>
    <row r="38" spans="1:9" ht="11.25" customHeight="1">
      <c r="A38" s="458" t="s">
        <v>135</v>
      </c>
      <c r="B38" s="562">
        <v>0.35559731960000007</v>
      </c>
      <c r="C38" s="563" t="s">
        <v>1407</v>
      </c>
      <c r="D38" s="562">
        <v>1000</v>
      </c>
      <c r="E38" s="562" t="s">
        <v>979</v>
      </c>
      <c r="F38" s="562" t="s">
        <v>954</v>
      </c>
      <c r="G38" s="502">
        <v>2.6142493472050554</v>
      </c>
      <c r="H38" s="566" t="s">
        <v>954</v>
      </c>
      <c r="I38" s="567">
        <v>0.35559731960000007</v>
      </c>
    </row>
    <row r="39" spans="1:9" ht="11.25" customHeight="1">
      <c r="A39" s="458" t="s">
        <v>136</v>
      </c>
      <c r="B39" s="562">
        <v>1.4517275000000003</v>
      </c>
      <c r="C39" s="563" t="s">
        <v>1407</v>
      </c>
      <c r="D39" s="562">
        <v>500</v>
      </c>
      <c r="E39" s="562" t="s">
        <v>979</v>
      </c>
      <c r="F39" s="562" t="s">
        <v>954</v>
      </c>
      <c r="G39" s="502">
        <v>58.735856754033783</v>
      </c>
      <c r="H39" s="566">
        <v>2.229044571428572</v>
      </c>
      <c r="I39" s="567">
        <v>1.4517275000000003</v>
      </c>
    </row>
    <row r="40" spans="1:9" ht="11.25" customHeight="1">
      <c r="A40" s="458" t="s">
        <v>781</v>
      </c>
      <c r="B40" s="562">
        <v>11.501468800000001</v>
      </c>
      <c r="C40" s="563" t="s">
        <v>1407</v>
      </c>
      <c r="D40" s="562">
        <v>500</v>
      </c>
      <c r="E40" s="562" t="s">
        <v>979</v>
      </c>
      <c r="F40" s="562" t="s">
        <v>954</v>
      </c>
      <c r="G40" s="502">
        <v>1199.043520033186</v>
      </c>
      <c r="H40" s="566">
        <v>178.32356571428573</v>
      </c>
      <c r="I40" s="567">
        <v>11.501468800000001</v>
      </c>
    </row>
    <row r="41" spans="1:9" ht="11.25" customHeight="1">
      <c r="A41" s="514" t="s">
        <v>137</v>
      </c>
      <c r="B41" s="562">
        <v>2.6092494983277589E-2</v>
      </c>
      <c r="C41" s="563" t="s">
        <v>673</v>
      </c>
      <c r="D41" s="562">
        <v>500</v>
      </c>
      <c r="E41" s="562" t="s">
        <v>979</v>
      </c>
      <c r="F41" s="562" t="s">
        <v>954</v>
      </c>
      <c r="G41" s="502">
        <v>0.34283322379966413</v>
      </c>
      <c r="H41" s="566">
        <v>2.6092494983277589E-2</v>
      </c>
      <c r="I41" s="567">
        <v>0.79094456000000002</v>
      </c>
    </row>
    <row r="42" spans="1:9" ht="11.25" customHeight="1">
      <c r="A42" s="503" t="s">
        <v>782</v>
      </c>
      <c r="B42" s="562">
        <v>4.012280228571429</v>
      </c>
      <c r="C42" s="563" t="s">
        <v>673</v>
      </c>
      <c r="D42" s="562">
        <v>100</v>
      </c>
      <c r="E42" s="562" t="s">
        <v>979</v>
      </c>
      <c r="F42" s="562" t="s">
        <v>954</v>
      </c>
      <c r="G42" s="502">
        <v>24.383473244162705</v>
      </c>
      <c r="H42" s="566">
        <v>4.012280228571429</v>
      </c>
      <c r="I42" s="567">
        <v>60.94398504489795</v>
      </c>
    </row>
    <row r="43" spans="1:9" ht="11.25" customHeight="1">
      <c r="A43" s="503" t="s">
        <v>138</v>
      </c>
      <c r="B43" s="562">
        <v>0.1160572986</v>
      </c>
      <c r="C43" s="563" t="s">
        <v>1407</v>
      </c>
      <c r="D43" s="562">
        <v>100</v>
      </c>
      <c r="E43" s="562" t="s">
        <v>979</v>
      </c>
      <c r="F43" s="562" t="s">
        <v>954</v>
      </c>
      <c r="G43" s="502">
        <v>68.476431433471518</v>
      </c>
      <c r="H43" s="566">
        <v>36.555936436299852</v>
      </c>
      <c r="I43" s="567">
        <v>0.1160572986</v>
      </c>
    </row>
    <row r="44" spans="1:9" ht="11.25" customHeight="1">
      <c r="A44" s="503" t="s">
        <v>612</v>
      </c>
      <c r="B44" s="562">
        <v>1145</v>
      </c>
      <c r="C44" s="563" t="s">
        <v>380</v>
      </c>
      <c r="D44" s="562" t="s">
        <v>367</v>
      </c>
      <c r="E44" s="562" t="s">
        <v>979</v>
      </c>
      <c r="F44" s="562">
        <v>1145</v>
      </c>
      <c r="G44" s="502" t="s">
        <v>954</v>
      </c>
      <c r="H44" s="566" t="s">
        <v>954</v>
      </c>
      <c r="I44" s="567" t="s">
        <v>1408</v>
      </c>
    </row>
    <row r="45" spans="1:9" ht="11.25" customHeight="1">
      <c r="A45" s="503" t="s">
        <v>779</v>
      </c>
      <c r="B45" s="562">
        <v>1000</v>
      </c>
      <c r="C45" s="563" t="s">
        <v>1409</v>
      </c>
      <c r="D45" s="562">
        <v>1000</v>
      </c>
      <c r="E45" s="562" t="s">
        <v>979</v>
      </c>
      <c r="F45" s="562" t="s">
        <v>954</v>
      </c>
      <c r="G45" s="502" t="s">
        <v>954</v>
      </c>
      <c r="H45" s="566" t="s">
        <v>954</v>
      </c>
      <c r="I45" s="567" t="s">
        <v>1408</v>
      </c>
    </row>
    <row r="46" spans="1:9" ht="11.25" customHeight="1">
      <c r="A46" s="503" t="s">
        <v>780</v>
      </c>
      <c r="B46" s="562">
        <v>29.632417484956957</v>
      </c>
      <c r="C46" s="563" t="s">
        <v>674</v>
      </c>
      <c r="D46" s="562">
        <v>1000</v>
      </c>
      <c r="E46" s="562" t="s">
        <v>979</v>
      </c>
      <c r="F46" s="562" t="s">
        <v>954</v>
      </c>
      <c r="G46" s="502">
        <v>29.632417484956957</v>
      </c>
      <c r="H46" s="566" t="s">
        <v>954</v>
      </c>
      <c r="I46" s="567" t="s">
        <v>1408</v>
      </c>
    </row>
    <row r="47" spans="1:9" ht="11.25" customHeight="1">
      <c r="A47" s="503" t="s">
        <v>139</v>
      </c>
      <c r="B47" s="562">
        <v>29.963032276400003</v>
      </c>
      <c r="C47" s="563" t="s">
        <v>1407</v>
      </c>
      <c r="D47" s="562">
        <v>1000</v>
      </c>
      <c r="E47" s="562" t="s">
        <v>979</v>
      </c>
      <c r="F47" s="562" t="s">
        <v>954</v>
      </c>
      <c r="G47" s="502">
        <v>1128.5807709958024</v>
      </c>
      <c r="H47" s="566" t="s">
        <v>954</v>
      </c>
      <c r="I47" s="567">
        <v>29.963032276400003</v>
      </c>
    </row>
    <row r="48" spans="1:9" ht="11.25" customHeight="1">
      <c r="A48" s="503" t="s">
        <v>140</v>
      </c>
      <c r="B48" s="562">
        <v>80</v>
      </c>
      <c r="C48" s="563" t="s">
        <v>380</v>
      </c>
      <c r="D48" s="562">
        <v>1000</v>
      </c>
      <c r="E48" s="562" t="s">
        <v>979</v>
      </c>
      <c r="F48" s="562">
        <v>80</v>
      </c>
      <c r="G48" s="502">
        <v>4.6799528610711016</v>
      </c>
      <c r="H48" s="566" t="s">
        <v>954</v>
      </c>
      <c r="I48" s="567" t="s">
        <v>1408</v>
      </c>
    </row>
    <row r="49" spans="1:9" ht="11.25" customHeight="1">
      <c r="A49" s="503" t="s">
        <v>141</v>
      </c>
      <c r="B49" s="562">
        <v>625.71428571428567</v>
      </c>
      <c r="C49" s="563" t="s">
        <v>674</v>
      </c>
      <c r="D49" s="562">
        <v>1000</v>
      </c>
      <c r="E49" s="562" t="s">
        <v>979</v>
      </c>
      <c r="F49" s="562">
        <v>252</v>
      </c>
      <c r="G49" s="502">
        <v>625.71428571428567</v>
      </c>
      <c r="H49" s="566" t="s">
        <v>954</v>
      </c>
      <c r="I49" s="567" t="s">
        <v>1408</v>
      </c>
    </row>
    <row r="50" spans="1:9" ht="11.25" customHeight="1">
      <c r="A50" s="503" t="s">
        <v>142</v>
      </c>
      <c r="B50" s="562">
        <v>4.7522674398767206</v>
      </c>
      <c r="C50" s="563" t="s">
        <v>674</v>
      </c>
      <c r="D50" s="562">
        <v>100</v>
      </c>
      <c r="E50" s="562" t="s">
        <v>979</v>
      </c>
      <c r="F50" s="562" t="s">
        <v>954</v>
      </c>
      <c r="G50" s="502">
        <v>4.7522674398767206</v>
      </c>
      <c r="H50" s="566" t="s">
        <v>1394</v>
      </c>
      <c r="I50" s="567" t="s">
        <v>1408</v>
      </c>
    </row>
    <row r="51" spans="1:9" ht="11.25" customHeight="1">
      <c r="A51" s="515" t="s">
        <v>96</v>
      </c>
      <c r="B51" s="562">
        <v>1.1680639898070599</v>
      </c>
      <c r="C51" s="563" t="s">
        <v>1407</v>
      </c>
      <c r="D51" s="562">
        <v>500</v>
      </c>
      <c r="E51" s="562" t="s">
        <v>979</v>
      </c>
      <c r="F51" s="562" t="s">
        <v>954</v>
      </c>
      <c r="G51" s="502">
        <v>8.0589159430149166</v>
      </c>
      <c r="H51" s="566" t="s">
        <v>954</v>
      </c>
      <c r="I51" s="567">
        <v>1.1680639898070599</v>
      </c>
    </row>
    <row r="52" spans="1:9" ht="11.25" customHeight="1">
      <c r="A52" s="503" t="s">
        <v>97</v>
      </c>
      <c r="B52" s="562">
        <v>0.15946613969999998</v>
      </c>
      <c r="C52" s="563" t="s">
        <v>1407</v>
      </c>
      <c r="D52" s="562">
        <v>500</v>
      </c>
      <c r="E52" s="562" t="s">
        <v>979</v>
      </c>
      <c r="F52" s="562" t="s">
        <v>954</v>
      </c>
      <c r="G52" s="502">
        <v>379.28207733428781</v>
      </c>
      <c r="H52" s="566" t="s">
        <v>954</v>
      </c>
      <c r="I52" s="567">
        <v>0.15946613969999998</v>
      </c>
    </row>
    <row r="53" spans="1:9" ht="11.25" customHeight="1">
      <c r="A53" s="503" t="s">
        <v>143</v>
      </c>
      <c r="B53" s="562">
        <v>1.1285807709958025</v>
      </c>
      <c r="C53" s="563" t="s">
        <v>674</v>
      </c>
      <c r="D53" s="562">
        <v>500</v>
      </c>
      <c r="E53" s="562" t="s">
        <v>979</v>
      </c>
      <c r="F53" s="562" t="s">
        <v>954</v>
      </c>
      <c r="G53" s="502">
        <v>1.1285807709958025</v>
      </c>
      <c r="H53" s="566" t="s">
        <v>954</v>
      </c>
      <c r="I53" s="567">
        <v>253.91360069518402</v>
      </c>
    </row>
    <row r="54" spans="1:9" ht="11.25" customHeight="1">
      <c r="A54" s="503" t="s">
        <v>381</v>
      </c>
      <c r="B54" s="562">
        <v>8.061539999999999E-4</v>
      </c>
      <c r="C54" s="563" t="s">
        <v>1407</v>
      </c>
      <c r="D54" s="562">
        <v>500</v>
      </c>
      <c r="E54" s="562" t="s">
        <v>979</v>
      </c>
      <c r="F54" s="562" t="s">
        <v>954</v>
      </c>
      <c r="G54" s="502">
        <v>5.7102531036448472E-3</v>
      </c>
      <c r="H54" s="566" t="s">
        <v>1394</v>
      </c>
      <c r="I54" s="567">
        <v>8.061539999999999E-4</v>
      </c>
    </row>
    <row r="55" spans="1:9" ht="11.25" customHeight="1">
      <c r="A55" s="503" t="s">
        <v>144</v>
      </c>
      <c r="B55" s="562">
        <v>0.34420172000000004</v>
      </c>
      <c r="C55" s="563" t="s">
        <v>1407</v>
      </c>
      <c r="D55" s="562">
        <v>100</v>
      </c>
      <c r="E55" s="562" t="s">
        <v>979</v>
      </c>
      <c r="F55" s="562" t="s">
        <v>954</v>
      </c>
      <c r="G55" s="502">
        <v>8.0043859649122808</v>
      </c>
      <c r="H55" s="566">
        <v>3.1206624000000001</v>
      </c>
      <c r="I55" s="567">
        <v>0.34420172000000004</v>
      </c>
    </row>
    <row r="56" spans="1:9" ht="11.25" customHeight="1">
      <c r="A56" s="503" t="s">
        <v>487</v>
      </c>
      <c r="B56" s="562">
        <v>1.0002123076923077E-3</v>
      </c>
      <c r="C56" s="563" t="s">
        <v>673</v>
      </c>
      <c r="D56" s="562">
        <v>500</v>
      </c>
      <c r="E56" s="562" t="s">
        <v>979</v>
      </c>
      <c r="F56" s="562" t="s">
        <v>954</v>
      </c>
      <c r="G56" s="502">
        <v>3.8604149142467709E-2</v>
      </c>
      <c r="H56" s="566">
        <v>1.0002123076923077E-3</v>
      </c>
      <c r="I56" s="567">
        <v>0.19749944842761794</v>
      </c>
    </row>
    <row r="57" spans="1:9" ht="11.25" customHeight="1">
      <c r="A57" s="503" t="s">
        <v>145</v>
      </c>
      <c r="B57" s="562">
        <v>1.0549658</v>
      </c>
      <c r="C57" s="563" t="s">
        <v>1407</v>
      </c>
      <c r="D57" s="562">
        <v>376.29790188679249</v>
      </c>
      <c r="E57" s="562" t="s">
        <v>979</v>
      </c>
      <c r="F57" s="562" t="s">
        <v>954</v>
      </c>
      <c r="G57" s="502">
        <v>376.29790188679249</v>
      </c>
      <c r="H57" s="566">
        <v>8.9161782857142882</v>
      </c>
      <c r="I57" s="567">
        <v>1.0549658</v>
      </c>
    </row>
    <row r="58" spans="1:9" ht="11.25" customHeight="1">
      <c r="A58" s="503" t="s">
        <v>225</v>
      </c>
      <c r="B58" s="562">
        <v>2.5127366000000002</v>
      </c>
      <c r="C58" s="563" t="s">
        <v>1407</v>
      </c>
      <c r="D58" s="562">
        <v>100</v>
      </c>
      <c r="E58" s="562" t="s">
        <v>979</v>
      </c>
      <c r="F58" s="562" t="s">
        <v>954</v>
      </c>
      <c r="G58" s="502">
        <v>204.33995287331547</v>
      </c>
      <c r="H58" s="566" t="s">
        <v>1394</v>
      </c>
      <c r="I58" s="567">
        <v>2.5127366000000002</v>
      </c>
    </row>
    <row r="59" spans="1:9" ht="11.25" customHeight="1">
      <c r="A59" s="503" t="s">
        <v>226</v>
      </c>
      <c r="B59" s="562">
        <v>5.4557034965034959E-2</v>
      </c>
      <c r="C59" s="563" t="s">
        <v>673</v>
      </c>
      <c r="D59" s="562">
        <v>500</v>
      </c>
      <c r="E59" s="562" t="s">
        <v>979</v>
      </c>
      <c r="F59" s="562" t="s">
        <v>954</v>
      </c>
      <c r="G59" s="502">
        <v>2.8246065179655564</v>
      </c>
      <c r="H59" s="566">
        <v>5.4557034965034959E-2</v>
      </c>
      <c r="I59" s="567">
        <v>0.72564804000000005</v>
      </c>
    </row>
    <row r="60" spans="1:9" ht="11.25" customHeight="1">
      <c r="A60" s="503" t="s">
        <v>227</v>
      </c>
      <c r="B60" s="562">
        <v>1.1617684070381793</v>
      </c>
      <c r="C60" s="563" t="s">
        <v>674</v>
      </c>
      <c r="D60" s="562">
        <v>500</v>
      </c>
      <c r="E60" s="562" t="s">
        <v>979</v>
      </c>
      <c r="F60" s="562" t="s">
        <v>954</v>
      </c>
      <c r="G60" s="502">
        <v>1.1617684070381793</v>
      </c>
      <c r="H60" s="566" t="s">
        <v>954</v>
      </c>
      <c r="I60" s="567">
        <v>2.3829300007820824</v>
      </c>
    </row>
    <row r="61" spans="1:9" ht="11.25" customHeight="1">
      <c r="A61" s="503" t="s">
        <v>361</v>
      </c>
      <c r="B61" s="562">
        <v>2.1784553645811879</v>
      </c>
      <c r="C61" s="563" t="s">
        <v>674</v>
      </c>
      <c r="D61" s="562">
        <v>500</v>
      </c>
      <c r="E61" s="562" t="s">
        <v>979</v>
      </c>
      <c r="F61" s="562" t="s">
        <v>954</v>
      </c>
      <c r="G61" s="502">
        <v>2.1784553645811879</v>
      </c>
      <c r="H61" s="566" t="s">
        <v>954</v>
      </c>
      <c r="I61" s="567">
        <v>63.459004600188678</v>
      </c>
    </row>
    <row r="62" spans="1:9" ht="11.25" customHeight="1">
      <c r="A62" s="503" t="s">
        <v>362</v>
      </c>
      <c r="B62" s="562">
        <v>1.9200322290192162</v>
      </c>
      <c r="C62" s="563" t="s">
        <v>674</v>
      </c>
      <c r="D62" s="562">
        <v>500</v>
      </c>
      <c r="E62" s="562" t="s">
        <v>979</v>
      </c>
      <c r="F62" s="562" t="s">
        <v>954</v>
      </c>
      <c r="G62" s="502">
        <v>1.9200322290192162</v>
      </c>
      <c r="H62" s="566" t="s">
        <v>954</v>
      </c>
      <c r="I62" s="567">
        <v>28.204012872955982</v>
      </c>
    </row>
    <row r="63" spans="1:9" ht="11.25" customHeight="1">
      <c r="A63" s="503" t="s">
        <v>363</v>
      </c>
      <c r="B63" s="562">
        <v>1.8212193250639632</v>
      </c>
      <c r="C63" s="563" t="s">
        <v>674</v>
      </c>
      <c r="D63" s="562">
        <v>1000</v>
      </c>
      <c r="E63" s="562" t="s">
        <v>979</v>
      </c>
      <c r="F63" s="562" t="s">
        <v>954</v>
      </c>
      <c r="G63" s="502">
        <v>1.8212193250639632</v>
      </c>
      <c r="H63" s="566" t="s">
        <v>954</v>
      </c>
      <c r="I63" s="567">
        <v>5.5643503540062893</v>
      </c>
    </row>
    <row r="64" spans="1:9" ht="11.25" customHeight="1">
      <c r="A64" s="503" t="s">
        <v>234</v>
      </c>
      <c r="B64" s="562">
        <v>0.37507961538461537</v>
      </c>
      <c r="C64" s="563" t="s">
        <v>673</v>
      </c>
      <c r="D64" s="562">
        <v>500</v>
      </c>
      <c r="E64" s="562" t="s">
        <v>979</v>
      </c>
      <c r="F64" s="562" t="s">
        <v>954</v>
      </c>
      <c r="G64" s="502">
        <v>3.8337235773200096</v>
      </c>
      <c r="H64" s="566">
        <v>0.37507961538461537</v>
      </c>
      <c r="I64" s="567">
        <v>1.88194204</v>
      </c>
    </row>
    <row r="65" spans="1:9" ht="11.25" customHeight="1">
      <c r="A65" s="503" t="s">
        <v>235</v>
      </c>
      <c r="B65" s="562">
        <v>2.3081822485207102E-2</v>
      </c>
      <c r="C65" s="563" t="s">
        <v>673</v>
      </c>
      <c r="D65" s="562">
        <v>500</v>
      </c>
      <c r="E65" s="562" t="s">
        <v>979</v>
      </c>
      <c r="F65" s="562" t="s">
        <v>954</v>
      </c>
      <c r="G65" s="502">
        <v>0.50063402707119875</v>
      </c>
      <c r="H65" s="566">
        <v>2.3081822485207102E-2</v>
      </c>
      <c r="I65" s="567">
        <v>2.5584009872689482</v>
      </c>
    </row>
    <row r="66" spans="1:9" ht="11.25" customHeight="1">
      <c r="A66" s="503" t="s">
        <v>294</v>
      </c>
      <c r="B66" s="562">
        <v>4.1666030000000003</v>
      </c>
      <c r="C66" s="563" t="s">
        <v>1407</v>
      </c>
      <c r="D66" s="562">
        <v>500</v>
      </c>
      <c r="E66" s="562" t="s">
        <v>979</v>
      </c>
      <c r="F66" s="562" t="s">
        <v>954</v>
      </c>
      <c r="G66" s="502">
        <v>48.76242864214462</v>
      </c>
      <c r="H66" s="566">
        <v>8.9161782857142882</v>
      </c>
      <c r="I66" s="567">
        <v>4.1666030000000003</v>
      </c>
    </row>
    <row r="67" spans="1:9" ht="11.25" customHeight="1">
      <c r="A67" s="503" t="s">
        <v>295</v>
      </c>
      <c r="B67" s="562">
        <v>1.7832356571428574</v>
      </c>
      <c r="C67" s="563" t="s">
        <v>673</v>
      </c>
      <c r="D67" s="562">
        <v>100</v>
      </c>
      <c r="E67" s="562" t="s">
        <v>979</v>
      </c>
      <c r="F67" s="562" t="s">
        <v>954</v>
      </c>
      <c r="G67" s="502">
        <v>13.091269762884867</v>
      </c>
      <c r="H67" s="566">
        <v>1.7832356571428574</v>
      </c>
      <c r="I67" s="567">
        <v>19.853826000000002</v>
      </c>
    </row>
    <row r="68" spans="1:9" ht="11.25" customHeight="1">
      <c r="A68" s="503" t="s">
        <v>228</v>
      </c>
      <c r="B68" s="562">
        <v>1.7832356571428574</v>
      </c>
      <c r="C68" s="563" t="s">
        <v>673</v>
      </c>
      <c r="D68" s="562">
        <v>500</v>
      </c>
      <c r="E68" s="562" t="s">
        <v>979</v>
      </c>
      <c r="F68" s="562" t="s">
        <v>954</v>
      </c>
      <c r="G68" s="502">
        <v>15.08165040563425</v>
      </c>
      <c r="H68" s="566">
        <v>1.7832356571428574</v>
      </c>
      <c r="I68" s="567">
        <v>36.225025200000005</v>
      </c>
    </row>
    <row r="69" spans="1:9" ht="11.25" customHeight="1">
      <c r="A69" s="503" t="s">
        <v>942</v>
      </c>
      <c r="B69" s="562">
        <v>7.3286070300000006E-2</v>
      </c>
      <c r="C69" s="563" t="s">
        <v>1407</v>
      </c>
      <c r="D69" s="562">
        <v>500</v>
      </c>
      <c r="E69" s="562" t="s">
        <v>979</v>
      </c>
      <c r="F69" s="562" t="s">
        <v>954</v>
      </c>
      <c r="G69" s="502">
        <v>37.928207733428785</v>
      </c>
      <c r="H69" s="566" t="s">
        <v>954</v>
      </c>
      <c r="I69" s="567">
        <v>7.3286070300000006E-2</v>
      </c>
    </row>
    <row r="70" spans="1:9" ht="11.25" customHeight="1">
      <c r="A70" s="503" t="s">
        <v>98</v>
      </c>
      <c r="B70" s="562">
        <v>0.34431580715000004</v>
      </c>
      <c r="C70" s="563" t="s">
        <v>1407</v>
      </c>
      <c r="D70" s="562">
        <v>500</v>
      </c>
      <c r="E70" s="562" t="s">
        <v>979</v>
      </c>
      <c r="F70" s="562" t="s">
        <v>954</v>
      </c>
      <c r="G70" s="502">
        <v>139.83692077823397</v>
      </c>
      <c r="H70" s="566" t="s">
        <v>954</v>
      </c>
      <c r="I70" s="567">
        <v>0.34431580715000004</v>
      </c>
    </row>
    <row r="71" spans="1:9" ht="11.25" customHeight="1">
      <c r="A71" s="503" t="s">
        <v>943</v>
      </c>
      <c r="B71" s="562">
        <v>0.1621965904365904</v>
      </c>
      <c r="C71" s="563" t="s">
        <v>673</v>
      </c>
      <c r="D71" s="562">
        <v>100</v>
      </c>
      <c r="E71" s="562" t="s">
        <v>979</v>
      </c>
      <c r="F71" s="562" t="s">
        <v>954</v>
      </c>
      <c r="G71" s="502">
        <v>2.6265264274451212</v>
      </c>
      <c r="H71" s="566">
        <v>0.1621965904365904</v>
      </c>
      <c r="I71" s="567">
        <v>2.7455800000000004</v>
      </c>
    </row>
    <row r="72" spans="1:9" ht="11.25" customHeight="1">
      <c r="A72" s="503" t="s">
        <v>296</v>
      </c>
      <c r="B72" s="562">
        <v>2.0595252000000001E-3</v>
      </c>
      <c r="C72" s="563" t="s">
        <v>1407</v>
      </c>
      <c r="D72" s="562">
        <v>500</v>
      </c>
      <c r="E72" s="562" t="s">
        <v>979</v>
      </c>
      <c r="F72" s="562" t="s">
        <v>954</v>
      </c>
      <c r="G72" s="502">
        <v>1.9127700817840205</v>
      </c>
      <c r="H72" s="566">
        <v>0.15003184615384613</v>
      </c>
      <c r="I72" s="567">
        <v>2.0595252000000001E-3</v>
      </c>
    </row>
    <row r="73" spans="1:9" ht="11.25" customHeight="1">
      <c r="A73" s="503" t="s">
        <v>944</v>
      </c>
      <c r="B73" s="562">
        <v>2.5285471822285857</v>
      </c>
      <c r="C73" s="563" t="s">
        <v>674</v>
      </c>
      <c r="D73" s="562">
        <v>1000</v>
      </c>
      <c r="E73" s="562" t="s">
        <v>979</v>
      </c>
      <c r="F73" s="562" t="s">
        <v>954</v>
      </c>
      <c r="G73" s="502">
        <v>2.5285471822285857</v>
      </c>
      <c r="H73" s="566" t="s">
        <v>954</v>
      </c>
      <c r="I73" s="567">
        <v>23.524815135188682</v>
      </c>
    </row>
    <row r="74" spans="1:9" ht="11.25" customHeight="1">
      <c r="A74" s="503" t="s">
        <v>945</v>
      </c>
      <c r="B74" s="562">
        <v>3.6576091167000007</v>
      </c>
      <c r="C74" s="563" t="s">
        <v>1407</v>
      </c>
      <c r="D74" s="562">
        <v>500</v>
      </c>
      <c r="E74" s="562" t="s">
        <v>979</v>
      </c>
      <c r="F74" s="562" t="s">
        <v>954</v>
      </c>
      <c r="G74" s="502">
        <v>10114.188728914341</v>
      </c>
      <c r="H74" s="566" t="s">
        <v>954</v>
      </c>
      <c r="I74" s="567">
        <v>3.6576091167000007</v>
      </c>
    </row>
    <row r="75" spans="1:9" ht="11.25" customHeight="1">
      <c r="A75" s="503" t="s">
        <v>947</v>
      </c>
      <c r="B75" s="562">
        <v>9.7973635980000005</v>
      </c>
      <c r="C75" s="563" t="s">
        <v>1407</v>
      </c>
      <c r="D75" s="562">
        <v>100</v>
      </c>
      <c r="E75" s="562" t="s">
        <v>979</v>
      </c>
      <c r="F75" s="562" t="s">
        <v>954</v>
      </c>
      <c r="G75" s="502">
        <v>252.8514983047302</v>
      </c>
      <c r="H75" s="566" t="s">
        <v>954</v>
      </c>
      <c r="I75" s="567">
        <v>9.7973635980000005</v>
      </c>
    </row>
    <row r="76" spans="1:9" ht="11.25" customHeight="1">
      <c r="A76" s="503" t="s">
        <v>946</v>
      </c>
      <c r="B76" s="562">
        <v>25.564716908500003</v>
      </c>
      <c r="C76" s="563" t="s">
        <v>1407</v>
      </c>
      <c r="D76" s="562">
        <v>500</v>
      </c>
      <c r="E76" s="562" t="s">
        <v>979</v>
      </c>
      <c r="F76" s="562" t="s">
        <v>954</v>
      </c>
      <c r="G76" s="502">
        <v>126427.35911142928</v>
      </c>
      <c r="H76" s="566" t="s">
        <v>954</v>
      </c>
      <c r="I76" s="567">
        <v>25.564716908500003</v>
      </c>
    </row>
    <row r="77" spans="1:9" ht="11.25" customHeight="1">
      <c r="A77" s="515" t="s">
        <v>99</v>
      </c>
      <c r="B77" s="562">
        <v>0.58365904143000014</v>
      </c>
      <c r="C77" s="563" t="s">
        <v>1407</v>
      </c>
      <c r="D77" s="562">
        <v>500</v>
      </c>
      <c r="E77" s="562" t="s">
        <v>979</v>
      </c>
      <c r="F77" s="562" t="s">
        <v>954</v>
      </c>
      <c r="G77" s="502">
        <v>1.2642735911142928</v>
      </c>
      <c r="H77" s="566" t="s">
        <v>954</v>
      </c>
      <c r="I77" s="567">
        <v>0.58365904143000014</v>
      </c>
    </row>
    <row r="78" spans="1:9" ht="11.25" customHeight="1">
      <c r="A78" s="503" t="s">
        <v>297</v>
      </c>
      <c r="B78" s="562">
        <v>1.0938546733686003</v>
      </c>
      <c r="C78" s="563" t="s">
        <v>1407</v>
      </c>
      <c r="D78" s="562">
        <v>500</v>
      </c>
      <c r="E78" s="562" t="s">
        <v>979</v>
      </c>
      <c r="F78" s="562" t="s">
        <v>954</v>
      </c>
      <c r="G78" s="502">
        <v>25.285471822285853</v>
      </c>
      <c r="H78" s="566" t="s">
        <v>954</v>
      </c>
      <c r="I78" s="567">
        <v>1.0938546733686003</v>
      </c>
    </row>
    <row r="79" spans="1:9" ht="11.25" customHeight="1">
      <c r="A79" s="515" t="s">
        <v>100</v>
      </c>
      <c r="B79" s="562">
        <v>0.86950441011980018</v>
      </c>
      <c r="C79" s="563" t="s">
        <v>1407</v>
      </c>
      <c r="D79" s="562">
        <v>500</v>
      </c>
      <c r="E79" s="562" t="s">
        <v>979</v>
      </c>
      <c r="F79" s="562" t="s">
        <v>954</v>
      </c>
      <c r="G79" s="502">
        <v>1.6790787415094435</v>
      </c>
      <c r="H79" s="566" t="s">
        <v>954</v>
      </c>
      <c r="I79" s="567">
        <v>0.86950441011980018</v>
      </c>
    </row>
    <row r="80" spans="1:9" ht="11.25" customHeight="1">
      <c r="A80" s="515" t="s">
        <v>101</v>
      </c>
      <c r="B80" s="562">
        <v>0.34934343533368617</v>
      </c>
      <c r="C80" s="563" t="s">
        <v>674</v>
      </c>
      <c r="D80" s="562">
        <v>500</v>
      </c>
      <c r="E80" s="562" t="s">
        <v>979</v>
      </c>
      <c r="F80" s="562" t="s">
        <v>954</v>
      </c>
      <c r="G80" s="502">
        <v>0.34934343533368617</v>
      </c>
      <c r="H80" s="566" t="s">
        <v>954</v>
      </c>
      <c r="I80" s="567">
        <v>7.8985574752499996</v>
      </c>
    </row>
    <row r="81" spans="1:9" ht="11.25" customHeight="1">
      <c r="A81" s="503" t="s">
        <v>382</v>
      </c>
      <c r="B81" s="562">
        <v>5.2502538570849584</v>
      </c>
      <c r="C81" s="563" t="s">
        <v>674</v>
      </c>
      <c r="D81" s="562">
        <v>500</v>
      </c>
      <c r="E81" s="562" t="s">
        <v>979</v>
      </c>
      <c r="F81" s="562" t="s">
        <v>954</v>
      </c>
      <c r="G81" s="502">
        <v>5.2502538570849584</v>
      </c>
      <c r="H81" s="566" t="s">
        <v>1394</v>
      </c>
      <c r="I81" s="567">
        <v>23.069680000000002</v>
      </c>
    </row>
    <row r="82" spans="1:9" ht="11.25" customHeight="1">
      <c r="A82" s="458" t="s">
        <v>594</v>
      </c>
      <c r="B82" s="562">
        <v>2.4000000000000001E-4</v>
      </c>
      <c r="C82" s="563" t="s">
        <v>674</v>
      </c>
      <c r="D82" s="562">
        <v>1000</v>
      </c>
      <c r="E82" s="562" t="s">
        <v>979</v>
      </c>
      <c r="F82" s="562">
        <v>2.0000000000000002E-5</v>
      </c>
      <c r="G82" s="502">
        <v>2.4000000000000001E-4</v>
      </c>
      <c r="H82" s="566" t="s">
        <v>954</v>
      </c>
      <c r="I82" s="567">
        <v>0.29894007572327047</v>
      </c>
    </row>
    <row r="83" spans="1:9" ht="11.25" customHeight="1">
      <c r="A83" s="503" t="s">
        <v>102</v>
      </c>
      <c r="B83" s="562">
        <v>1.08663618621</v>
      </c>
      <c r="C83" s="563" t="s">
        <v>1407</v>
      </c>
      <c r="D83" s="562">
        <v>500</v>
      </c>
      <c r="E83" s="562" t="s">
        <v>979</v>
      </c>
      <c r="F83" s="562" t="s">
        <v>954</v>
      </c>
      <c r="G83" s="502">
        <v>25.285471822285853</v>
      </c>
      <c r="H83" s="566" t="s">
        <v>954</v>
      </c>
      <c r="I83" s="567">
        <v>1.08663618621</v>
      </c>
    </row>
    <row r="84" spans="1:9" ht="11.25" customHeight="1">
      <c r="A84" s="503" t="s">
        <v>370</v>
      </c>
      <c r="B84" s="562">
        <v>13.216616117924531</v>
      </c>
      <c r="C84" s="563" t="s">
        <v>1407</v>
      </c>
      <c r="D84" s="562">
        <v>500</v>
      </c>
      <c r="E84" s="562" t="s">
        <v>979</v>
      </c>
      <c r="F84" s="562" t="s">
        <v>954</v>
      </c>
      <c r="G84" s="502">
        <v>93.857142857142861</v>
      </c>
      <c r="H84" s="566" t="s">
        <v>954</v>
      </c>
      <c r="I84" s="567">
        <v>13.216616117924531</v>
      </c>
    </row>
    <row r="85" spans="1:9" ht="11.25" customHeight="1">
      <c r="A85" s="503" t="s">
        <v>337</v>
      </c>
      <c r="B85" s="562">
        <v>3.7928207733428785</v>
      </c>
      <c r="C85" s="563" t="s">
        <v>674</v>
      </c>
      <c r="D85" s="562">
        <v>500</v>
      </c>
      <c r="E85" s="562" t="s">
        <v>979</v>
      </c>
      <c r="F85" s="562" t="s">
        <v>954</v>
      </c>
      <c r="G85" s="502">
        <v>3.7928207733428785</v>
      </c>
      <c r="H85" s="566" t="s">
        <v>954</v>
      </c>
      <c r="I85" s="567">
        <v>30.160012305031447</v>
      </c>
    </row>
    <row r="86" spans="1:9" ht="11.25" customHeight="1">
      <c r="A86" s="503" t="s">
        <v>28</v>
      </c>
      <c r="B86" s="562">
        <v>0</v>
      </c>
      <c r="C86" s="563" t="s">
        <v>1407</v>
      </c>
      <c r="D86" s="562">
        <v>500</v>
      </c>
      <c r="E86" s="562" t="s">
        <v>979</v>
      </c>
      <c r="F86" s="562" t="s">
        <v>954</v>
      </c>
      <c r="G86" s="502" t="s">
        <v>954</v>
      </c>
      <c r="H86" s="566" t="s">
        <v>954</v>
      </c>
      <c r="I86" s="567">
        <v>0</v>
      </c>
    </row>
    <row r="87" spans="1:9" ht="11.25" customHeight="1">
      <c r="A87" s="503" t="s">
        <v>338</v>
      </c>
      <c r="B87" s="562">
        <v>0.89854167000000007</v>
      </c>
      <c r="C87" s="563" t="s">
        <v>1407</v>
      </c>
      <c r="D87" s="562">
        <v>479.48318616352208</v>
      </c>
      <c r="E87" s="562" t="s">
        <v>979</v>
      </c>
      <c r="F87" s="562" t="s">
        <v>954</v>
      </c>
      <c r="G87" s="502">
        <v>62.483630071956853</v>
      </c>
      <c r="H87" s="566">
        <v>24.005095384615387</v>
      </c>
      <c r="I87" s="567">
        <v>0.89854167000000007</v>
      </c>
    </row>
    <row r="88" spans="1:9" ht="11.25" customHeight="1">
      <c r="A88" s="503" t="s">
        <v>339</v>
      </c>
      <c r="B88" s="562">
        <v>86.52801771924527</v>
      </c>
      <c r="C88" s="563" t="s">
        <v>1407</v>
      </c>
      <c r="D88" s="562">
        <v>500</v>
      </c>
      <c r="E88" s="562" t="s">
        <v>979</v>
      </c>
      <c r="F88" s="562" t="s">
        <v>954</v>
      </c>
      <c r="G88" s="502">
        <v>478.19569558367709</v>
      </c>
      <c r="H88" s="566" t="s">
        <v>954</v>
      </c>
      <c r="I88" s="567">
        <v>86.52801771924527</v>
      </c>
    </row>
    <row r="89" spans="1:9" ht="11.25" customHeight="1">
      <c r="A89" s="503" t="s">
        <v>340</v>
      </c>
      <c r="B89" s="562">
        <v>93.052630320000006</v>
      </c>
      <c r="C89" s="563" t="s">
        <v>673</v>
      </c>
      <c r="D89" s="562">
        <v>500</v>
      </c>
      <c r="E89" s="562" t="s">
        <v>979</v>
      </c>
      <c r="F89" s="562" t="s">
        <v>954</v>
      </c>
      <c r="G89" s="502">
        <v>453.94296153544229</v>
      </c>
      <c r="H89" s="566">
        <v>93.052630320000006</v>
      </c>
      <c r="I89" s="567">
        <v>93.052647730188681</v>
      </c>
    </row>
    <row r="90" spans="1:9" ht="11.25" customHeight="1">
      <c r="A90" s="503" t="s">
        <v>103</v>
      </c>
      <c r="B90" s="562">
        <v>500</v>
      </c>
      <c r="C90" s="563" t="s">
        <v>1409</v>
      </c>
      <c r="D90" s="562">
        <v>500</v>
      </c>
      <c r="E90" s="562" t="s">
        <v>979</v>
      </c>
      <c r="F90" s="562" t="s">
        <v>954</v>
      </c>
      <c r="G90" s="502">
        <v>1264.2735911142927</v>
      </c>
      <c r="H90" s="566" t="s">
        <v>954</v>
      </c>
      <c r="I90" s="567">
        <v>627.48000002346248</v>
      </c>
    </row>
    <row r="91" spans="1:9" ht="11.25" customHeight="1">
      <c r="A91" s="503" t="s">
        <v>341</v>
      </c>
      <c r="B91" s="562">
        <v>1.3201258135444218</v>
      </c>
      <c r="C91" s="563" t="s">
        <v>674</v>
      </c>
      <c r="D91" s="562">
        <v>1000</v>
      </c>
      <c r="E91" s="562" t="s">
        <v>979</v>
      </c>
      <c r="F91" s="562" t="s">
        <v>954</v>
      </c>
      <c r="G91" s="502">
        <v>1.3201258135444218</v>
      </c>
      <c r="H91" s="566" t="s">
        <v>954</v>
      </c>
      <c r="I91" s="567">
        <v>44.579208905660373</v>
      </c>
    </row>
    <row r="92" spans="1:9" ht="11.25" customHeight="1">
      <c r="A92" s="503" t="s">
        <v>342</v>
      </c>
      <c r="B92" s="562">
        <v>0.20335714285714288</v>
      </c>
      <c r="C92" s="563" t="s">
        <v>674</v>
      </c>
      <c r="D92" s="562">
        <v>1000</v>
      </c>
      <c r="E92" s="562" t="s">
        <v>979</v>
      </c>
      <c r="F92" s="562" t="s">
        <v>954</v>
      </c>
      <c r="G92" s="502">
        <v>0.20335714285714288</v>
      </c>
      <c r="H92" s="566" t="s">
        <v>954</v>
      </c>
      <c r="I92" s="567">
        <v>12.15203256100629</v>
      </c>
    </row>
    <row r="93" spans="1:9" ht="11.25" customHeight="1">
      <c r="A93" s="503" t="s">
        <v>371</v>
      </c>
      <c r="B93" s="562">
        <v>0.15642857142857144</v>
      </c>
      <c r="C93" s="563" t="s">
        <v>674</v>
      </c>
      <c r="D93" s="562">
        <v>500</v>
      </c>
      <c r="E93" s="562" t="s">
        <v>979</v>
      </c>
      <c r="F93" s="562" t="s">
        <v>954</v>
      </c>
      <c r="G93" s="502">
        <v>0.15642857142857144</v>
      </c>
      <c r="H93" s="566" t="s">
        <v>954</v>
      </c>
      <c r="I93" s="567">
        <v>0.23115615974842768</v>
      </c>
    </row>
    <row r="94" spans="1:9" ht="11.25" customHeight="1">
      <c r="A94" s="503" t="s">
        <v>343</v>
      </c>
      <c r="B94" s="562">
        <v>6.0711960000000002E-2</v>
      </c>
      <c r="C94" s="563" t="s">
        <v>1407</v>
      </c>
      <c r="D94" s="562">
        <v>500</v>
      </c>
      <c r="E94" s="562" t="s">
        <v>979</v>
      </c>
      <c r="F94" s="562" t="s">
        <v>954</v>
      </c>
      <c r="G94" s="502">
        <v>1.2706826027542686</v>
      </c>
      <c r="H94" s="566" t="s">
        <v>954</v>
      </c>
      <c r="I94" s="567">
        <v>6.0711960000000002E-2</v>
      </c>
    </row>
    <row r="95" spans="1:9" ht="11.25" customHeight="1">
      <c r="A95" s="503" t="s">
        <v>364</v>
      </c>
      <c r="B95" s="562">
        <v>2.9357600309100004E-2</v>
      </c>
      <c r="C95" s="563" t="s">
        <v>1407</v>
      </c>
      <c r="D95" s="562">
        <v>500</v>
      </c>
      <c r="E95" s="562" t="s">
        <v>979</v>
      </c>
      <c r="F95" s="562" t="s">
        <v>954</v>
      </c>
      <c r="G95" s="502">
        <v>0.54847786239896112</v>
      </c>
      <c r="H95" s="566" t="s">
        <v>954</v>
      </c>
      <c r="I95" s="567">
        <v>2.9357600309100004E-2</v>
      </c>
    </row>
    <row r="96" spans="1:9" ht="11.25" customHeight="1">
      <c r="A96" s="503" t="s">
        <v>344</v>
      </c>
      <c r="B96" s="562">
        <v>0.68251320000000015</v>
      </c>
      <c r="C96" s="563" t="s">
        <v>1407</v>
      </c>
      <c r="D96" s="562">
        <v>500</v>
      </c>
      <c r="E96" s="562" t="s">
        <v>979</v>
      </c>
      <c r="F96" s="562" t="s">
        <v>954</v>
      </c>
      <c r="G96" s="502">
        <v>1.9583143021736595</v>
      </c>
      <c r="H96" s="566" t="s">
        <v>954</v>
      </c>
      <c r="I96" s="567">
        <v>0.68251320000000015</v>
      </c>
    </row>
    <row r="97" spans="1:9" ht="11.25" customHeight="1">
      <c r="A97" s="503" t="s">
        <v>104</v>
      </c>
      <c r="B97" s="562">
        <v>365.16680024269374</v>
      </c>
      <c r="C97" s="563" t="s">
        <v>1407</v>
      </c>
      <c r="D97" s="562">
        <v>500</v>
      </c>
      <c r="E97" s="562" t="s">
        <v>979</v>
      </c>
      <c r="F97" s="562" t="s">
        <v>954</v>
      </c>
      <c r="G97" s="502">
        <v>417.2102850677166</v>
      </c>
      <c r="H97" s="566" t="s">
        <v>954</v>
      </c>
      <c r="I97" s="567">
        <v>365.16680024269374</v>
      </c>
    </row>
    <row r="98" spans="1:9" ht="11.25" customHeight="1">
      <c r="A98" s="503" t="s">
        <v>345</v>
      </c>
      <c r="B98" s="562">
        <v>11.285807709958021</v>
      </c>
      <c r="C98" s="563" t="s">
        <v>674</v>
      </c>
      <c r="D98" s="562">
        <v>500</v>
      </c>
      <c r="E98" s="562" t="s">
        <v>979</v>
      </c>
      <c r="F98" s="562" t="s">
        <v>954</v>
      </c>
      <c r="G98" s="502">
        <v>11.285807709958021</v>
      </c>
      <c r="H98" s="566" t="s">
        <v>954</v>
      </c>
      <c r="I98" s="567">
        <v>30.767270206382754</v>
      </c>
    </row>
    <row r="99" spans="1:9" ht="11.25" customHeight="1">
      <c r="A99" s="503" t="s">
        <v>105</v>
      </c>
      <c r="B99" s="562">
        <v>9.9644889039999995</v>
      </c>
      <c r="C99" s="563" t="s">
        <v>1407</v>
      </c>
      <c r="D99" s="562">
        <v>500</v>
      </c>
      <c r="E99" s="562" t="s">
        <v>979</v>
      </c>
      <c r="F99" s="562" t="s">
        <v>954</v>
      </c>
      <c r="G99" s="502">
        <v>550.36828362211691</v>
      </c>
      <c r="H99" s="566" t="s">
        <v>954</v>
      </c>
      <c r="I99" s="567">
        <v>9.9644889039999995</v>
      </c>
    </row>
    <row r="100" spans="1:9" ht="11.25" customHeight="1">
      <c r="A100" s="503" t="s">
        <v>346</v>
      </c>
      <c r="B100" s="562">
        <v>200</v>
      </c>
      <c r="C100" s="563" t="s">
        <v>674</v>
      </c>
      <c r="D100" s="562">
        <v>1000</v>
      </c>
      <c r="E100" s="562" t="s">
        <v>979</v>
      </c>
      <c r="F100" s="562">
        <v>73</v>
      </c>
      <c r="G100" s="502">
        <v>200</v>
      </c>
      <c r="H100" s="566" t="s">
        <v>954</v>
      </c>
      <c r="I100" s="567" t="s">
        <v>1408</v>
      </c>
    </row>
    <row r="101" spans="1:9" ht="11.25" customHeight="1">
      <c r="A101" s="503" t="s">
        <v>347</v>
      </c>
      <c r="B101" s="562">
        <v>4.6925983598593568</v>
      </c>
      <c r="C101" s="563" t="s">
        <v>674</v>
      </c>
      <c r="D101" s="562">
        <v>500</v>
      </c>
      <c r="E101" s="562" t="s">
        <v>979</v>
      </c>
      <c r="F101" s="562">
        <v>0.72</v>
      </c>
      <c r="G101" s="502">
        <v>4.6925983598593568</v>
      </c>
      <c r="H101" s="566" t="s">
        <v>954</v>
      </c>
      <c r="I101" s="567" t="s">
        <v>1408</v>
      </c>
    </row>
    <row r="102" spans="1:9" ht="11.25" customHeight="1">
      <c r="A102" s="503" t="s">
        <v>348</v>
      </c>
      <c r="B102" s="562">
        <v>16.144000157125785</v>
      </c>
      <c r="C102" s="563" t="s">
        <v>1407</v>
      </c>
      <c r="D102" s="562">
        <v>500</v>
      </c>
      <c r="E102" s="562" t="s">
        <v>979</v>
      </c>
      <c r="F102" s="562" t="s">
        <v>954</v>
      </c>
      <c r="G102" s="502">
        <v>63.213679555714634</v>
      </c>
      <c r="H102" s="566" t="s">
        <v>954</v>
      </c>
      <c r="I102" s="567">
        <v>16.144000157125785</v>
      </c>
    </row>
    <row r="103" spans="1:9" ht="11.25" customHeight="1">
      <c r="A103" s="503" t="s">
        <v>350</v>
      </c>
      <c r="B103" s="562">
        <v>15.434426000000002</v>
      </c>
      <c r="C103" s="563" t="s">
        <v>1407</v>
      </c>
      <c r="D103" s="562">
        <v>500</v>
      </c>
      <c r="E103" s="562" t="s">
        <v>979</v>
      </c>
      <c r="F103" s="562" t="s">
        <v>954</v>
      </c>
      <c r="G103" s="502">
        <v>5607.4340205591161</v>
      </c>
      <c r="H103" s="566">
        <v>2229.044571428572</v>
      </c>
      <c r="I103" s="567">
        <v>15.434426000000002</v>
      </c>
    </row>
    <row r="104" spans="1:9" ht="11.25" customHeight="1">
      <c r="A104" s="503" t="s">
        <v>351</v>
      </c>
      <c r="B104" s="562">
        <v>0.50329860000000004</v>
      </c>
      <c r="C104" s="563" t="s">
        <v>1407</v>
      </c>
      <c r="D104" s="562">
        <v>100</v>
      </c>
      <c r="E104" s="562" t="s">
        <v>979</v>
      </c>
      <c r="F104" s="562" t="s">
        <v>954</v>
      </c>
      <c r="G104" s="502">
        <v>3356.5423899371067</v>
      </c>
      <c r="H104" s="566">
        <v>1337.4267428571429</v>
      </c>
      <c r="I104" s="567">
        <v>0.50329860000000004</v>
      </c>
    </row>
    <row r="105" spans="1:9" ht="11.25" customHeight="1">
      <c r="A105" s="503" t="s">
        <v>352</v>
      </c>
      <c r="B105" s="562">
        <v>1.5642857142857143</v>
      </c>
      <c r="C105" s="563" t="s">
        <v>674</v>
      </c>
      <c r="D105" s="562">
        <v>100</v>
      </c>
      <c r="E105" s="562" t="s">
        <v>979</v>
      </c>
      <c r="F105" s="562" t="s">
        <v>954</v>
      </c>
      <c r="G105" s="502">
        <v>1.5642857142857143</v>
      </c>
      <c r="H105" s="566" t="s">
        <v>954</v>
      </c>
      <c r="I105" s="567" t="s">
        <v>1408</v>
      </c>
    </row>
    <row r="106" spans="1:9" ht="11.25" customHeight="1">
      <c r="A106" s="503" t="s">
        <v>353</v>
      </c>
      <c r="B106" s="562">
        <v>2.3081822485207097</v>
      </c>
      <c r="C106" s="563" t="s">
        <v>673</v>
      </c>
      <c r="D106" s="562">
        <v>100</v>
      </c>
      <c r="E106" s="562" t="s">
        <v>979</v>
      </c>
      <c r="F106" s="562" t="s">
        <v>954</v>
      </c>
      <c r="G106" s="502">
        <v>49.897973388145594</v>
      </c>
      <c r="H106" s="566">
        <v>2.3081822485207097</v>
      </c>
      <c r="I106" s="567">
        <v>4.0741957000000006</v>
      </c>
    </row>
    <row r="107" spans="1:9" ht="11.25" customHeight="1">
      <c r="A107" s="503" t="s">
        <v>349</v>
      </c>
      <c r="B107" s="562">
        <v>21.671266666666664</v>
      </c>
      <c r="C107" s="563" t="s">
        <v>673</v>
      </c>
      <c r="D107" s="562">
        <v>500</v>
      </c>
      <c r="E107" s="562" t="s">
        <v>979</v>
      </c>
      <c r="F107" s="562" t="s">
        <v>954</v>
      </c>
      <c r="G107" s="502">
        <v>57.608321104047015</v>
      </c>
      <c r="H107" s="566">
        <v>21.671266666666664</v>
      </c>
      <c r="I107" s="567">
        <v>36.135419999999996</v>
      </c>
    </row>
    <row r="108" spans="1:9" ht="11.25" customHeight="1">
      <c r="A108" s="458" t="s">
        <v>590</v>
      </c>
      <c r="B108" s="562">
        <v>0.88790849700000019</v>
      </c>
      <c r="C108" s="563" t="s">
        <v>1407</v>
      </c>
      <c r="D108" s="562">
        <v>500</v>
      </c>
      <c r="E108" s="562" t="s">
        <v>979</v>
      </c>
      <c r="F108" s="562" t="s">
        <v>954</v>
      </c>
      <c r="G108" s="502">
        <v>169.01743569313257</v>
      </c>
      <c r="H108" s="566">
        <v>394.015536</v>
      </c>
      <c r="I108" s="567">
        <v>0.88790849700000019</v>
      </c>
    </row>
    <row r="109" spans="1:9" ht="11.25" customHeight="1">
      <c r="A109" s="458" t="s">
        <v>591</v>
      </c>
      <c r="B109" s="562">
        <v>1.9485055080000002</v>
      </c>
      <c r="C109" s="563" t="s">
        <v>1407</v>
      </c>
      <c r="D109" s="562">
        <v>500</v>
      </c>
      <c r="E109" s="562" t="s">
        <v>979</v>
      </c>
      <c r="F109" s="562" t="s">
        <v>954</v>
      </c>
      <c r="G109" s="502">
        <v>38.017884706403599</v>
      </c>
      <c r="H109" s="566">
        <v>43.956236800788616</v>
      </c>
      <c r="I109" s="567">
        <v>1.9485055080000002</v>
      </c>
    </row>
    <row r="110" spans="1:9" ht="11.25" customHeight="1">
      <c r="A110" s="503" t="s">
        <v>465</v>
      </c>
      <c r="B110" s="562">
        <v>78.203503981200072</v>
      </c>
      <c r="C110" s="563" t="s">
        <v>674</v>
      </c>
      <c r="D110" s="562">
        <v>1000</v>
      </c>
      <c r="E110" s="562" t="s">
        <v>979</v>
      </c>
      <c r="F110" s="562">
        <v>4</v>
      </c>
      <c r="G110" s="502">
        <v>78.203503981200072</v>
      </c>
      <c r="H110" s="566" t="s">
        <v>954</v>
      </c>
      <c r="I110" s="567" t="s">
        <v>1408</v>
      </c>
    </row>
    <row r="111" spans="1:9" ht="11.25" customHeight="1">
      <c r="A111" s="503" t="s">
        <v>466</v>
      </c>
      <c r="B111" s="562">
        <v>3.1084209600000006</v>
      </c>
      <c r="C111" s="563" t="s">
        <v>1407</v>
      </c>
      <c r="D111" s="562">
        <v>500</v>
      </c>
      <c r="E111" s="562" t="s">
        <v>979</v>
      </c>
      <c r="F111" s="562" t="s">
        <v>954</v>
      </c>
      <c r="G111" s="502">
        <v>20.639007337759541</v>
      </c>
      <c r="H111" s="566">
        <v>6.9968054941286626</v>
      </c>
      <c r="I111" s="567">
        <v>3.1084209600000006</v>
      </c>
    </row>
    <row r="112" spans="1:9" ht="11.25" customHeight="1">
      <c r="A112" s="503" t="s">
        <v>812</v>
      </c>
      <c r="B112" s="562">
        <v>410</v>
      </c>
      <c r="C112" s="563" t="s">
        <v>380</v>
      </c>
      <c r="D112" s="562">
        <v>1000</v>
      </c>
      <c r="E112" s="562" t="s">
        <v>979</v>
      </c>
      <c r="F112" s="562">
        <v>410</v>
      </c>
      <c r="G112" s="502">
        <v>124.37096748749823</v>
      </c>
      <c r="H112" s="566" t="s">
        <v>954</v>
      </c>
      <c r="I112" s="567" t="s">
        <v>1408</v>
      </c>
    </row>
    <row r="113" spans="1:9" ht="11.25" customHeight="1">
      <c r="A113" s="515" t="s">
        <v>106</v>
      </c>
      <c r="B113" s="562">
        <v>5.5889478096309899</v>
      </c>
      <c r="C113" s="563" t="s">
        <v>674</v>
      </c>
      <c r="D113" s="562">
        <v>500</v>
      </c>
      <c r="E113" s="562" t="s">
        <v>979</v>
      </c>
      <c r="F113" s="562" t="s">
        <v>954</v>
      </c>
      <c r="G113" s="502">
        <v>5.5889478096309899</v>
      </c>
      <c r="H113" s="566" t="s">
        <v>1394</v>
      </c>
      <c r="I113" s="567">
        <v>14.337919840000001</v>
      </c>
    </row>
    <row r="114" spans="1:9" ht="11.25" customHeight="1">
      <c r="A114" s="515" t="s">
        <v>107</v>
      </c>
      <c r="B114" s="562">
        <v>0.34602012016200001</v>
      </c>
      <c r="C114" s="563" t="s">
        <v>1407</v>
      </c>
      <c r="D114" s="562">
        <v>500</v>
      </c>
      <c r="E114" s="562" t="s">
        <v>979</v>
      </c>
      <c r="F114" s="562" t="s">
        <v>954</v>
      </c>
      <c r="G114" s="502">
        <v>1.2642735911142928</v>
      </c>
      <c r="H114" s="566" t="s">
        <v>954</v>
      </c>
      <c r="I114" s="567">
        <v>0.34602012016200001</v>
      </c>
    </row>
    <row r="115" spans="1:9" ht="11.25" customHeight="1">
      <c r="A115" s="515" t="s">
        <v>108</v>
      </c>
      <c r="B115" s="562">
        <v>3.0562200956937802</v>
      </c>
      <c r="C115" s="563" t="s">
        <v>674</v>
      </c>
      <c r="D115" s="562">
        <v>500</v>
      </c>
      <c r="E115" s="562" t="s">
        <v>979</v>
      </c>
      <c r="F115" s="562" t="s">
        <v>954</v>
      </c>
      <c r="G115" s="502">
        <v>3.0562200956937802</v>
      </c>
      <c r="H115" s="566" t="s">
        <v>1394</v>
      </c>
      <c r="I115" s="567">
        <v>4.3736206610000012</v>
      </c>
    </row>
    <row r="116" spans="1:9" ht="11.25" customHeight="1">
      <c r="A116" s="515" t="s">
        <v>109</v>
      </c>
      <c r="B116" s="562">
        <v>1.2642735911142928</v>
      </c>
      <c r="C116" s="563" t="s">
        <v>674</v>
      </c>
      <c r="D116" s="562">
        <v>500</v>
      </c>
      <c r="E116" s="562" t="s">
        <v>979</v>
      </c>
      <c r="F116" s="562" t="s">
        <v>954</v>
      </c>
      <c r="G116" s="502">
        <v>1.2642735911142928</v>
      </c>
      <c r="H116" s="566" t="s">
        <v>954</v>
      </c>
      <c r="I116" s="567">
        <v>2.5346548542000003</v>
      </c>
    </row>
    <row r="117" spans="1:9" ht="11.25" customHeight="1">
      <c r="A117" s="515" t="s">
        <v>110</v>
      </c>
      <c r="B117" s="562">
        <v>2.7749941231999999</v>
      </c>
      <c r="C117" s="563" t="s">
        <v>1407</v>
      </c>
      <c r="D117" s="562">
        <v>500</v>
      </c>
      <c r="E117" s="562" t="s">
        <v>979</v>
      </c>
      <c r="F117" s="562" t="s">
        <v>954</v>
      </c>
      <c r="G117" s="502">
        <v>32.678116840063197</v>
      </c>
      <c r="H117" s="566" t="s">
        <v>954</v>
      </c>
      <c r="I117" s="567">
        <v>2.7749941231999999</v>
      </c>
    </row>
    <row r="118" spans="1:9" ht="11.25" customHeight="1">
      <c r="A118" s="503" t="s">
        <v>467</v>
      </c>
      <c r="B118" s="562">
        <v>0.77635002588250013</v>
      </c>
      <c r="C118" s="563" t="s">
        <v>1407</v>
      </c>
      <c r="D118" s="562">
        <v>500</v>
      </c>
      <c r="E118" s="562" t="s">
        <v>979</v>
      </c>
      <c r="F118" s="562" t="s">
        <v>954</v>
      </c>
      <c r="G118" s="502">
        <v>0.98017273127524474</v>
      </c>
      <c r="H118" s="566" t="s">
        <v>954</v>
      </c>
      <c r="I118" s="567">
        <v>0.77635002588250013</v>
      </c>
    </row>
    <row r="119" spans="1:9" ht="11.25" customHeight="1">
      <c r="A119" s="515" t="s">
        <v>111</v>
      </c>
      <c r="B119" s="562">
        <v>113.78462320028632</v>
      </c>
      <c r="C119" s="563" t="s">
        <v>674</v>
      </c>
      <c r="D119" s="562">
        <v>500</v>
      </c>
      <c r="E119" s="562" t="s">
        <v>979</v>
      </c>
      <c r="F119" s="562" t="s">
        <v>954</v>
      </c>
      <c r="G119" s="502">
        <v>113.78462320028632</v>
      </c>
      <c r="H119" s="566" t="s">
        <v>954</v>
      </c>
      <c r="I119" s="567">
        <v>2312.3552734856503</v>
      </c>
    </row>
    <row r="120" spans="1:9" ht="11.25" customHeight="1">
      <c r="A120" s="503" t="s">
        <v>231</v>
      </c>
      <c r="B120" s="562">
        <v>1.2</v>
      </c>
      <c r="C120" s="563" t="s">
        <v>1407</v>
      </c>
      <c r="D120" s="562">
        <v>1000</v>
      </c>
      <c r="E120" s="562" t="s">
        <v>979</v>
      </c>
      <c r="F120" s="562" t="s">
        <v>954</v>
      </c>
      <c r="G120" s="502">
        <v>10.95</v>
      </c>
      <c r="H120" s="566" t="s">
        <v>954</v>
      </c>
      <c r="I120" s="567">
        <v>1.2</v>
      </c>
    </row>
    <row r="121" spans="1:9" ht="11.25" customHeight="1">
      <c r="A121" s="503" t="s">
        <v>468</v>
      </c>
      <c r="B121" s="562">
        <v>68.625848705509426</v>
      </c>
      <c r="C121" s="563" t="s">
        <v>1407</v>
      </c>
      <c r="D121" s="562">
        <v>500</v>
      </c>
      <c r="E121" s="562" t="s">
        <v>979</v>
      </c>
      <c r="F121" s="562" t="s">
        <v>954</v>
      </c>
      <c r="G121" s="502">
        <v>463.04414452751359</v>
      </c>
      <c r="H121" s="566" t="s">
        <v>1394</v>
      </c>
      <c r="I121" s="567">
        <v>68.625848705509426</v>
      </c>
    </row>
    <row r="122" spans="1:9" ht="11.25" customHeight="1">
      <c r="A122" s="503" t="s">
        <v>469</v>
      </c>
      <c r="B122" s="562">
        <v>1.80248040198</v>
      </c>
      <c r="C122" s="563" t="s">
        <v>1407</v>
      </c>
      <c r="D122" s="562">
        <v>500</v>
      </c>
      <c r="E122" s="562" t="s">
        <v>979</v>
      </c>
      <c r="F122" s="562" t="s">
        <v>954</v>
      </c>
      <c r="G122" s="502">
        <v>3792.5672185128146</v>
      </c>
      <c r="H122" s="566" t="s">
        <v>954</v>
      </c>
      <c r="I122" s="567">
        <v>1.80248040198</v>
      </c>
    </row>
    <row r="123" spans="1:9" ht="11.25" customHeight="1">
      <c r="A123" s="503" t="s">
        <v>365</v>
      </c>
      <c r="B123" s="562">
        <v>1.1741947383207836</v>
      </c>
      <c r="C123" s="563" t="s">
        <v>674</v>
      </c>
      <c r="D123" s="562">
        <v>500</v>
      </c>
      <c r="E123" s="562" t="s">
        <v>979</v>
      </c>
      <c r="F123" s="562" t="s">
        <v>954</v>
      </c>
      <c r="G123" s="502">
        <v>1.1741947383207836</v>
      </c>
      <c r="H123" s="566" t="s">
        <v>954</v>
      </c>
      <c r="I123" s="567">
        <v>33.673397683018869</v>
      </c>
    </row>
    <row r="124" spans="1:9" ht="11.25" customHeight="1">
      <c r="A124" s="503" t="s">
        <v>112</v>
      </c>
      <c r="B124" s="562">
        <v>24.538121002430501</v>
      </c>
      <c r="C124" s="563" t="s">
        <v>1407</v>
      </c>
      <c r="D124" s="562">
        <v>500</v>
      </c>
      <c r="E124" s="562" t="s">
        <v>979</v>
      </c>
      <c r="F124" s="562" t="s">
        <v>954</v>
      </c>
      <c r="G124" s="502">
        <v>1264.2735911142927</v>
      </c>
      <c r="H124" s="566" t="s">
        <v>954</v>
      </c>
      <c r="I124" s="567">
        <v>24.538121002430501</v>
      </c>
    </row>
    <row r="125" spans="1:9" ht="11.25" customHeight="1">
      <c r="A125" s="503" t="s">
        <v>470</v>
      </c>
      <c r="B125" s="562">
        <v>44.028912348000006</v>
      </c>
      <c r="C125" s="563" t="s">
        <v>673</v>
      </c>
      <c r="D125" s="562">
        <v>500</v>
      </c>
      <c r="E125" s="562" t="s">
        <v>979</v>
      </c>
      <c r="F125" s="562" t="s">
        <v>954</v>
      </c>
      <c r="G125" s="502">
        <v>356.36905187830342</v>
      </c>
      <c r="H125" s="566">
        <v>44.028912348000006</v>
      </c>
      <c r="I125" s="567">
        <v>44.028912522735858</v>
      </c>
    </row>
    <row r="126" spans="1:9" ht="11.25" customHeight="1">
      <c r="A126" s="503" t="s">
        <v>471</v>
      </c>
      <c r="B126" s="562">
        <v>78.213207407198283</v>
      </c>
      <c r="C126" s="563" t="s">
        <v>674</v>
      </c>
      <c r="D126" s="562">
        <v>1000</v>
      </c>
      <c r="E126" s="562" t="s">
        <v>979</v>
      </c>
      <c r="F126" s="562">
        <v>7.1</v>
      </c>
      <c r="G126" s="502">
        <v>78.213207407198283</v>
      </c>
      <c r="H126" s="566" t="s">
        <v>954</v>
      </c>
      <c r="I126" s="567" t="s">
        <v>1408</v>
      </c>
    </row>
    <row r="127" spans="1:9" ht="11.25" customHeight="1">
      <c r="A127" s="503" t="s">
        <v>813</v>
      </c>
      <c r="B127" s="562">
        <v>78.214285714285708</v>
      </c>
      <c r="C127" s="563" t="s">
        <v>674</v>
      </c>
      <c r="D127" s="562">
        <v>1000</v>
      </c>
      <c r="E127" s="562" t="s">
        <v>979</v>
      </c>
      <c r="F127" s="562">
        <v>1.5</v>
      </c>
      <c r="G127" s="502">
        <v>78.214285714285708</v>
      </c>
      <c r="H127" s="566" t="s">
        <v>954</v>
      </c>
      <c r="I127" s="567" t="s">
        <v>1408</v>
      </c>
    </row>
    <row r="128" spans="1:9" ht="11.25" customHeight="1">
      <c r="A128" s="503" t="s">
        <v>113</v>
      </c>
      <c r="B128" s="562">
        <v>0.21887105251122002</v>
      </c>
      <c r="C128" s="563" t="s">
        <v>1407</v>
      </c>
      <c r="D128" s="562">
        <v>500</v>
      </c>
      <c r="E128" s="562" t="s">
        <v>979</v>
      </c>
      <c r="F128" s="562" t="s">
        <v>954</v>
      </c>
      <c r="G128" s="502">
        <v>4.3570822453417595</v>
      </c>
      <c r="H128" s="566" t="s">
        <v>954</v>
      </c>
      <c r="I128" s="567">
        <v>0.21887105251122002</v>
      </c>
    </row>
    <row r="129" spans="1:9" ht="11.25" customHeight="1">
      <c r="A129" s="503" t="s">
        <v>472</v>
      </c>
      <c r="B129" s="562">
        <v>2.9258304000000002</v>
      </c>
      <c r="C129" s="563" t="s">
        <v>1407</v>
      </c>
      <c r="D129" s="562">
        <v>500</v>
      </c>
      <c r="E129" s="562" t="s">
        <v>979</v>
      </c>
      <c r="F129" s="562" t="s">
        <v>954</v>
      </c>
      <c r="G129" s="502">
        <v>867.20140880503141</v>
      </c>
      <c r="H129" s="566">
        <v>445.80891428571431</v>
      </c>
      <c r="I129" s="567">
        <v>2.9258304000000002</v>
      </c>
    </row>
    <row r="130" spans="1:9" ht="11.25" customHeight="1">
      <c r="A130" s="503" t="s">
        <v>114</v>
      </c>
      <c r="B130" s="562">
        <v>2.0901222739155294</v>
      </c>
      <c r="C130" s="563" t="s">
        <v>1407</v>
      </c>
      <c r="D130" s="562">
        <v>500</v>
      </c>
      <c r="E130" s="562" t="s">
        <v>979</v>
      </c>
      <c r="F130" s="562" t="s">
        <v>954</v>
      </c>
      <c r="G130" s="502">
        <v>164.35556684485806</v>
      </c>
      <c r="H130" s="566" t="s">
        <v>954</v>
      </c>
      <c r="I130" s="567">
        <v>2.0901222739155294</v>
      </c>
    </row>
    <row r="131" spans="1:9" ht="11.25" customHeight="1">
      <c r="A131" s="503" t="s">
        <v>19</v>
      </c>
      <c r="B131" s="562">
        <v>7.2915066000000008</v>
      </c>
      <c r="C131" s="563" t="s">
        <v>1407</v>
      </c>
      <c r="D131" s="562">
        <v>100</v>
      </c>
      <c r="E131" s="562" t="s">
        <v>979</v>
      </c>
      <c r="F131" s="562" t="s">
        <v>954</v>
      </c>
      <c r="G131" s="502">
        <v>1344.7368421052633</v>
      </c>
      <c r="H131" s="566" t="s">
        <v>1394</v>
      </c>
      <c r="I131" s="567">
        <v>7.2915066000000008</v>
      </c>
    </row>
    <row r="132" spans="1:9" ht="11.25" customHeight="1">
      <c r="A132" s="503" t="s">
        <v>473</v>
      </c>
      <c r="B132" s="562">
        <v>0.32182358400000005</v>
      </c>
      <c r="C132" s="563" t="s">
        <v>1407</v>
      </c>
      <c r="D132" s="562">
        <v>100</v>
      </c>
      <c r="E132" s="562" t="s">
        <v>979</v>
      </c>
      <c r="F132" s="562" t="s">
        <v>954</v>
      </c>
      <c r="G132" s="502">
        <v>2.1697025011683992</v>
      </c>
      <c r="H132" s="566" t="s">
        <v>1394</v>
      </c>
      <c r="I132" s="567">
        <v>0.32182358400000005</v>
      </c>
    </row>
    <row r="133" spans="1:9" ht="11.25" customHeight="1">
      <c r="A133" s="503" t="s">
        <v>474</v>
      </c>
      <c r="B133" s="562">
        <v>1.0347023872679044E-2</v>
      </c>
      <c r="C133" s="563" t="s">
        <v>673</v>
      </c>
      <c r="D133" s="562">
        <v>500</v>
      </c>
      <c r="E133" s="562" t="s">
        <v>979</v>
      </c>
      <c r="F133" s="562" t="s">
        <v>954</v>
      </c>
      <c r="G133" s="502">
        <v>0.64236269696443038</v>
      </c>
      <c r="H133" s="566">
        <v>1.0347023872679044E-2</v>
      </c>
      <c r="I133" s="567">
        <v>3.6113259999999996</v>
      </c>
    </row>
    <row r="134" spans="1:9" ht="11.25" customHeight="1">
      <c r="A134" s="503" t="s">
        <v>475</v>
      </c>
      <c r="B134" s="562">
        <v>9.8381538461538437E-2</v>
      </c>
      <c r="C134" s="563" t="s">
        <v>673</v>
      </c>
      <c r="D134" s="562">
        <v>166.02402867924528</v>
      </c>
      <c r="E134" s="562" t="s">
        <v>979</v>
      </c>
      <c r="F134" s="562" t="s">
        <v>954</v>
      </c>
      <c r="G134" s="502">
        <v>1.1398717475371951</v>
      </c>
      <c r="H134" s="566">
        <v>9.8381538461538437E-2</v>
      </c>
      <c r="I134" s="567">
        <v>6.7567601199999991</v>
      </c>
    </row>
    <row r="135" spans="1:9" ht="11.25" customHeight="1">
      <c r="A135" s="503" t="s">
        <v>115</v>
      </c>
      <c r="B135" s="562">
        <v>5.5841545920000006E-2</v>
      </c>
      <c r="C135" s="563" t="s">
        <v>1407</v>
      </c>
      <c r="D135" s="562">
        <v>500</v>
      </c>
      <c r="E135" s="562" t="s">
        <v>979</v>
      </c>
      <c r="F135" s="562" t="s">
        <v>954</v>
      </c>
      <c r="G135" s="502">
        <v>379.28207733428781</v>
      </c>
      <c r="H135" s="566" t="s">
        <v>954</v>
      </c>
      <c r="I135" s="567">
        <v>5.5841545920000006E-2</v>
      </c>
    </row>
    <row r="136" spans="1:9" ht="11.25" customHeight="1">
      <c r="A136" s="515" t="s">
        <v>116</v>
      </c>
      <c r="B136" s="562">
        <v>19.414033188019804</v>
      </c>
      <c r="C136" s="563" t="s">
        <v>1407</v>
      </c>
      <c r="D136" s="562">
        <v>500</v>
      </c>
      <c r="E136" s="562" t="s">
        <v>979</v>
      </c>
      <c r="F136" s="562" t="s">
        <v>954</v>
      </c>
      <c r="G136" s="502">
        <v>771.16303781051113</v>
      </c>
      <c r="H136" s="566" t="s">
        <v>954</v>
      </c>
      <c r="I136" s="567">
        <v>19.414033188019804</v>
      </c>
    </row>
    <row r="137" spans="1:9" ht="11.25" customHeight="1">
      <c r="A137" s="503" t="s">
        <v>476</v>
      </c>
      <c r="B137" s="562">
        <v>0.78214285714285714</v>
      </c>
      <c r="C137" s="563" t="s">
        <v>674</v>
      </c>
      <c r="D137" s="562">
        <v>1000</v>
      </c>
      <c r="E137" s="562" t="s">
        <v>979</v>
      </c>
      <c r="F137" s="562">
        <v>0.25</v>
      </c>
      <c r="G137" s="502">
        <v>0.78214285714285714</v>
      </c>
      <c r="H137" s="566" t="s">
        <v>954</v>
      </c>
      <c r="I137" s="567" t="s">
        <v>1408</v>
      </c>
    </row>
    <row r="138" spans="1:9" ht="11.25" customHeight="1">
      <c r="A138" s="503" t="s">
        <v>366</v>
      </c>
      <c r="B138" s="562">
        <v>0.78197728000000011</v>
      </c>
      <c r="C138" s="563" t="s">
        <v>1407</v>
      </c>
      <c r="D138" s="562">
        <v>500</v>
      </c>
      <c r="E138" s="562" t="s">
        <v>979</v>
      </c>
      <c r="F138" s="562" t="s">
        <v>954</v>
      </c>
      <c r="G138" s="502">
        <v>817.67394716981141</v>
      </c>
      <c r="H138" s="566">
        <v>817.29880000000014</v>
      </c>
      <c r="I138" s="567">
        <v>0.78197728000000011</v>
      </c>
    </row>
    <row r="139" spans="1:9" ht="11.25" customHeight="1">
      <c r="A139" s="503" t="s">
        <v>20</v>
      </c>
      <c r="B139" s="562">
        <v>0.47529913041323968</v>
      </c>
      <c r="C139" s="563" t="s">
        <v>674</v>
      </c>
      <c r="D139" s="562">
        <v>500</v>
      </c>
      <c r="E139" s="562" t="s">
        <v>979</v>
      </c>
      <c r="F139" s="562" t="s">
        <v>954</v>
      </c>
      <c r="G139" s="502">
        <v>0.47529913041323968</v>
      </c>
      <c r="H139" s="566" t="s">
        <v>954</v>
      </c>
      <c r="I139" s="567">
        <v>254.81502602987422</v>
      </c>
    </row>
    <row r="140" spans="1:9" ht="11.25" customHeight="1">
      <c r="A140" s="503" t="s">
        <v>57</v>
      </c>
      <c r="B140" s="562">
        <v>100</v>
      </c>
      <c r="C140" s="563" t="s">
        <v>1409</v>
      </c>
      <c r="D140" s="562">
        <v>100</v>
      </c>
      <c r="E140" s="562" t="s">
        <v>979</v>
      </c>
      <c r="F140" s="562" t="s">
        <v>954</v>
      </c>
      <c r="G140" s="502">
        <v>194.95991204485469</v>
      </c>
      <c r="H140" s="566" t="s">
        <v>1394</v>
      </c>
      <c r="I140" s="567">
        <v>1171.729</v>
      </c>
    </row>
    <row r="141" spans="1:9" ht="11.25" customHeight="1">
      <c r="A141" s="503" t="s">
        <v>56</v>
      </c>
      <c r="B141" s="562">
        <v>183.39493451041466</v>
      </c>
      <c r="C141" s="563" t="s">
        <v>674</v>
      </c>
      <c r="D141" s="562">
        <v>500</v>
      </c>
      <c r="E141" s="562" t="s">
        <v>979</v>
      </c>
      <c r="F141" s="562" t="s">
        <v>954</v>
      </c>
      <c r="G141" s="502">
        <v>183.39493451041466</v>
      </c>
      <c r="H141" s="566" t="s">
        <v>1394</v>
      </c>
      <c r="I141" s="567">
        <v>1499.8131200000003</v>
      </c>
    </row>
    <row r="142" spans="1:9" ht="11.25" customHeight="1">
      <c r="A142" s="503" t="s">
        <v>777</v>
      </c>
      <c r="B142" s="562">
        <v>500</v>
      </c>
      <c r="C142" s="563" t="s">
        <v>1409</v>
      </c>
      <c r="D142" s="562">
        <v>500</v>
      </c>
      <c r="E142" s="562" t="s">
        <v>979</v>
      </c>
      <c r="F142" s="562" t="s">
        <v>954</v>
      </c>
      <c r="G142" s="502">
        <v>1251.4195942435338</v>
      </c>
      <c r="H142" s="566" t="s">
        <v>954</v>
      </c>
      <c r="I142" s="567">
        <v>1499.8131200000003</v>
      </c>
    </row>
    <row r="143" spans="1:9" ht="11.25" customHeight="1">
      <c r="A143" s="503" t="s">
        <v>814</v>
      </c>
      <c r="B143" s="562">
        <v>0.17652248407169688</v>
      </c>
      <c r="C143" s="563" t="s">
        <v>673</v>
      </c>
      <c r="D143" s="562">
        <v>500</v>
      </c>
      <c r="E143" s="562" t="s">
        <v>979</v>
      </c>
      <c r="F143" s="562" t="s">
        <v>954</v>
      </c>
      <c r="G143" s="502">
        <v>12.423206309478356</v>
      </c>
      <c r="H143" s="566">
        <v>0.17652248407169688</v>
      </c>
      <c r="I143" s="567">
        <v>25.716438</v>
      </c>
    </row>
    <row r="144" spans="1:9" ht="11.25" customHeight="1">
      <c r="A144" s="503" t="s">
        <v>815</v>
      </c>
      <c r="B144" s="562">
        <v>1.2408521400000003</v>
      </c>
      <c r="C144" s="563" t="s">
        <v>1407</v>
      </c>
      <c r="D144" s="562">
        <v>500</v>
      </c>
      <c r="E144" s="562" t="s">
        <v>979</v>
      </c>
      <c r="F144" s="562" t="s">
        <v>954</v>
      </c>
      <c r="G144" s="502">
        <v>639.65388301886787</v>
      </c>
      <c r="H144" s="566">
        <v>222.90445714285715</v>
      </c>
      <c r="I144" s="567">
        <v>1.2408521400000003</v>
      </c>
    </row>
    <row r="145" spans="1:9" ht="11.25" customHeight="1">
      <c r="A145" s="503" t="s">
        <v>477</v>
      </c>
      <c r="B145" s="562">
        <v>8.9161782857142876E-3</v>
      </c>
      <c r="C145" s="563" t="s">
        <v>673</v>
      </c>
      <c r="D145" s="562">
        <v>100</v>
      </c>
      <c r="E145" s="562" t="s">
        <v>979</v>
      </c>
      <c r="F145" s="562" t="s">
        <v>954</v>
      </c>
      <c r="G145" s="502">
        <v>0.32364531998538026</v>
      </c>
      <c r="H145" s="566">
        <v>8.9161782857142876E-3</v>
      </c>
      <c r="I145" s="567">
        <v>1.6171378439206749</v>
      </c>
    </row>
    <row r="146" spans="1:9" ht="11.25" customHeight="1">
      <c r="A146" s="503" t="s">
        <v>478</v>
      </c>
      <c r="B146" s="562">
        <v>8.9161782857142866E-2</v>
      </c>
      <c r="C146" s="563" t="s">
        <v>673</v>
      </c>
      <c r="D146" s="562">
        <v>500</v>
      </c>
      <c r="E146" s="562" t="s">
        <v>979</v>
      </c>
      <c r="F146" s="562" t="s">
        <v>954</v>
      </c>
      <c r="G146" s="502">
        <v>0.88767733974939533</v>
      </c>
      <c r="H146" s="566">
        <v>8.9161782857142866E-2</v>
      </c>
      <c r="I146" s="567">
        <v>3.3616985000000006</v>
      </c>
    </row>
    <row r="147" spans="1:9" ht="11.25" customHeight="1">
      <c r="A147" s="503" t="s">
        <v>479</v>
      </c>
      <c r="B147" s="562">
        <v>0.50371266928000002</v>
      </c>
      <c r="C147" s="563" t="s">
        <v>1407</v>
      </c>
      <c r="D147" s="562">
        <v>100</v>
      </c>
      <c r="E147" s="562" t="s">
        <v>979</v>
      </c>
      <c r="F147" s="562" t="s">
        <v>954</v>
      </c>
      <c r="G147" s="502">
        <v>1264.257491523651</v>
      </c>
      <c r="H147" s="566" t="s">
        <v>954</v>
      </c>
      <c r="I147" s="567">
        <v>0.50371266928000002</v>
      </c>
    </row>
    <row r="148" spans="1:9" ht="11.25" customHeight="1">
      <c r="A148" s="503" t="s">
        <v>480</v>
      </c>
      <c r="B148" s="562">
        <v>0.30998447718000005</v>
      </c>
      <c r="C148" s="563" t="s">
        <v>1407</v>
      </c>
      <c r="D148" s="562">
        <v>500</v>
      </c>
      <c r="E148" s="562" t="s">
        <v>979</v>
      </c>
      <c r="F148" s="562" t="s">
        <v>954</v>
      </c>
      <c r="G148" s="502">
        <v>12.642735911142926</v>
      </c>
      <c r="H148" s="566" t="s">
        <v>954</v>
      </c>
      <c r="I148" s="567">
        <v>0.30998447718000005</v>
      </c>
    </row>
    <row r="149" spans="1:9" ht="11.25" customHeight="1">
      <c r="A149" s="515" t="s">
        <v>117</v>
      </c>
      <c r="B149" s="562">
        <v>12.184769044617401</v>
      </c>
      <c r="C149" s="563" t="s">
        <v>1407</v>
      </c>
      <c r="D149" s="562">
        <v>1000</v>
      </c>
      <c r="E149" s="562" t="s">
        <v>979</v>
      </c>
      <c r="F149" s="562" t="s">
        <v>954</v>
      </c>
      <c r="G149" s="502">
        <v>126.42735911142927</v>
      </c>
      <c r="H149" s="566" t="s">
        <v>954</v>
      </c>
      <c r="I149" s="567">
        <v>12.184769044617401</v>
      </c>
    </row>
    <row r="150" spans="1:9" ht="11.25" customHeight="1">
      <c r="A150" s="503" t="s">
        <v>118</v>
      </c>
      <c r="B150" s="562">
        <v>0.87299569451100001</v>
      </c>
      <c r="C150" s="563" t="s">
        <v>1407</v>
      </c>
      <c r="D150" s="562">
        <v>500</v>
      </c>
      <c r="E150" s="562" t="s">
        <v>979</v>
      </c>
      <c r="F150" s="562" t="s">
        <v>954</v>
      </c>
      <c r="G150" s="502">
        <v>101.14188728914341</v>
      </c>
      <c r="H150" s="566" t="s">
        <v>954</v>
      </c>
      <c r="I150" s="567">
        <v>0.87299569451100001</v>
      </c>
    </row>
    <row r="151" spans="1:9" ht="11.25" customHeight="1">
      <c r="A151" s="503" t="s">
        <v>119</v>
      </c>
      <c r="B151" s="562">
        <v>5.029527559055118E-3</v>
      </c>
      <c r="C151" s="563" t="s">
        <v>674</v>
      </c>
      <c r="D151" s="562">
        <v>100</v>
      </c>
      <c r="E151" s="562" t="s">
        <v>979</v>
      </c>
      <c r="F151" s="562" t="s">
        <v>954</v>
      </c>
      <c r="G151" s="502">
        <v>5.029527559055118E-3</v>
      </c>
      <c r="H151" s="566" t="s">
        <v>1394</v>
      </c>
      <c r="I151" s="567">
        <v>0.29866451999999999</v>
      </c>
    </row>
    <row r="152" spans="1:9" ht="11.25" customHeight="1">
      <c r="A152" s="503" t="s">
        <v>120</v>
      </c>
      <c r="B152" s="562">
        <v>0.15845058605710996</v>
      </c>
      <c r="C152" s="563" t="s">
        <v>674</v>
      </c>
      <c r="D152" s="562">
        <v>100</v>
      </c>
      <c r="E152" s="562" t="s">
        <v>979</v>
      </c>
      <c r="F152" s="562" t="s">
        <v>954</v>
      </c>
      <c r="G152" s="502">
        <v>0.15845058605710996</v>
      </c>
      <c r="H152" s="566" t="s">
        <v>1394</v>
      </c>
      <c r="I152" s="567">
        <v>0.43626651913429476</v>
      </c>
    </row>
    <row r="153" spans="1:9" ht="11.25" customHeight="1">
      <c r="A153" s="503" t="s">
        <v>602</v>
      </c>
      <c r="B153" s="562">
        <v>17.719343116981133</v>
      </c>
      <c r="C153" s="563" t="s">
        <v>1407</v>
      </c>
      <c r="D153" s="562">
        <v>100</v>
      </c>
      <c r="E153" s="562" t="s">
        <v>979</v>
      </c>
      <c r="F153" s="562" t="s">
        <v>954</v>
      </c>
      <c r="G153" s="502">
        <v>87.320574162679421</v>
      </c>
      <c r="H153" s="566" t="s">
        <v>954</v>
      </c>
      <c r="I153" s="567">
        <v>17.719343116981133</v>
      </c>
    </row>
    <row r="154" spans="1:9" ht="11.25" customHeight="1">
      <c r="A154" s="515" t="s">
        <v>939</v>
      </c>
      <c r="B154" s="562">
        <v>2.7937804034550004</v>
      </c>
      <c r="C154" s="563" t="s">
        <v>1407</v>
      </c>
      <c r="D154" s="562">
        <v>500</v>
      </c>
      <c r="E154" s="562" t="s">
        <v>979</v>
      </c>
      <c r="F154" s="562" t="s">
        <v>954</v>
      </c>
      <c r="G154" s="502">
        <v>449.03985437165932</v>
      </c>
      <c r="H154" s="566" t="s">
        <v>954</v>
      </c>
      <c r="I154" s="567">
        <v>2.7937804034550004</v>
      </c>
    </row>
    <row r="155" spans="1:9" ht="11.25" customHeight="1">
      <c r="A155" s="515" t="s">
        <v>603</v>
      </c>
      <c r="B155" s="562">
        <v>30.171580463643995</v>
      </c>
      <c r="C155" s="563" t="s">
        <v>1407</v>
      </c>
      <c r="D155" s="562">
        <v>500</v>
      </c>
      <c r="E155" s="562" t="s">
        <v>979</v>
      </c>
      <c r="F155" s="562" t="s">
        <v>954</v>
      </c>
      <c r="G155" s="502">
        <v>31.237531954550995</v>
      </c>
      <c r="H155" s="566" t="s">
        <v>954</v>
      </c>
      <c r="I155" s="567">
        <v>30.171580463643995</v>
      </c>
    </row>
    <row r="156" spans="1:9" ht="11.25" customHeight="1">
      <c r="A156" s="515" t="s">
        <v>605</v>
      </c>
      <c r="B156" s="562">
        <v>6.0682976945110001</v>
      </c>
      <c r="C156" s="563" t="s">
        <v>1407</v>
      </c>
      <c r="D156" s="562">
        <v>500</v>
      </c>
      <c r="E156" s="562" t="s">
        <v>979</v>
      </c>
      <c r="F156" s="562" t="s">
        <v>954</v>
      </c>
      <c r="G156" s="502">
        <v>7.2694180429212993</v>
      </c>
      <c r="H156" s="566" t="s">
        <v>954</v>
      </c>
      <c r="I156" s="567">
        <v>6.0682976945110001</v>
      </c>
    </row>
    <row r="157" spans="1:9" ht="11.25" customHeight="1">
      <c r="A157" s="503" t="s">
        <v>481</v>
      </c>
      <c r="B157" s="562">
        <v>770</v>
      </c>
      <c r="C157" s="563" t="s">
        <v>380</v>
      </c>
      <c r="D157" s="562">
        <v>1000</v>
      </c>
      <c r="E157" s="562" t="s">
        <v>979</v>
      </c>
      <c r="F157" s="562">
        <v>770</v>
      </c>
      <c r="G157" s="502">
        <v>77.999214351185017</v>
      </c>
      <c r="H157" s="566" t="s">
        <v>954</v>
      </c>
      <c r="I157" s="567" t="s">
        <v>1408</v>
      </c>
    </row>
    <row r="158" spans="1:9" ht="11.25" customHeight="1">
      <c r="A158" s="503" t="s">
        <v>482</v>
      </c>
      <c r="B158" s="562">
        <v>3.6336480000000004E-2</v>
      </c>
      <c r="C158" s="563" t="s">
        <v>673</v>
      </c>
      <c r="D158" s="562">
        <v>500</v>
      </c>
      <c r="E158" s="562" t="s">
        <v>979</v>
      </c>
      <c r="F158" s="562" t="s">
        <v>954</v>
      </c>
      <c r="G158" s="502">
        <v>5.8999999999999997E-2</v>
      </c>
      <c r="H158" s="566">
        <v>3.6336480000000004E-2</v>
      </c>
      <c r="I158" s="567">
        <v>3.2814192109612192</v>
      </c>
    </row>
    <row r="159" spans="1:9" ht="11.25" customHeight="1">
      <c r="A159" s="503" t="s">
        <v>483</v>
      </c>
      <c r="B159" s="562">
        <v>1.3588587999999999</v>
      </c>
      <c r="C159" s="563" t="s">
        <v>1407</v>
      </c>
      <c r="D159" s="562">
        <v>259.54240000000004</v>
      </c>
      <c r="E159" s="562" t="s">
        <v>979</v>
      </c>
      <c r="F159" s="562" t="s">
        <v>954</v>
      </c>
      <c r="G159" s="502">
        <v>129.23345456467081</v>
      </c>
      <c r="H159" s="566">
        <v>44.580891428571441</v>
      </c>
      <c r="I159" s="567">
        <v>1.3588587999999999</v>
      </c>
    </row>
    <row r="160" spans="1:9" ht="11.25" customHeight="1" thickBot="1">
      <c r="A160" s="503" t="s">
        <v>484</v>
      </c>
      <c r="B160" s="562">
        <v>1000</v>
      </c>
      <c r="C160" s="563" t="s">
        <v>1409</v>
      </c>
      <c r="D160" s="562">
        <v>1000</v>
      </c>
      <c r="E160" s="562" t="s">
        <v>979</v>
      </c>
      <c r="F160" s="562">
        <v>349</v>
      </c>
      <c r="G160" s="502">
        <v>4692.8571428571431</v>
      </c>
      <c r="H160" s="566" t="s">
        <v>954</v>
      </c>
      <c r="I160" s="594" t="s">
        <v>1408</v>
      </c>
    </row>
    <row r="161" spans="1:9" ht="22.5" customHeight="1" thickTop="1">
      <c r="A161" s="465" t="s">
        <v>615</v>
      </c>
      <c r="B161" s="568" t="s">
        <v>486</v>
      </c>
      <c r="C161" s="597" t="s">
        <v>367</v>
      </c>
      <c r="D161" s="598" t="s">
        <v>367</v>
      </c>
      <c r="E161" s="568" t="s">
        <v>367</v>
      </c>
      <c r="F161" s="568" t="s">
        <v>367</v>
      </c>
      <c r="G161" s="599" t="s">
        <v>367</v>
      </c>
      <c r="H161" s="600" t="s">
        <v>367</v>
      </c>
      <c r="I161" s="601" t="s">
        <v>367</v>
      </c>
    </row>
    <row r="162" spans="1:9" ht="11.25" customHeight="1" thickBot="1">
      <c r="A162" s="466" t="s">
        <v>616</v>
      </c>
      <c r="B162" s="572" t="s">
        <v>368</v>
      </c>
      <c r="C162" s="602" t="s">
        <v>367</v>
      </c>
      <c r="D162" s="603" t="s">
        <v>367</v>
      </c>
      <c r="E162" s="572" t="s">
        <v>367</v>
      </c>
      <c r="F162" s="572" t="s">
        <v>367</v>
      </c>
      <c r="G162" s="604" t="s">
        <v>367</v>
      </c>
      <c r="H162" s="576" t="s">
        <v>367</v>
      </c>
      <c r="I162" s="605" t="s">
        <v>367</v>
      </c>
    </row>
    <row r="163" spans="1:9" s="1" customFormat="1" ht="11.25" customHeight="1" thickTop="1">
      <c r="A163" s="474" t="s">
        <v>488</v>
      </c>
      <c r="B163" s="475"/>
      <c r="C163" s="475"/>
      <c r="D163" s="475"/>
      <c r="E163" s="475"/>
      <c r="F163" s="518"/>
      <c r="G163" s="475"/>
      <c r="H163" s="475"/>
      <c r="I163" s="578"/>
    </row>
    <row r="164" spans="1:9" ht="11.25" customHeight="1">
      <c r="A164" s="4" t="s">
        <v>491</v>
      </c>
      <c r="B164" s="475"/>
      <c r="C164" s="475"/>
      <c r="D164" s="606"/>
      <c r="E164" s="607"/>
      <c r="F164" s="606"/>
      <c r="G164" s="606"/>
      <c r="H164" s="475"/>
      <c r="I164" s="608"/>
    </row>
    <row r="165" spans="1:9" ht="11.25" customHeight="1">
      <c r="A165" s="474"/>
      <c r="B165" s="475"/>
      <c r="C165" s="475"/>
      <c r="D165" s="475"/>
      <c r="E165" s="475"/>
      <c r="F165" s="518"/>
      <c r="G165" s="475"/>
      <c r="H165" s="475"/>
      <c r="I165" s="476"/>
    </row>
    <row r="166" spans="1:9" ht="11.25" customHeight="1">
      <c r="A166" s="479" t="s">
        <v>391</v>
      </c>
      <c r="B166" s="475"/>
      <c r="C166" s="475"/>
      <c r="D166" s="475"/>
      <c r="E166" s="475"/>
      <c r="F166" s="518"/>
      <c r="G166" s="475"/>
      <c r="H166" s="475"/>
      <c r="I166" s="476"/>
    </row>
    <row r="167" spans="1:9" ht="11.25" customHeight="1">
      <c r="A167" s="479" t="s">
        <v>617</v>
      </c>
      <c r="B167" s="475"/>
      <c r="C167" s="475"/>
      <c r="D167" s="475"/>
      <c r="E167" s="475"/>
      <c r="F167" s="518"/>
      <c r="G167" s="475"/>
      <c r="H167" s="475"/>
      <c r="I167" s="476"/>
    </row>
    <row r="168" spans="1:9" ht="11.25" customHeight="1">
      <c r="A168" s="4" t="s">
        <v>1076</v>
      </c>
      <c r="B168" s="475"/>
      <c r="C168" s="475"/>
      <c r="D168" s="475"/>
      <c r="E168" s="475"/>
      <c r="F168" s="518"/>
      <c r="G168" s="475"/>
      <c r="H168" s="475"/>
      <c r="I168" s="476"/>
    </row>
    <row r="169" spans="1:9">
      <c r="A169" s="479" t="s">
        <v>778</v>
      </c>
      <c r="B169" s="609"/>
      <c r="C169" s="609"/>
      <c r="D169" s="609"/>
      <c r="E169" s="609"/>
      <c r="F169" s="610"/>
      <c r="G169" s="609"/>
      <c r="H169" s="609"/>
      <c r="I169" s="611"/>
    </row>
    <row r="170" spans="1:9" ht="10.5" thickBot="1">
      <c r="A170" s="5"/>
      <c r="B170" s="612"/>
      <c r="C170" s="612"/>
      <c r="D170" s="487"/>
      <c r="E170" s="487"/>
      <c r="F170" s="487"/>
      <c r="G170" s="487"/>
      <c r="H170" s="487"/>
      <c r="I170" s="613"/>
    </row>
    <row r="171" spans="1:9" ht="10.5" thickTop="1"/>
  </sheetData>
  <sheetProtection algorithmName="SHA-512" hashValue="TGIUD6wCtq4hKx5SHQILalfYznKuF+U1L7NZpb275CF+vbIMmxr2tk5OzglzWlLHESnlT/qvtlJcseRsxtXaJQ==" saltValue="szqIW/nZpW0nGn1zM73e7A==" spinCount="100000" sheet="1" objects="1" scenarios="1"/>
  <mergeCells count="5">
    <mergeCell ref="F4:F5"/>
    <mergeCell ref="A4:A6"/>
    <mergeCell ref="B4:B6"/>
    <mergeCell ref="D4:D5"/>
    <mergeCell ref="E4:E5"/>
  </mergeCells>
  <phoneticPr fontId="0" type="noConversion"/>
  <printOptions horizontalCentered="1"/>
  <pageMargins left="0.17" right="0.16" top="0.53" bottom="1" header="0.5" footer="0.5"/>
  <pageSetup scale="75" fitToHeight="4" orientation="landscape" r:id="rId1"/>
  <headerFooter alignWithMargins="0">
    <oddFooter>&amp;LHawai'i DOH
Spring 2024&amp;C&amp;8Page &amp;P of &amp;N&amp;R&amp;A</oddFooter>
  </headerFooter>
  <rowBreaks count="1" manualBreakCount="1">
    <brk id="1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5"/>
    <pageSetUpPr fitToPage="1"/>
  </sheetPr>
  <dimension ref="B1:P31"/>
  <sheetViews>
    <sheetView showGridLines="0" showRowColHeaders="0" topLeftCell="B1" workbookViewId="0">
      <selection activeCell="B3" sqref="B3:J3"/>
    </sheetView>
  </sheetViews>
  <sheetFormatPr defaultColWidth="9.1328125" defaultRowHeight="13.15"/>
  <cols>
    <col min="1" max="1" width="2.265625" style="347" customWidth="1"/>
    <col min="2" max="7" width="9.1328125" style="347"/>
    <col min="8" max="8" width="15.265625" style="347" customWidth="1"/>
    <col min="9" max="9" width="9.1328125" style="347"/>
    <col min="10" max="10" width="13.1328125" style="347" customWidth="1"/>
    <col min="11" max="16384" width="9.1328125" style="347"/>
  </cols>
  <sheetData>
    <row r="1" spans="2:16" ht="6" customHeight="1"/>
    <row r="2" spans="2:16" s="24" customFormat="1" ht="44.25" customHeight="1">
      <c r="B2" s="1182" t="s">
        <v>698</v>
      </c>
      <c r="C2" s="1183"/>
      <c r="D2" s="1183"/>
      <c r="E2" s="1183"/>
      <c r="F2" s="1183"/>
      <c r="G2" s="1183"/>
      <c r="H2" s="1183"/>
      <c r="I2" s="1183"/>
      <c r="J2" s="1183"/>
      <c r="L2" s="348"/>
      <c r="M2" s="349"/>
      <c r="N2" s="350"/>
      <c r="O2" s="350"/>
      <c r="P2" s="350"/>
    </row>
    <row r="3" spans="2:16" s="24" customFormat="1" ht="41.25" customHeight="1">
      <c r="B3" s="1184" t="s">
        <v>1749</v>
      </c>
      <c r="C3" s="1185"/>
      <c r="D3" s="1185"/>
      <c r="E3" s="1185"/>
      <c r="F3" s="1185"/>
      <c r="G3" s="1185"/>
      <c r="H3" s="1185"/>
      <c r="I3" s="1185"/>
      <c r="J3" s="1185"/>
      <c r="L3" s="348"/>
      <c r="M3" s="349"/>
      <c r="N3" s="350"/>
      <c r="O3" s="350"/>
      <c r="P3" s="350"/>
    </row>
    <row r="4" spans="2:16" ht="6" customHeight="1"/>
    <row r="5" spans="2:16" ht="30">
      <c r="B5" s="351" t="s">
        <v>321</v>
      </c>
      <c r="C5" s="352"/>
      <c r="D5" s="352"/>
      <c r="E5" s="352"/>
      <c r="F5" s="352"/>
      <c r="G5" s="352"/>
      <c r="H5" s="352"/>
      <c r="I5" s="352"/>
      <c r="J5" s="352"/>
    </row>
    <row r="6" spans="2:16" ht="5.25" customHeight="1">
      <c r="B6" s="353"/>
    </row>
    <row r="7" spans="2:16" ht="39.75" customHeight="1">
      <c r="B7" s="1187" t="s">
        <v>959</v>
      </c>
      <c r="C7" s="1187"/>
      <c r="D7" s="1187"/>
      <c r="E7" s="1187"/>
      <c r="F7" s="1187"/>
      <c r="G7" s="1187"/>
      <c r="H7" s="1187"/>
      <c r="I7" s="1187"/>
      <c r="J7" s="1187"/>
    </row>
    <row r="8" spans="2:16" ht="8.25" customHeight="1">
      <c r="B8" s="354"/>
      <c r="C8" s="354"/>
      <c r="D8" s="354"/>
      <c r="E8" s="354"/>
      <c r="F8" s="354"/>
      <c r="G8" s="354"/>
      <c r="H8" s="354"/>
      <c r="I8" s="354"/>
      <c r="J8" s="354"/>
    </row>
    <row r="9" spans="2:16" ht="18" customHeight="1">
      <c r="B9" s="91" t="s">
        <v>386</v>
      </c>
      <c r="C9" s="355"/>
      <c r="D9" s="355"/>
      <c r="E9" s="355"/>
      <c r="F9" s="355"/>
      <c r="G9" s="355"/>
      <c r="H9" s="355"/>
      <c r="I9" s="355"/>
      <c r="J9" s="355"/>
    </row>
    <row r="10" spans="2:16" ht="9" customHeight="1">
      <c r="B10" s="91"/>
      <c r="C10" s="355"/>
      <c r="D10" s="355"/>
      <c r="E10" s="355"/>
      <c r="F10" s="355"/>
      <c r="G10" s="355"/>
      <c r="H10" s="355"/>
      <c r="I10" s="355"/>
      <c r="J10" s="355"/>
    </row>
    <row r="11" spans="2:16" ht="61.5" customHeight="1">
      <c r="B11" s="1188" t="s">
        <v>493</v>
      </c>
      <c r="C11" s="1180"/>
      <c r="D11" s="1180"/>
      <c r="E11" s="1180"/>
      <c r="F11" s="1180"/>
      <c r="G11" s="1180"/>
      <c r="H11" s="1180"/>
      <c r="I11" s="1180"/>
      <c r="J11" s="1180"/>
    </row>
    <row r="12" spans="2:16" ht="9" customHeight="1">
      <c r="B12" s="185"/>
      <c r="C12" s="185"/>
      <c r="D12" s="185"/>
      <c r="E12" s="185"/>
      <c r="F12" s="185"/>
      <c r="G12" s="185"/>
      <c r="H12" s="185"/>
      <c r="I12" s="185"/>
      <c r="J12" s="185"/>
    </row>
    <row r="13" spans="2:16" ht="15.4">
      <c r="B13" s="1188" t="s">
        <v>239</v>
      </c>
      <c r="C13" s="1180"/>
      <c r="D13" s="1180"/>
      <c r="E13" s="1180"/>
      <c r="F13" s="1180"/>
      <c r="G13" s="1180"/>
      <c r="H13" s="1180"/>
      <c r="I13" s="1180"/>
      <c r="J13" s="1180"/>
    </row>
    <row r="14" spans="2:16" ht="9" customHeight="1">
      <c r="B14" s="356"/>
      <c r="C14" s="269"/>
      <c r="D14" s="269"/>
      <c r="E14" s="269"/>
      <c r="F14" s="269"/>
      <c r="G14" s="269"/>
      <c r="H14" s="269"/>
      <c r="I14" s="269"/>
      <c r="J14" s="269"/>
    </row>
    <row r="15" spans="2:16" ht="13.9">
      <c r="B15" s="1189" t="s">
        <v>875</v>
      </c>
      <c r="C15" s="1189"/>
      <c r="D15" s="1189"/>
      <c r="E15" s="1189"/>
      <c r="F15" s="1189"/>
      <c r="G15" s="1189"/>
      <c r="H15" s="1189"/>
      <c r="I15" s="1189"/>
      <c r="J15" s="1189"/>
    </row>
    <row r="16" spans="2:16" ht="9" customHeight="1">
      <c r="B16" s="185"/>
      <c r="C16" s="185"/>
      <c r="D16" s="185"/>
      <c r="E16" s="185"/>
      <c r="F16" s="185"/>
      <c r="G16" s="185"/>
      <c r="H16" s="185"/>
      <c r="I16" s="185"/>
      <c r="J16" s="185"/>
    </row>
    <row r="17" spans="2:10" ht="47.25" customHeight="1">
      <c r="B17" s="1188" t="s">
        <v>408</v>
      </c>
      <c r="C17" s="1180"/>
      <c r="D17" s="1180"/>
      <c r="E17" s="1180"/>
      <c r="F17" s="1180"/>
      <c r="G17" s="1180"/>
      <c r="H17" s="1180"/>
      <c r="I17" s="1180"/>
      <c r="J17" s="1180"/>
    </row>
    <row r="18" spans="2:10" ht="9" customHeight="1">
      <c r="B18" s="185"/>
      <c r="C18" s="185"/>
      <c r="D18" s="185"/>
      <c r="E18" s="185"/>
      <c r="F18" s="185"/>
      <c r="G18" s="185"/>
      <c r="H18" s="185"/>
      <c r="I18" s="185"/>
      <c r="J18" s="185"/>
    </row>
    <row r="19" spans="2:10" ht="45.75" customHeight="1">
      <c r="B19" s="1188" t="s">
        <v>319</v>
      </c>
      <c r="C19" s="1180"/>
      <c r="D19" s="1180"/>
      <c r="E19" s="1180"/>
      <c r="F19" s="1180"/>
      <c r="G19" s="1180"/>
      <c r="H19" s="1180"/>
      <c r="I19" s="1180"/>
      <c r="J19" s="1180"/>
    </row>
    <row r="20" spans="2:10" ht="9" customHeight="1">
      <c r="B20" s="185"/>
      <c r="C20" s="185"/>
      <c r="D20" s="185"/>
      <c r="E20" s="185"/>
      <c r="F20" s="185"/>
      <c r="G20" s="185"/>
      <c r="H20" s="185"/>
      <c r="I20" s="185"/>
      <c r="J20" s="185"/>
    </row>
    <row r="21" spans="2:10" ht="34.5" customHeight="1">
      <c r="B21" s="1188" t="s">
        <v>320</v>
      </c>
      <c r="C21" s="1180"/>
      <c r="D21" s="1180"/>
      <c r="E21" s="1180"/>
      <c r="F21" s="1180"/>
      <c r="G21" s="1180"/>
      <c r="H21" s="1180"/>
      <c r="I21" s="1180"/>
      <c r="J21" s="1180"/>
    </row>
    <row r="22" spans="2:10" ht="9" customHeight="1">
      <c r="B22" s="185"/>
      <c r="C22" s="185"/>
      <c r="D22" s="185"/>
      <c r="E22" s="185"/>
      <c r="F22" s="185"/>
      <c r="G22" s="185"/>
      <c r="H22" s="185"/>
      <c r="I22" s="185"/>
      <c r="J22" s="185"/>
    </row>
    <row r="23" spans="2:10" ht="94.5" customHeight="1">
      <c r="B23" s="1188" t="s">
        <v>1334</v>
      </c>
      <c r="C23" s="1180"/>
      <c r="D23" s="1180"/>
      <c r="E23" s="1180"/>
      <c r="F23" s="1180"/>
      <c r="G23" s="1180"/>
      <c r="H23" s="1180"/>
      <c r="I23" s="1180"/>
      <c r="J23" s="1180"/>
    </row>
    <row r="24" spans="2:10" ht="6.75" customHeight="1">
      <c r="B24" s="185"/>
      <c r="C24" s="185"/>
      <c r="D24" s="185"/>
      <c r="E24" s="185"/>
      <c r="F24" s="185"/>
      <c r="G24" s="185"/>
      <c r="H24" s="185"/>
      <c r="I24" s="185"/>
      <c r="J24" s="185"/>
    </row>
    <row r="25" spans="2:10" ht="18" customHeight="1">
      <c r="B25" s="78" t="s">
        <v>978</v>
      </c>
      <c r="C25" s="77"/>
      <c r="D25" s="77"/>
      <c r="E25" s="24"/>
      <c r="F25" s="24"/>
      <c r="G25" s="77"/>
      <c r="H25" s="24"/>
      <c r="I25" s="24"/>
      <c r="J25" s="24"/>
    </row>
    <row r="26" spans="2:10" ht="31.5" customHeight="1">
      <c r="B26" s="1179" t="s">
        <v>1396</v>
      </c>
      <c r="C26" s="1180"/>
      <c r="D26" s="1180"/>
      <c r="E26" s="1180"/>
      <c r="F26" s="1180"/>
      <c r="G26" s="1180"/>
      <c r="H26" s="1180"/>
      <c r="I26" s="1180"/>
      <c r="J26" s="1180"/>
    </row>
    <row r="27" spans="2:10" ht="9.75" customHeight="1">
      <c r="B27" s="78"/>
      <c r="C27" s="77"/>
      <c r="D27" s="77"/>
      <c r="E27" s="24"/>
      <c r="F27" s="24"/>
      <c r="G27" s="77"/>
      <c r="H27" s="24"/>
      <c r="I27" s="24"/>
      <c r="J27" s="24"/>
    </row>
    <row r="28" spans="2:10" ht="48" customHeight="1">
      <c r="B28" s="1179" t="s">
        <v>1397</v>
      </c>
      <c r="C28" s="1180"/>
      <c r="D28" s="1180"/>
      <c r="E28" s="1180"/>
      <c r="F28" s="1180"/>
      <c r="G28" s="1180"/>
      <c r="H28" s="1180"/>
      <c r="I28" s="1180"/>
      <c r="J28" s="1180"/>
    </row>
    <row r="29" spans="2:10" ht="30" customHeight="1"/>
    <row r="30" spans="2:10" ht="30" customHeight="1"/>
    <row r="31" spans="2:10" ht="30" customHeight="1"/>
  </sheetData>
  <sheetProtection algorithmName="SHA-512" hashValue="+FFEj+49W96GA5KjZm9NsTqsUzXwu327BhkZ+ZyeIRBUCupXYN04qLsQkKeevBAtyopnt/z9tJUXoAEFA+eSVg==" saltValue="oGbCeknMZQ3qsm3e8mfpxA==" spinCount="100000" sheet="1" objects="1" scenarios="1"/>
  <mergeCells count="12">
    <mergeCell ref="B3:J3"/>
    <mergeCell ref="B2:J2"/>
    <mergeCell ref="B7:J7"/>
    <mergeCell ref="B11:J11"/>
    <mergeCell ref="B28:J28"/>
    <mergeCell ref="B13:J13"/>
    <mergeCell ref="B15:J15"/>
    <mergeCell ref="B17:J17"/>
    <mergeCell ref="B19:J19"/>
    <mergeCell ref="B21:J21"/>
    <mergeCell ref="B23:J23"/>
    <mergeCell ref="B26:J26"/>
  </mergeCells>
  <phoneticPr fontId="18" type="noConversion"/>
  <pageMargins left="0.75" right="0.75" top="1" bottom="1" header="0.5" footer="0.5"/>
  <pageSetup scale="97" orientation="portrait" horizontalDpi="4294967293" r:id="rId1"/>
  <headerFooter alignWithMargins="0">
    <oddFooter>&amp;R&amp;A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29"/>
  </sheetPr>
  <dimension ref="A1:I253"/>
  <sheetViews>
    <sheetView topLeftCell="B1" zoomScaleNormal="100" workbookViewId="0">
      <pane ySplit="2520" topLeftCell="A5" activePane="bottomLeft"/>
      <selection activeCell="B7" sqref="B7"/>
      <selection pane="bottomLeft" activeCell="B7" sqref="B7"/>
    </sheetView>
  </sheetViews>
  <sheetFormatPr defaultColWidth="9.1328125" defaultRowHeight="12.75"/>
  <cols>
    <col min="1" max="1" width="0" style="3" hidden="1" customWidth="1"/>
    <col min="2" max="2" width="40.73046875" style="518" customWidth="1"/>
    <col min="3" max="4" width="3.73046875" style="518" customWidth="1"/>
    <col min="5" max="6" width="20.73046875" style="475" customWidth="1"/>
    <col min="7" max="7" width="9.1328125" style="2"/>
    <col min="8" max="9" width="9.1328125" style="615"/>
    <col min="10" max="16384" width="9.1328125" style="3"/>
  </cols>
  <sheetData>
    <row r="1" spans="1:9" ht="45">
      <c r="B1" s="6" t="s">
        <v>576</v>
      </c>
      <c r="C1" s="6"/>
      <c r="D1" s="614"/>
      <c r="E1" s="530"/>
      <c r="F1" s="530"/>
    </row>
    <row r="2" spans="1:9" ht="13.15" thickBot="1"/>
    <row r="3" spans="1:9" ht="41.25" customHeight="1" thickTop="1" thickBot="1">
      <c r="A3" s="616" t="s">
        <v>596</v>
      </c>
      <c r="B3" s="617"/>
      <c r="C3" s="1412" t="s">
        <v>633</v>
      </c>
      <c r="D3" s="1413"/>
      <c r="E3" s="490" t="s">
        <v>910</v>
      </c>
      <c r="F3" s="618" t="s">
        <v>911</v>
      </c>
    </row>
    <row r="4" spans="1:9" s="624" customFormat="1" ht="13.15" thickBot="1">
      <c r="A4" s="619" t="s">
        <v>597</v>
      </c>
      <c r="B4" s="620" t="s">
        <v>232</v>
      </c>
      <c r="C4" s="1414" t="s">
        <v>643</v>
      </c>
      <c r="D4" s="1415"/>
      <c r="E4" s="621" t="s">
        <v>816</v>
      </c>
      <c r="F4" s="622" t="s">
        <v>816</v>
      </c>
      <c r="G4" s="2"/>
      <c r="H4" s="623"/>
      <c r="I4" s="623"/>
    </row>
    <row r="5" spans="1:9" s="624" customFormat="1" ht="11.25" customHeight="1">
      <c r="A5" s="454" t="s">
        <v>548</v>
      </c>
      <c r="B5" s="454" t="s">
        <v>921</v>
      </c>
      <c r="C5" s="495" t="s">
        <v>651</v>
      </c>
      <c r="D5" s="496" t="s">
        <v>638</v>
      </c>
      <c r="E5" s="497">
        <v>3900</v>
      </c>
      <c r="F5" s="457">
        <v>3900</v>
      </c>
      <c r="G5" s="2"/>
      <c r="H5" s="623"/>
      <c r="I5" s="623"/>
    </row>
    <row r="6" spans="1:9" s="624" customFormat="1" ht="11.25" customHeight="1">
      <c r="A6" s="458" t="s">
        <v>549</v>
      </c>
      <c r="B6" s="458" t="s">
        <v>549</v>
      </c>
      <c r="C6" s="499" t="s">
        <v>651</v>
      </c>
      <c r="D6" s="500" t="s">
        <v>638</v>
      </c>
      <c r="E6" s="501" t="s">
        <v>1394</v>
      </c>
      <c r="F6" s="461" t="s">
        <v>1394</v>
      </c>
      <c r="G6" s="2"/>
      <c r="H6" s="623"/>
      <c r="I6" s="623"/>
    </row>
    <row r="7" spans="1:9" s="624" customFormat="1" ht="11.25" customHeight="1">
      <c r="A7" s="458" t="s">
        <v>550</v>
      </c>
      <c r="B7" s="458" t="s">
        <v>922</v>
      </c>
      <c r="C7" s="499" t="s">
        <v>651</v>
      </c>
      <c r="D7" s="500" t="s">
        <v>652</v>
      </c>
      <c r="E7" s="501">
        <v>66142841.963876456</v>
      </c>
      <c r="F7" s="461">
        <v>555599872.49656236</v>
      </c>
      <c r="G7" s="2"/>
      <c r="H7" s="623"/>
      <c r="I7" s="623"/>
    </row>
    <row r="8" spans="1:9" s="624" customFormat="1" ht="11.25" customHeight="1">
      <c r="A8" s="458" t="s">
        <v>551</v>
      </c>
      <c r="B8" s="458" t="s">
        <v>551</v>
      </c>
      <c r="C8" s="499" t="s">
        <v>1405</v>
      </c>
      <c r="D8" s="500" t="s">
        <v>638</v>
      </c>
      <c r="E8" s="501" t="s">
        <v>954</v>
      </c>
      <c r="F8" s="461" t="s">
        <v>954</v>
      </c>
      <c r="G8" s="2"/>
      <c r="H8" s="623"/>
      <c r="I8" s="623"/>
    </row>
    <row r="9" spans="1:9" s="624" customFormat="1" ht="11.25" customHeight="1">
      <c r="A9" s="458" t="s">
        <v>161</v>
      </c>
      <c r="B9" s="458" t="s">
        <v>161</v>
      </c>
      <c r="C9" s="499" t="s">
        <v>653</v>
      </c>
      <c r="D9" s="500" t="s">
        <v>638</v>
      </c>
      <c r="E9" s="501" t="s">
        <v>954</v>
      </c>
      <c r="F9" s="461" t="s">
        <v>954</v>
      </c>
      <c r="G9" s="2"/>
      <c r="H9" s="623"/>
      <c r="I9" s="623"/>
    </row>
    <row r="10" spans="1:9" s="624" customFormat="1" ht="11.25" customHeight="1">
      <c r="A10" s="462" t="s">
        <v>162</v>
      </c>
      <c r="B10" s="462" t="s">
        <v>162</v>
      </c>
      <c r="C10" s="499" t="s">
        <v>653</v>
      </c>
      <c r="D10" s="500" t="s">
        <v>638</v>
      </c>
      <c r="E10" s="501" t="s">
        <v>954</v>
      </c>
      <c r="F10" s="461" t="s">
        <v>954</v>
      </c>
      <c r="G10" s="2"/>
      <c r="H10" s="623"/>
      <c r="I10" s="623"/>
    </row>
    <row r="11" spans="1:9" s="624" customFormat="1" ht="11.25" customHeight="1">
      <c r="A11" s="462" t="s">
        <v>94</v>
      </c>
      <c r="B11" s="462" t="s">
        <v>94</v>
      </c>
      <c r="C11" s="499" t="s">
        <v>653</v>
      </c>
      <c r="D11" s="500" t="s">
        <v>638</v>
      </c>
      <c r="E11" s="501" t="s">
        <v>954</v>
      </c>
      <c r="F11" s="461" t="s">
        <v>954</v>
      </c>
      <c r="G11" s="2"/>
      <c r="H11" s="623"/>
      <c r="I11" s="623"/>
    </row>
    <row r="12" spans="1:9" s="624" customFormat="1" ht="11.25" customHeight="1">
      <c r="A12" s="458" t="s">
        <v>552</v>
      </c>
      <c r="B12" s="458" t="s">
        <v>923</v>
      </c>
      <c r="C12" s="499" t="s">
        <v>651</v>
      </c>
      <c r="D12" s="500" t="s">
        <v>638</v>
      </c>
      <c r="E12" s="501">
        <v>43</v>
      </c>
      <c r="F12" s="461">
        <v>43</v>
      </c>
      <c r="G12" s="2"/>
      <c r="H12" s="623"/>
      <c r="I12" s="623"/>
    </row>
    <row r="13" spans="1:9" s="624" customFormat="1" ht="11.25" customHeight="1">
      <c r="A13" s="458" t="s">
        <v>553</v>
      </c>
      <c r="B13" s="458" t="s">
        <v>553</v>
      </c>
      <c r="C13" s="499" t="s">
        <v>653</v>
      </c>
      <c r="D13" s="500" t="s">
        <v>638</v>
      </c>
      <c r="E13" s="501" t="s">
        <v>954</v>
      </c>
      <c r="F13" s="461" t="s">
        <v>954</v>
      </c>
      <c r="G13" s="2"/>
      <c r="H13" s="623"/>
      <c r="I13" s="623"/>
    </row>
    <row r="14" spans="1:9" s="624" customFormat="1" ht="11.25" customHeight="1">
      <c r="A14" s="458" t="s">
        <v>686</v>
      </c>
      <c r="B14" s="458" t="s">
        <v>686</v>
      </c>
      <c r="C14" s="499" t="s">
        <v>653</v>
      </c>
      <c r="D14" s="500" t="s">
        <v>638</v>
      </c>
      <c r="E14" s="501" t="s">
        <v>954</v>
      </c>
      <c r="F14" s="461" t="s">
        <v>954</v>
      </c>
      <c r="G14" s="2"/>
      <c r="H14" s="623"/>
      <c r="I14" s="623"/>
    </row>
    <row r="15" spans="1:9" s="624" customFormat="1" ht="11.25" customHeight="1">
      <c r="A15" s="458" t="s">
        <v>95</v>
      </c>
      <c r="B15" s="458" t="s">
        <v>95</v>
      </c>
      <c r="C15" s="499" t="s">
        <v>653</v>
      </c>
      <c r="D15" s="500" t="s">
        <v>638</v>
      </c>
      <c r="E15" s="501" t="s">
        <v>954</v>
      </c>
      <c r="F15" s="461" t="s">
        <v>954</v>
      </c>
      <c r="G15" s="2"/>
      <c r="H15" s="623"/>
      <c r="I15" s="623"/>
    </row>
    <row r="16" spans="1:9" s="624" customFormat="1" ht="11.25" customHeight="1">
      <c r="A16" s="458" t="s">
        <v>687</v>
      </c>
      <c r="B16" s="458" t="s">
        <v>687</v>
      </c>
      <c r="C16" s="499" t="s">
        <v>653</v>
      </c>
      <c r="D16" s="500" t="s">
        <v>638</v>
      </c>
      <c r="E16" s="501" t="s">
        <v>954</v>
      </c>
      <c r="F16" s="461" t="s">
        <v>954</v>
      </c>
      <c r="G16" s="2"/>
      <c r="H16" s="623"/>
      <c r="I16" s="623"/>
    </row>
    <row r="17" spans="1:9" s="624" customFormat="1" ht="11.25" customHeight="1">
      <c r="A17" s="458" t="s">
        <v>1156</v>
      </c>
      <c r="B17" s="458" t="s">
        <v>1156</v>
      </c>
      <c r="C17" s="499" t="s">
        <v>653</v>
      </c>
      <c r="D17" s="500" t="s">
        <v>638</v>
      </c>
      <c r="E17" s="501" t="s">
        <v>954</v>
      </c>
      <c r="F17" s="461" t="s">
        <v>954</v>
      </c>
      <c r="G17" s="2"/>
      <c r="H17" s="623"/>
      <c r="I17" s="623"/>
    </row>
    <row r="18" spans="1:9" s="624" customFormat="1" ht="11.25" customHeight="1">
      <c r="A18" s="458" t="s">
        <v>688</v>
      </c>
      <c r="B18" s="458" t="s">
        <v>924</v>
      </c>
      <c r="C18" s="499" t="s">
        <v>651</v>
      </c>
      <c r="D18" s="500" t="s">
        <v>652</v>
      </c>
      <c r="E18" s="501">
        <v>2250.3937370979761</v>
      </c>
      <c r="F18" s="461">
        <v>19659.439687287922</v>
      </c>
      <c r="G18" s="2"/>
      <c r="H18" s="623"/>
      <c r="I18" s="623"/>
    </row>
    <row r="19" spans="1:9" s="624" customFormat="1" ht="11.25" customHeight="1">
      <c r="A19" s="458" t="s">
        <v>689</v>
      </c>
      <c r="B19" s="458" t="s">
        <v>689</v>
      </c>
      <c r="C19" s="499" t="s">
        <v>1405</v>
      </c>
      <c r="D19" s="500" t="s">
        <v>638</v>
      </c>
      <c r="E19" s="501" t="s">
        <v>954</v>
      </c>
      <c r="F19" s="461" t="s">
        <v>954</v>
      </c>
      <c r="G19" s="2"/>
      <c r="H19" s="623"/>
      <c r="I19" s="623"/>
    </row>
    <row r="20" spans="1:9" s="624" customFormat="1" ht="11.25" customHeight="1">
      <c r="A20" s="458" t="s">
        <v>690</v>
      </c>
      <c r="B20" s="458" t="s">
        <v>690</v>
      </c>
      <c r="C20" s="499" t="s">
        <v>653</v>
      </c>
      <c r="D20" s="500" t="s">
        <v>638</v>
      </c>
      <c r="E20" s="501" t="s">
        <v>954</v>
      </c>
      <c r="F20" s="461" t="s">
        <v>954</v>
      </c>
      <c r="G20" s="2"/>
      <c r="H20" s="623"/>
      <c r="I20" s="623"/>
    </row>
    <row r="21" spans="1:9" s="624" customFormat="1" ht="11.25" customHeight="1">
      <c r="A21" s="458" t="s">
        <v>691</v>
      </c>
      <c r="B21" s="458" t="s">
        <v>691</v>
      </c>
      <c r="C21" s="499" t="s">
        <v>653</v>
      </c>
      <c r="D21" s="500" t="s">
        <v>638</v>
      </c>
      <c r="E21" s="501" t="s">
        <v>954</v>
      </c>
      <c r="F21" s="461" t="s">
        <v>954</v>
      </c>
      <c r="G21" s="2"/>
      <c r="H21" s="623"/>
      <c r="I21" s="623"/>
    </row>
    <row r="22" spans="1:9" s="624" customFormat="1" ht="11.25" customHeight="1">
      <c r="A22" s="458" t="s">
        <v>692</v>
      </c>
      <c r="B22" s="458" t="s">
        <v>692</v>
      </c>
      <c r="C22" s="499" t="s">
        <v>653</v>
      </c>
      <c r="D22" s="500" t="s">
        <v>638</v>
      </c>
      <c r="E22" s="501" t="s">
        <v>954</v>
      </c>
      <c r="F22" s="461" t="s">
        <v>954</v>
      </c>
      <c r="G22" s="2"/>
      <c r="H22" s="623"/>
      <c r="I22" s="623"/>
    </row>
    <row r="23" spans="1:9" s="624" customFormat="1" ht="11.25" customHeight="1">
      <c r="A23" s="458" t="s">
        <v>693</v>
      </c>
      <c r="B23" s="458" t="s">
        <v>693</v>
      </c>
      <c r="C23" s="499" t="s">
        <v>653</v>
      </c>
      <c r="D23" s="500" t="s">
        <v>638</v>
      </c>
      <c r="E23" s="501" t="s">
        <v>954</v>
      </c>
      <c r="F23" s="461" t="s">
        <v>954</v>
      </c>
      <c r="G23" s="2"/>
      <c r="H23" s="623"/>
      <c r="I23" s="623"/>
    </row>
    <row r="24" spans="1:9" s="624" customFormat="1" ht="11.25" customHeight="1">
      <c r="A24" s="458" t="s">
        <v>126</v>
      </c>
      <c r="B24" s="458" t="s">
        <v>126</v>
      </c>
      <c r="C24" s="499" t="s">
        <v>653</v>
      </c>
      <c r="D24" s="500" t="s">
        <v>638</v>
      </c>
      <c r="E24" s="501" t="s">
        <v>954</v>
      </c>
      <c r="F24" s="461" t="s">
        <v>954</v>
      </c>
      <c r="G24" s="2"/>
      <c r="H24" s="623"/>
      <c r="I24" s="623"/>
    </row>
    <row r="25" spans="1:9" s="624" customFormat="1" ht="11.25" customHeight="1">
      <c r="A25" s="458" t="s">
        <v>233</v>
      </c>
      <c r="B25" s="458" t="s">
        <v>233</v>
      </c>
      <c r="C25" s="499" t="s">
        <v>651</v>
      </c>
      <c r="D25" s="500" t="s">
        <v>638</v>
      </c>
      <c r="E25" s="501" t="s">
        <v>1394</v>
      </c>
      <c r="F25" s="461" t="s">
        <v>1394</v>
      </c>
      <c r="G25" s="2"/>
      <c r="H25" s="623"/>
      <c r="I25" s="623"/>
    </row>
    <row r="26" spans="1:9" s="624" customFormat="1" ht="11.25" customHeight="1">
      <c r="A26" s="458" t="s">
        <v>127</v>
      </c>
      <c r="B26" s="458" t="s">
        <v>127</v>
      </c>
      <c r="C26" s="499" t="s">
        <v>651</v>
      </c>
      <c r="D26" s="500" t="s">
        <v>652</v>
      </c>
      <c r="E26" s="501">
        <v>175.65607394552634</v>
      </c>
      <c r="F26" s="461">
        <v>1534.5314619881183</v>
      </c>
      <c r="G26" s="2"/>
      <c r="H26" s="623"/>
      <c r="I26" s="623"/>
    </row>
    <row r="27" spans="1:9" s="624" customFormat="1" ht="11.25" customHeight="1">
      <c r="A27" s="1" t="s">
        <v>1103</v>
      </c>
      <c r="B27" s="503" t="s">
        <v>1103</v>
      </c>
      <c r="C27" s="499" t="s">
        <v>651</v>
      </c>
      <c r="D27" s="500" t="s">
        <v>652</v>
      </c>
      <c r="E27" s="501" t="s">
        <v>1394</v>
      </c>
      <c r="F27" s="461" t="s">
        <v>1394</v>
      </c>
      <c r="G27" s="2"/>
      <c r="H27" s="623"/>
      <c r="I27" s="623"/>
    </row>
    <row r="28" spans="1:9" s="624" customFormat="1" ht="11.25" customHeight="1">
      <c r="A28" s="458" t="s">
        <v>128</v>
      </c>
      <c r="B28" s="458" t="s">
        <v>128</v>
      </c>
      <c r="C28" s="499" t="s">
        <v>653</v>
      </c>
      <c r="D28" s="500" t="s">
        <v>638</v>
      </c>
      <c r="E28" s="501" t="s">
        <v>954</v>
      </c>
      <c r="F28" s="461" t="s">
        <v>954</v>
      </c>
      <c r="G28" s="2"/>
      <c r="H28" s="623"/>
      <c r="I28" s="623"/>
    </row>
    <row r="29" spans="1:9" s="624" customFormat="1" ht="11.25" customHeight="1">
      <c r="A29" s="458" t="s">
        <v>129</v>
      </c>
      <c r="B29" s="458" t="s">
        <v>129</v>
      </c>
      <c r="C29" s="499" t="s">
        <v>653</v>
      </c>
      <c r="D29" s="500" t="s">
        <v>638</v>
      </c>
      <c r="E29" s="501" t="s">
        <v>954</v>
      </c>
      <c r="F29" s="461" t="s">
        <v>954</v>
      </c>
      <c r="G29" s="2"/>
      <c r="H29" s="623"/>
      <c r="I29" s="623"/>
    </row>
    <row r="30" spans="1:9" s="624" customFormat="1" ht="11.25" customHeight="1">
      <c r="A30" s="458" t="s">
        <v>130</v>
      </c>
      <c r="B30" s="458" t="s">
        <v>130</v>
      </c>
      <c r="C30" s="499" t="s">
        <v>651</v>
      </c>
      <c r="D30" s="500" t="s">
        <v>652</v>
      </c>
      <c r="E30" s="501">
        <v>114.99301190674856</v>
      </c>
      <c r="F30" s="461">
        <v>1004.5789520173556</v>
      </c>
      <c r="G30" s="2"/>
      <c r="H30" s="623"/>
      <c r="I30" s="623"/>
    </row>
    <row r="31" spans="1:9" s="624" customFormat="1" ht="11.25" customHeight="1">
      <c r="A31" s="458" t="s">
        <v>131</v>
      </c>
      <c r="B31" s="458" t="s">
        <v>131</v>
      </c>
      <c r="C31" s="499" t="s">
        <v>1405</v>
      </c>
      <c r="D31" s="500" t="s">
        <v>638</v>
      </c>
      <c r="E31" s="501" t="s">
        <v>954</v>
      </c>
      <c r="F31" s="461" t="s">
        <v>954</v>
      </c>
      <c r="G31" s="2"/>
      <c r="H31" s="623"/>
      <c r="I31" s="623"/>
    </row>
    <row r="32" spans="1:9" s="624" customFormat="1" ht="11.25" customHeight="1">
      <c r="A32" s="458" t="s">
        <v>132</v>
      </c>
      <c r="B32" s="458" t="s">
        <v>132</v>
      </c>
      <c r="C32" s="499" t="s">
        <v>651</v>
      </c>
      <c r="D32" s="500" t="s">
        <v>21</v>
      </c>
      <c r="E32" s="501">
        <v>412.95811722027219</v>
      </c>
      <c r="F32" s="461">
        <v>3468.8481846502868</v>
      </c>
      <c r="G32" s="2"/>
      <c r="H32" s="623"/>
      <c r="I32" s="623"/>
    </row>
    <row r="33" spans="1:9" s="624" customFormat="1" ht="11.25" customHeight="1">
      <c r="A33" s="458" t="s">
        <v>133</v>
      </c>
      <c r="B33" s="458" t="s">
        <v>133</v>
      </c>
      <c r="C33" s="499" t="s">
        <v>653</v>
      </c>
      <c r="D33" s="500" t="s">
        <v>638</v>
      </c>
      <c r="E33" s="501" t="s">
        <v>954</v>
      </c>
      <c r="F33" s="461" t="s">
        <v>954</v>
      </c>
      <c r="G33" s="2"/>
      <c r="H33" s="623"/>
      <c r="I33" s="623"/>
    </row>
    <row r="34" spans="1:9" s="624" customFormat="1" ht="11.25" customHeight="1">
      <c r="A34" s="458" t="s">
        <v>134</v>
      </c>
      <c r="B34" s="458" t="s">
        <v>134</v>
      </c>
      <c r="C34" s="499" t="s">
        <v>651</v>
      </c>
      <c r="D34" s="500" t="s">
        <v>652</v>
      </c>
      <c r="E34" s="501">
        <v>109.78360683200988</v>
      </c>
      <c r="F34" s="461">
        <v>959.06958928443851</v>
      </c>
      <c r="G34" s="2"/>
      <c r="H34" s="623"/>
      <c r="I34" s="623"/>
    </row>
    <row r="35" spans="1:9" s="624" customFormat="1" ht="11.25" customHeight="1">
      <c r="A35" s="458" t="s">
        <v>614</v>
      </c>
      <c r="B35" s="458" t="s">
        <v>614</v>
      </c>
      <c r="C35" s="499" t="s">
        <v>1405</v>
      </c>
      <c r="D35" s="500" t="s">
        <v>638</v>
      </c>
      <c r="E35" s="501" t="s">
        <v>954</v>
      </c>
      <c r="F35" s="461" t="s">
        <v>954</v>
      </c>
      <c r="G35" s="2"/>
      <c r="H35" s="623"/>
      <c r="I35" s="623"/>
    </row>
    <row r="36" spans="1:9" s="624" customFormat="1" ht="11.25" customHeight="1">
      <c r="A36" s="458" t="s">
        <v>135</v>
      </c>
      <c r="B36" s="458" t="s">
        <v>135</v>
      </c>
      <c r="C36" s="499" t="s">
        <v>653</v>
      </c>
      <c r="D36" s="500" t="s">
        <v>638</v>
      </c>
      <c r="E36" s="501" t="s">
        <v>954</v>
      </c>
      <c r="F36" s="461" t="s">
        <v>954</v>
      </c>
      <c r="G36" s="2"/>
      <c r="H36" s="623"/>
      <c r="I36" s="623"/>
    </row>
    <row r="37" spans="1:9" s="624" customFormat="1" ht="11.25" customHeight="1">
      <c r="A37" s="458" t="s">
        <v>136</v>
      </c>
      <c r="B37" s="458" t="s">
        <v>136</v>
      </c>
      <c r="C37" s="499" t="s">
        <v>651</v>
      </c>
      <c r="D37" s="500" t="s">
        <v>652</v>
      </c>
      <c r="E37" s="501">
        <v>12400.875594724155</v>
      </c>
      <c r="F37" s="461">
        <v>104167.35499568292</v>
      </c>
      <c r="G37" s="2"/>
      <c r="H37" s="623"/>
      <c r="I37" s="623"/>
    </row>
    <row r="38" spans="1:9" s="624" customFormat="1" ht="11.25" customHeight="1">
      <c r="A38" s="458" t="s">
        <v>781</v>
      </c>
      <c r="B38" s="458" t="s">
        <v>781</v>
      </c>
      <c r="C38" s="499" t="s">
        <v>651</v>
      </c>
      <c r="D38" s="500" t="s">
        <v>21</v>
      </c>
      <c r="E38" s="501">
        <v>241595.47466143908</v>
      </c>
      <c r="F38" s="461">
        <v>2029401.9871560885</v>
      </c>
      <c r="G38" s="2"/>
      <c r="H38" s="623"/>
      <c r="I38" s="623"/>
    </row>
    <row r="39" spans="1:9" ht="11.25" customHeight="1">
      <c r="A39" s="464" t="s">
        <v>137</v>
      </c>
      <c r="B39" s="464" t="s">
        <v>137</v>
      </c>
      <c r="C39" s="499" t="s">
        <v>651</v>
      </c>
      <c r="D39" s="500" t="s">
        <v>652</v>
      </c>
      <c r="E39" s="501">
        <v>108.3094022043858</v>
      </c>
      <c r="F39" s="461">
        <v>946.1909376575145</v>
      </c>
      <c r="H39" s="623"/>
      <c r="I39" s="623"/>
    </row>
    <row r="40" spans="1:9" ht="11.25" customHeight="1">
      <c r="A40" s="458" t="s">
        <v>782</v>
      </c>
      <c r="B40" s="458" t="s">
        <v>782</v>
      </c>
      <c r="C40" s="499" t="s">
        <v>651</v>
      </c>
      <c r="D40" s="500" t="s">
        <v>21</v>
      </c>
      <c r="E40" s="501">
        <v>5216.5892543454502</v>
      </c>
      <c r="F40" s="461">
        <v>43819.349736501783</v>
      </c>
      <c r="H40" s="623"/>
      <c r="I40" s="623"/>
    </row>
    <row r="41" spans="1:9" ht="11.25" customHeight="1">
      <c r="A41" s="458" t="s">
        <v>138</v>
      </c>
      <c r="B41" s="458" t="s">
        <v>138</v>
      </c>
      <c r="C41" s="499" t="s">
        <v>651</v>
      </c>
      <c r="D41" s="500" t="s">
        <v>652</v>
      </c>
      <c r="E41" s="501">
        <v>87854.768508615263</v>
      </c>
      <c r="F41" s="461">
        <v>737980.05547236837</v>
      </c>
      <c r="H41" s="623"/>
      <c r="I41" s="623"/>
    </row>
    <row r="42" spans="1:9" ht="11.25" customHeight="1">
      <c r="A42" s="458" t="s">
        <v>612</v>
      </c>
      <c r="B42" s="458" t="s">
        <v>612</v>
      </c>
      <c r="C42" s="499" t="s">
        <v>653</v>
      </c>
      <c r="D42" s="500" t="s">
        <v>638</v>
      </c>
      <c r="E42" s="501" t="s">
        <v>954</v>
      </c>
      <c r="F42" s="461" t="s">
        <v>954</v>
      </c>
      <c r="H42" s="623"/>
      <c r="I42" s="623"/>
    </row>
    <row r="43" spans="1:9" ht="11.25" customHeight="1">
      <c r="A43" s="458" t="s">
        <v>779</v>
      </c>
      <c r="B43" s="458" t="s">
        <v>779</v>
      </c>
      <c r="C43" s="499" t="s">
        <v>653</v>
      </c>
      <c r="D43" s="500" t="s">
        <v>638</v>
      </c>
      <c r="E43" s="501" t="s">
        <v>954</v>
      </c>
      <c r="F43" s="461" t="s">
        <v>954</v>
      </c>
      <c r="H43" s="623"/>
      <c r="I43" s="623"/>
    </row>
    <row r="44" spans="1:9" ht="11.25" customHeight="1">
      <c r="A44" s="458" t="s">
        <v>780</v>
      </c>
      <c r="B44" s="458" t="s">
        <v>780</v>
      </c>
      <c r="C44" s="499" t="s">
        <v>653</v>
      </c>
      <c r="D44" s="500" t="s">
        <v>638</v>
      </c>
      <c r="E44" s="501" t="s">
        <v>954</v>
      </c>
      <c r="F44" s="461" t="s">
        <v>954</v>
      </c>
      <c r="H44" s="623"/>
      <c r="I44" s="623"/>
    </row>
    <row r="45" spans="1:9" ht="11.25" customHeight="1">
      <c r="A45" s="458" t="s">
        <v>139</v>
      </c>
      <c r="B45" s="458" t="s">
        <v>139</v>
      </c>
      <c r="C45" s="499" t="s">
        <v>653</v>
      </c>
      <c r="D45" s="500" t="s">
        <v>638</v>
      </c>
      <c r="E45" s="501" t="s">
        <v>954</v>
      </c>
      <c r="F45" s="461" t="s">
        <v>954</v>
      </c>
      <c r="H45" s="623"/>
      <c r="I45" s="623"/>
    </row>
    <row r="46" spans="1:9" ht="11.25" customHeight="1">
      <c r="A46" s="458" t="s">
        <v>140</v>
      </c>
      <c r="B46" s="458" t="s">
        <v>140</v>
      </c>
      <c r="C46" s="499" t="s">
        <v>653</v>
      </c>
      <c r="D46" s="500" t="s">
        <v>638</v>
      </c>
      <c r="E46" s="501" t="s">
        <v>954</v>
      </c>
      <c r="F46" s="461" t="s">
        <v>954</v>
      </c>
      <c r="H46" s="623"/>
      <c r="I46" s="623"/>
    </row>
    <row r="47" spans="1:9" ht="11.25" customHeight="1">
      <c r="A47" s="458" t="s">
        <v>141</v>
      </c>
      <c r="B47" s="458" t="s">
        <v>141</v>
      </c>
      <c r="C47" s="499" t="s">
        <v>653</v>
      </c>
      <c r="D47" s="500" t="s">
        <v>638</v>
      </c>
      <c r="E47" s="501" t="s">
        <v>954</v>
      </c>
      <c r="F47" s="461" t="s">
        <v>954</v>
      </c>
      <c r="H47" s="623"/>
      <c r="I47" s="623"/>
    </row>
    <row r="48" spans="1:9" ht="11.25" customHeight="1">
      <c r="A48" s="458" t="s">
        <v>142</v>
      </c>
      <c r="B48" s="458" t="s">
        <v>142</v>
      </c>
      <c r="C48" s="499" t="s">
        <v>651</v>
      </c>
      <c r="D48" s="500" t="s">
        <v>638</v>
      </c>
      <c r="E48" s="501" t="s">
        <v>1394</v>
      </c>
      <c r="F48" s="461" t="s">
        <v>1394</v>
      </c>
      <c r="H48" s="623"/>
      <c r="I48" s="623"/>
    </row>
    <row r="49" spans="1:9" ht="11.25" customHeight="1">
      <c r="A49" s="462" t="s">
        <v>96</v>
      </c>
      <c r="B49" s="462" t="s">
        <v>96</v>
      </c>
      <c r="C49" s="499" t="s">
        <v>653</v>
      </c>
      <c r="D49" s="500" t="s">
        <v>638</v>
      </c>
      <c r="E49" s="501" t="s">
        <v>954</v>
      </c>
      <c r="F49" s="461" t="s">
        <v>954</v>
      </c>
      <c r="H49" s="623"/>
      <c r="I49" s="623"/>
    </row>
    <row r="50" spans="1:9" ht="11.25" customHeight="1">
      <c r="A50" s="458" t="s">
        <v>97</v>
      </c>
      <c r="B50" s="458" t="s">
        <v>97</v>
      </c>
      <c r="C50" s="499" t="s">
        <v>653</v>
      </c>
      <c r="D50" s="500" t="s">
        <v>652</v>
      </c>
      <c r="E50" s="501" t="s">
        <v>954</v>
      </c>
      <c r="F50" s="461" t="s">
        <v>954</v>
      </c>
      <c r="H50" s="623"/>
      <c r="I50" s="623"/>
    </row>
    <row r="51" spans="1:9" ht="11.25" customHeight="1">
      <c r="A51" s="458" t="s">
        <v>143</v>
      </c>
      <c r="B51" s="458" t="s">
        <v>143</v>
      </c>
      <c r="C51" s="499" t="s">
        <v>653</v>
      </c>
      <c r="D51" s="500" t="s">
        <v>638</v>
      </c>
      <c r="E51" s="501" t="s">
        <v>954</v>
      </c>
      <c r="F51" s="461" t="s">
        <v>954</v>
      </c>
      <c r="H51" s="623"/>
      <c r="I51" s="623"/>
    </row>
    <row r="52" spans="1:9" ht="11.25" customHeight="1">
      <c r="A52" s="458" t="s">
        <v>381</v>
      </c>
      <c r="B52" s="458" t="s">
        <v>381</v>
      </c>
      <c r="C52" s="499" t="s">
        <v>651</v>
      </c>
      <c r="D52" s="500" t="s">
        <v>652</v>
      </c>
      <c r="E52" s="501" t="s">
        <v>1394</v>
      </c>
      <c r="F52" s="461" t="s">
        <v>1394</v>
      </c>
      <c r="H52" s="623"/>
      <c r="I52" s="623"/>
    </row>
    <row r="53" spans="1:9" ht="11.25" customHeight="1">
      <c r="A53" s="458" t="s">
        <v>144</v>
      </c>
      <c r="B53" s="458" t="s">
        <v>144</v>
      </c>
      <c r="C53" s="499" t="s">
        <v>651</v>
      </c>
      <c r="D53" s="500" t="s">
        <v>638</v>
      </c>
      <c r="E53" s="501">
        <v>49363.371203886563</v>
      </c>
      <c r="F53" s="461">
        <v>414652.31811264728</v>
      </c>
      <c r="H53" s="623"/>
      <c r="I53" s="623"/>
    </row>
    <row r="54" spans="1:9" ht="11.25" customHeight="1">
      <c r="A54" s="458" t="s">
        <v>487</v>
      </c>
      <c r="B54" s="458" t="s">
        <v>487</v>
      </c>
      <c r="C54" s="499" t="s">
        <v>651</v>
      </c>
      <c r="D54" s="500" t="s">
        <v>638</v>
      </c>
      <c r="E54" s="501">
        <v>18.617708877383702</v>
      </c>
      <c r="F54" s="461">
        <v>162.64430475282404</v>
      </c>
      <c r="H54" s="623"/>
      <c r="I54" s="623"/>
    </row>
    <row r="55" spans="1:9" ht="11.25" customHeight="1">
      <c r="A55" s="458" t="s">
        <v>145</v>
      </c>
      <c r="B55" s="458" t="s">
        <v>145</v>
      </c>
      <c r="C55" s="499" t="s">
        <v>651</v>
      </c>
      <c r="D55" s="500" t="s">
        <v>652</v>
      </c>
      <c r="E55" s="501">
        <v>83377.443722530952</v>
      </c>
      <c r="F55" s="461">
        <v>156000</v>
      </c>
      <c r="H55" s="623"/>
      <c r="I55" s="623"/>
    </row>
    <row r="56" spans="1:9" ht="11.25" customHeight="1">
      <c r="A56" s="458" t="s">
        <v>225</v>
      </c>
      <c r="B56" s="458" t="s">
        <v>225</v>
      </c>
      <c r="C56" s="499" t="s">
        <v>651</v>
      </c>
      <c r="D56" s="500" t="s">
        <v>652</v>
      </c>
      <c r="E56" s="501" t="s">
        <v>1394</v>
      </c>
      <c r="F56" s="461" t="s">
        <v>1394</v>
      </c>
      <c r="H56" s="623"/>
      <c r="I56" s="623"/>
    </row>
    <row r="57" spans="1:9" ht="11.25" customHeight="1">
      <c r="A57" s="458" t="s">
        <v>226</v>
      </c>
      <c r="B57" s="458" t="s">
        <v>226</v>
      </c>
      <c r="C57" s="499" t="s">
        <v>651</v>
      </c>
      <c r="D57" s="500" t="s">
        <v>638</v>
      </c>
      <c r="E57" s="501">
        <v>449.85112140655059</v>
      </c>
      <c r="F57" s="461">
        <v>3929.8993966076268</v>
      </c>
      <c r="H57" s="623"/>
      <c r="I57" s="623"/>
    </row>
    <row r="58" spans="1:9" ht="11.25" customHeight="1">
      <c r="A58" s="458" t="s">
        <v>227</v>
      </c>
      <c r="B58" s="458" t="s">
        <v>227</v>
      </c>
      <c r="C58" s="499" t="s">
        <v>653</v>
      </c>
      <c r="D58" s="500" t="s">
        <v>638</v>
      </c>
      <c r="E58" s="501" t="s">
        <v>954</v>
      </c>
      <c r="F58" s="461" t="s">
        <v>954</v>
      </c>
      <c r="H58" s="623"/>
      <c r="I58" s="623"/>
    </row>
    <row r="59" spans="1:9" ht="11.25" customHeight="1">
      <c r="A59" s="458" t="s">
        <v>361</v>
      </c>
      <c r="B59" s="458" t="s">
        <v>361</v>
      </c>
      <c r="C59" s="499" t="s">
        <v>653</v>
      </c>
      <c r="D59" s="500" t="s">
        <v>638</v>
      </c>
      <c r="E59" s="501" t="s">
        <v>954</v>
      </c>
      <c r="F59" s="461" t="s">
        <v>954</v>
      </c>
      <c r="H59" s="623"/>
      <c r="I59" s="623"/>
    </row>
    <row r="60" spans="1:9" ht="11.25" customHeight="1">
      <c r="A60" s="458" t="s">
        <v>362</v>
      </c>
      <c r="B60" s="458" t="s">
        <v>362</v>
      </c>
      <c r="C60" s="499" t="s">
        <v>1405</v>
      </c>
      <c r="D60" s="500" t="s">
        <v>638</v>
      </c>
      <c r="E60" s="501" t="s">
        <v>954</v>
      </c>
      <c r="F60" s="461" t="s">
        <v>954</v>
      </c>
      <c r="H60" s="623"/>
      <c r="I60" s="623"/>
    </row>
    <row r="61" spans="1:9" ht="11.25" customHeight="1">
      <c r="A61" s="458" t="s">
        <v>363</v>
      </c>
      <c r="B61" s="458" t="s">
        <v>363</v>
      </c>
      <c r="C61" s="499" t="s">
        <v>653</v>
      </c>
      <c r="D61" s="500" t="s">
        <v>638</v>
      </c>
      <c r="E61" s="501" t="s">
        <v>954</v>
      </c>
      <c r="F61" s="461" t="s">
        <v>954</v>
      </c>
      <c r="H61" s="623"/>
      <c r="I61" s="623"/>
    </row>
    <row r="62" spans="1:9" ht="11.25" customHeight="1">
      <c r="A62" s="458" t="s">
        <v>234</v>
      </c>
      <c r="B62" s="458" t="s">
        <v>234</v>
      </c>
      <c r="C62" s="499" t="s">
        <v>651</v>
      </c>
      <c r="D62" s="500" t="s">
        <v>652</v>
      </c>
      <c r="E62" s="501">
        <v>1093.4471780092338</v>
      </c>
      <c r="F62" s="461">
        <v>9552.3545470886675</v>
      </c>
      <c r="H62" s="623"/>
      <c r="I62" s="623"/>
    </row>
    <row r="63" spans="1:9" ht="11.25" customHeight="1">
      <c r="A63" s="458" t="s">
        <v>235</v>
      </c>
      <c r="B63" s="458" t="s">
        <v>235</v>
      </c>
      <c r="C63" s="499" t="s">
        <v>651</v>
      </c>
      <c r="D63" s="500" t="s">
        <v>652</v>
      </c>
      <c r="E63" s="501">
        <v>182.45621075944572</v>
      </c>
      <c r="F63" s="461">
        <v>1593.9374571945182</v>
      </c>
      <c r="H63" s="623"/>
      <c r="I63" s="623"/>
    </row>
    <row r="64" spans="1:9" ht="11.25" customHeight="1">
      <c r="A64" s="458" t="s">
        <v>294</v>
      </c>
      <c r="B64" s="458" t="s">
        <v>294</v>
      </c>
      <c r="C64" s="499" t="s">
        <v>651</v>
      </c>
      <c r="D64" s="500" t="s">
        <v>652</v>
      </c>
      <c r="E64" s="501">
        <v>6624.9382313275155</v>
      </c>
      <c r="F64" s="461">
        <v>55649.481143151133</v>
      </c>
      <c r="H64" s="623"/>
      <c r="I64" s="623"/>
    </row>
    <row r="65" spans="1:9" ht="11.25" customHeight="1">
      <c r="A65" s="458" t="s">
        <v>295</v>
      </c>
      <c r="B65" s="458" t="s">
        <v>295</v>
      </c>
      <c r="C65" s="499" t="s">
        <v>651</v>
      </c>
      <c r="D65" s="500" t="s">
        <v>652</v>
      </c>
      <c r="E65" s="501">
        <v>6370.7435851069322</v>
      </c>
      <c r="F65" s="461">
        <v>53514.24611489824</v>
      </c>
      <c r="H65" s="623"/>
      <c r="I65" s="623"/>
    </row>
    <row r="66" spans="1:9" ht="11.25" customHeight="1">
      <c r="A66" s="458" t="s">
        <v>228</v>
      </c>
      <c r="B66" s="458" t="s">
        <v>228</v>
      </c>
      <c r="C66" s="499" t="s">
        <v>651</v>
      </c>
      <c r="D66" s="500" t="s">
        <v>652</v>
      </c>
      <c r="E66" s="501">
        <v>3298.5200508444436</v>
      </c>
      <c r="F66" s="461">
        <v>27707.568427093327</v>
      </c>
      <c r="H66" s="623"/>
      <c r="I66" s="623"/>
    </row>
    <row r="67" spans="1:9" ht="11.25" customHeight="1">
      <c r="A67" s="458" t="s">
        <v>942</v>
      </c>
      <c r="B67" s="458" t="s">
        <v>942</v>
      </c>
      <c r="C67" s="499" t="s">
        <v>653</v>
      </c>
      <c r="D67" s="500" t="s">
        <v>638</v>
      </c>
      <c r="E67" s="501" t="s">
        <v>954</v>
      </c>
      <c r="F67" s="461" t="s">
        <v>954</v>
      </c>
      <c r="H67" s="623"/>
      <c r="I67" s="623"/>
    </row>
    <row r="68" spans="1:9" ht="11.25" customHeight="1">
      <c r="A68" s="458" t="s">
        <v>98</v>
      </c>
      <c r="B68" s="458" t="s">
        <v>98</v>
      </c>
      <c r="C68" s="499" t="s">
        <v>653</v>
      </c>
      <c r="D68" s="500" t="s">
        <v>638</v>
      </c>
      <c r="E68" s="501" t="s">
        <v>954</v>
      </c>
      <c r="F68" s="461" t="s">
        <v>954</v>
      </c>
      <c r="H68" s="623"/>
      <c r="I68" s="623"/>
    </row>
    <row r="69" spans="1:9" ht="11.25" customHeight="1">
      <c r="A69" s="458" t="s">
        <v>943</v>
      </c>
      <c r="B69" s="458" t="s">
        <v>943</v>
      </c>
      <c r="C69" s="499" t="s">
        <v>651</v>
      </c>
      <c r="D69" s="500" t="s">
        <v>652</v>
      </c>
      <c r="E69" s="501">
        <v>906.38089810273414</v>
      </c>
      <c r="F69" s="461">
        <v>7918.143525825486</v>
      </c>
      <c r="H69" s="623"/>
      <c r="I69" s="623"/>
    </row>
    <row r="70" spans="1:9" ht="11.25" customHeight="1">
      <c r="A70" s="458" t="s">
        <v>296</v>
      </c>
      <c r="B70" s="458" t="s">
        <v>296</v>
      </c>
      <c r="C70" s="499" t="s">
        <v>651</v>
      </c>
      <c r="D70" s="500" t="s">
        <v>652</v>
      </c>
      <c r="E70" s="501">
        <v>673.73911756880364</v>
      </c>
      <c r="F70" s="461">
        <v>5885.7849310810707</v>
      </c>
      <c r="H70" s="623"/>
      <c r="I70" s="623"/>
    </row>
    <row r="71" spans="1:9" ht="11.25" customHeight="1">
      <c r="A71" s="458" t="s">
        <v>944</v>
      </c>
      <c r="B71" s="458" t="s">
        <v>944</v>
      </c>
      <c r="C71" s="499" t="s">
        <v>653</v>
      </c>
      <c r="D71" s="500" t="s">
        <v>638</v>
      </c>
      <c r="E71" s="501" t="s">
        <v>954</v>
      </c>
      <c r="F71" s="461" t="s">
        <v>954</v>
      </c>
      <c r="H71" s="623"/>
      <c r="I71" s="623"/>
    </row>
    <row r="72" spans="1:9" ht="11.25" customHeight="1">
      <c r="A72" s="458" t="s">
        <v>945</v>
      </c>
      <c r="B72" s="458" t="s">
        <v>945</v>
      </c>
      <c r="C72" s="499" t="s">
        <v>653</v>
      </c>
      <c r="D72" s="500" t="s">
        <v>638</v>
      </c>
      <c r="E72" s="501" t="s">
        <v>954</v>
      </c>
      <c r="F72" s="461" t="s">
        <v>954</v>
      </c>
      <c r="H72" s="623"/>
      <c r="I72" s="623"/>
    </row>
    <row r="73" spans="1:9" ht="11.25" customHeight="1">
      <c r="A73" s="458" t="s">
        <v>947</v>
      </c>
      <c r="B73" s="458" t="s">
        <v>925</v>
      </c>
      <c r="C73" s="499" t="s">
        <v>653</v>
      </c>
      <c r="D73" s="500" t="s">
        <v>638</v>
      </c>
      <c r="E73" s="501" t="s">
        <v>954</v>
      </c>
      <c r="F73" s="461" t="s">
        <v>954</v>
      </c>
      <c r="H73" s="623"/>
      <c r="I73" s="623"/>
    </row>
    <row r="74" spans="1:9" ht="11.25" customHeight="1">
      <c r="A74" s="458" t="s">
        <v>946</v>
      </c>
      <c r="B74" s="458" t="s">
        <v>946</v>
      </c>
      <c r="C74" s="499" t="s">
        <v>653</v>
      </c>
      <c r="D74" s="500" t="s">
        <v>638</v>
      </c>
      <c r="E74" s="501" t="s">
        <v>954</v>
      </c>
      <c r="F74" s="461" t="s">
        <v>954</v>
      </c>
      <c r="H74" s="623"/>
      <c r="I74" s="623"/>
    </row>
    <row r="75" spans="1:9" ht="11.25" customHeight="1">
      <c r="A75" s="462" t="s">
        <v>99</v>
      </c>
      <c r="B75" s="462" t="s">
        <v>99</v>
      </c>
      <c r="C75" s="499" t="s">
        <v>653</v>
      </c>
      <c r="D75" s="500" t="s">
        <v>638</v>
      </c>
      <c r="E75" s="501" t="s">
        <v>954</v>
      </c>
      <c r="F75" s="461" t="s">
        <v>954</v>
      </c>
      <c r="H75" s="623"/>
      <c r="I75" s="623"/>
    </row>
    <row r="76" spans="1:9" ht="11.25" customHeight="1">
      <c r="A76" s="458" t="s">
        <v>297</v>
      </c>
      <c r="B76" s="458" t="s">
        <v>297</v>
      </c>
      <c r="C76" s="499" t="s">
        <v>653</v>
      </c>
      <c r="D76" s="500" t="s">
        <v>638</v>
      </c>
      <c r="E76" s="501" t="s">
        <v>954</v>
      </c>
      <c r="F76" s="461" t="s">
        <v>954</v>
      </c>
      <c r="H76" s="623"/>
      <c r="I76" s="623"/>
    </row>
    <row r="77" spans="1:9" ht="11.25" customHeight="1">
      <c r="A77" s="462" t="s">
        <v>100</v>
      </c>
      <c r="B77" s="462" t="s">
        <v>100</v>
      </c>
      <c r="C77" s="499" t="s">
        <v>653</v>
      </c>
      <c r="D77" s="500" t="s">
        <v>638</v>
      </c>
      <c r="E77" s="501" t="s">
        <v>954</v>
      </c>
      <c r="F77" s="461" t="s">
        <v>954</v>
      </c>
      <c r="H77" s="623"/>
      <c r="I77" s="623"/>
    </row>
    <row r="78" spans="1:9" ht="11.25" customHeight="1">
      <c r="A78" s="462" t="s">
        <v>101</v>
      </c>
      <c r="B78" s="462" t="s">
        <v>101</v>
      </c>
      <c r="C78" s="499" t="s">
        <v>653</v>
      </c>
      <c r="D78" s="500" t="s">
        <v>638</v>
      </c>
      <c r="E78" s="501" t="s">
        <v>954</v>
      </c>
      <c r="F78" s="461" t="s">
        <v>954</v>
      </c>
      <c r="H78" s="623"/>
      <c r="I78" s="623"/>
    </row>
    <row r="79" spans="1:9" ht="11.25" customHeight="1">
      <c r="A79" s="458" t="s">
        <v>382</v>
      </c>
      <c r="B79" s="458" t="s">
        <v>382</v>
      </c>
      <c r="C79" s="499" t="s">
        <v>651</v>
      </c>
      <c r="D79" s="500" t="s">
        <v>652</v>
      </c>
      <c r="E79" s="501" t="s">
        <v>1394</v>
      </c>
      <c r="F79" s="461" t="s">
        <v>1394</v>
      </c>
      <c r="H79" s="623"/>
      <c r="I79" s="623"/>
    </row>
    <row r="80" spans="1:9" ht="11.25" customHeight="1">
      <c r="A80" s="458" t="s">
        <v>594</v>
      </c>
      <c r="B80" s="458" t="s">
        <v>594</v>
      </c>
      <c r="C80" s="499" t="s">
        <v>1405</v>
      </c>
      <c r="D80" s="500" t="s">
        <v>638</v>
      </c>
      <c r="E80" s="501" t="s">
        <v>954</v>
      </c>
      <c r="F80" s="461" t="s">
        <v>954</v>
      </c>
      <c r="H80" s="623"/>
      <c r="I80" s="623"/>
    </row>
    <row r="81" spans="1:9" ht="11.25" customHeight="1">
      <c r="A81" s="458" t="s">
        <v>102</v>
      </c>
      <c r="B81" s="458" t="s">
        <v>102</v>
      </c>
      <c r="C81" s="499" t="s">
        <v>653</v>
      </c>
      <c r="D81" s="500" t="s">
        <v>638</v>
      </c>
      <c r="E81" s="501" t="s">
        <v>954</v>
      </c>
      <c r="F81" s="461" t="s">
        <v>954</v>
      </c>
      <c r="H81" s="623"/>
      <c r="I81" s="623"/>
    </row>
    <row r="82" spans="1:9" ht="11.25" customHeight="1">
      <c r="A82" s="458" t="s">
        <v>370</v>
      </c>
      <c r="B82" s="458" t="s">
        <v>370</v>
      </c>
      <c r="C82" s="499" t="s">
        <v>1405</v>
      </c>
      <c r="D82" s="500" t="s">
        <v>638</v>
      </c>
      <c r="E82" s="501" t="s">
        <v>954</v>
      </c>
      <c r="F82" s="461" t="s">
        <v>954</v>
      </c>
      <c r="H82" s="623"/>
      <c r="I82" s="623"/>
    </row>
    <row r="83" spans="1:9" ht="11.25" customHeight="1">
      <c r="A83" s="458" t="s">
        <v>337</v>
      </c>
      <c r="B83" s="458" t="s">
        <v>337</v>
      </c>
      <c r="C83" s="499" t="s">
        <v>653</v>
      </c>
      <c r="D83" s="500" t="s">
        <v>638</v>
      </c>
      <c r="E83" s="501" t="s">
        <v>954</v>
      </c>
      <c r="F83" s="461" t="s">
        <v>954</v>
      </c>
      <c r="H83" s="623"/>
      <c r="I83" s="623"/>
    </row>
    <row r="84" spans="1:9" ht="11.25" customHeight="1">
      <c r="A84" s="458" t="s">
        <v>28</v>
      </c>
      <c r="B84" s="458" t="s">
        <v>28</v>
      </c>
      <c r="C84" s="499" t="s">
        <v>651</v>
      </c>
      <c r="D84" s="500" t="s">
        <v>652</v>
      </c>
      <c r="E84" s="501" t="s">
        <v>954</v>
      </c>
      <c r="F84" s="461" t="s">
        <v>954</v>
      </c>
      <c r="H84" s="623"/>
      <c r="I84" s="623"/>
    </row>
    <row r="85" spans="1:9" ht="11.25" customHeight="1">
      <c r="A85" s="458" t="s">
        <v>338</v>
      </c>
      <c r="B85" s="458" t="s">
        <v>926</v>
      </c>
      <c r="C85" s="499" t="s">
        <v>651</v>
      </c>
      <c r="D85" s="500" t="s">
        <v>652</v>
      </c>
      <c r="E85" s="501">
        <v>75701.315782304358</v>
      </c>
      <c r="F85" s="461">
        <v>169000</v>
      </c>
      <c r="H85" s="623"/>
      <c r="I85" s="623"/>
    </row>
    <row r="86" spans="1:9" ht="11.25" customHeight="1">
      <c r="A86" s="458" t="s">
        <v>339</v>
      </c>
      <c r="B86" s="458" t="s">
        <v>339</v>
      </c>
      <c r="C86" s="499" t="s">
        <v>653</v>
      </c>
      <c r="D86" s="500" t="s">
        <v>638</v>
      </c>
      <c r="E86" s="501" t="s">
        <v>954</v>
      </c>
      <c r="F86" s="461" t="s">
        <v>954</v>
      </c>
      <c r="H86" s="623"/>
      <c r="I86" s="623"/>
    </row>
    <row r="87" spans="1:9" ht="11.25" customHeight="1">
      <c r="A87" s="458" t="s">
        <v>340</v>
      </c>
      <c r="B87" s="458" t="s">
        <v>927</v>
      </c>
      <c r="C87" s="499" t="s">
        <v>651</v>
      </c>
      <c r="D87" s="500" t="s">
        <v>638</v>
      </c>
      <c r="E87" s="501">
        <v>1690</v>
      </c>
      <c r="F87" s="461">
        <v>1690</v>
      </c>
      <c r="H87" s="623"/>
      <c r="I87" s="623"/>
    </row>
    <row r="88" spans="1:9" ht="11.25" customHeight="1">
      <c r="A88" s="458" t="s">
        <v>103</v>
      </c>
      <c r="B88" s="458" t="s">
        <v>103</v>
      </c>
      <c r="C88" s="499" t="s">
        <v>653</v>
      </c>
      <c r="D88" s="500" t="s">
        <v>638</v>
      </c>
      <c r="E88" s="501" t="s">
        <v>954</v>
      </c>
      <c r="F88" s="461" t="s">
        <v>954</v>
      </c>
      <c r="H88" s="623"/>
      <c r="I88" s="623"/>
    </row>
    <row r="89" spans="1:9" ht="11.25" customHeight="1">
      <c r="A89" s="458" t="s">
        <v>341</v>
      </c>
      <c r="B89" s="458" t="s">
        <v>341</v>
      </c>
      <c r="C89" s="499" t="s">
        <v>1405</v>
      </c>
      <c r="D89" s="500" t="s">
        <v>638</v>
      </c>
      <c r="E89" s="501" t="s">
        <v>954</v>
      </c>
      <c r="F89" s="461" t="s">
        <v>954</v>
      </c>
      <c r="H89" s="623"/>
      <c r="I89" s="623"/>
    </row>
    <row r="90" spans="1:9" ht="11.25" customHeight="1">
      <c r="A90" s="458" t="s">
        <v>342</v>
      </c>
      <c r="B90" s="458" t="s">
        <v>342</v>
      </c>
      <c r="C90" s="499" t="s">
        <v>1405</v>
      </c>
      <c r="D90" s="500" t="s">
        <v>638</v>
      </c>
      <c r="E90" s="501" t="s">
        <v>954</v>
      </c>
      <c r="F90" s="461" t="s">
        <v>954</v>
      </c>
      <c r="H90" s="623"/>
      <c r="I90" s="623"/>
    </row>
    <row r="91" spans="1:9" ht="11.25" customHeight="1">
      <c r="A91" s="458" t="s">
        <v>371</v>
      </c>
      <c r="B91" s="458" t="s">
        <v>371</v>
      </c>
      <c r="C91" s="499" t="s">
        <v>1405</v>
      </c>
      <c r="D91" s="500" t="s">
        <v>638</v>
      </c>
      <c r="E91" s="501" t="s">
        <v>954</v>
      </c>
      <c r="F91" s="461" t="s">
        <v>954</v>
      </c>
      <c r="H91" s="623"/>
      <c r="I91" s="623"/>
    </row>
    <row r="92" spans="1:9" ht="11.25" customHeight="1">
      <c r="A92" s="458" t="s">
        <v>343</v>
      </c>
      <c r="B92" s="458" t="s">
        <v>343</v>
      </c>
      <c r="C92" s="499" t="s">
        <v>1405</v>
      </c>
      <c r="D92" s="500" t="s">
        <v>638</v>
      </c>
      <c r="E92" s="501" t="s">
        <v>954</v>
      </c>
      <c r="F92" s="461" t="s">
        <v>954</v>
      </c>
      <c r="H92" s="623"/>
      <c r="I92" s="623"/>
    </row>
    <row r="93" spans="1:9" ht="11.25" customHeight="1">
      <c r="A93" s="458" t="s">
        <v>364</v>
      </c>
      <c r="B93" s="458" t="s">
        <v>364</v>
      </c>
      <c r="C93" s="499" t="s">
        <v>653</v>
      </c>
      <c r="D93" s="500" t="s">
        <v>638</v>
      </c>
      <c r="E93" s="501" t="s">
        <v>954</v>
      </c>
      <c r="F93" s="461" t="s">
        <v>954</v>
      </c>
      <c r="H93" s="623"/>
      <c r="I93" s="623"/>
    </row>
    <row r="94" spans="1:9" ht="11.25" customHeight="1">
      <c r="A94" s="458" t="s">
        <v>344</v>
      </c>
      <c r="B94" s="458" t="s">
        <v>344</v>
      </c>
      <c r="C94" s="499" t="s">
        <v>1405</v>
      </c>
      <c r="D94" s="500" t="s">
        <v>638</v>
      </c>
      <c r="E94" s="501" t="s">
        <v>954</v>
      </c>
      <c r="F94" s="461" t="s">
        <v>954</v>
      </c>
      <c r="H94" s="623"/>
      <c r="I94" s="623"/>
    </row>
    <row r="95" spans="1:9" ht="11.25" customHeight="1">
      <c r="A95" s="458" t="s">
        <v>104</v>
      </c>
      <c r="B95" s="458" t="s">
        <v>104</v>
      </c>
      <c r="C95" s="499" t="s">
        <v>653</v>
      </c>
      <c r="D95" s="500" t="s">
        <v>638</v>
      </c>
      <c r="E95" s="501" t="s">
        <v>954</v>
      </c>
      <c r="F95" s="461" t="s">
        <v>954</v>
      </c>
      <c r="H95" s="623"/>
      <c r="I95" s="623"/>
    </row>
    <row r="96" spans="1:9" ht="11.25" customHeight="1">
      <c r="A96" s="458" t="s">
        <v>345</v>
      </c>
      <c r="B96" s="458" t="s">
        <v>345</v>
      </c>
      <c r="C96" s="499" t="s">
        <v>653</v>
      </c>
      <c r="D96" s="500" t="s">
        <v>638</v>
      </c>
      <c r="E96" s="501" t="s">
        <v>954</v>
      </c>
      <c r="F96" s="461" t="s">
        <v>954</v>
      </c>
      <c r="H96" s="623"/>
      <c r="I96" s="623"/>
    </row>
    <row r="97" spans="1:9" ht="11.25" customHeight="1">
      <c r="A97" s="458" t="s">
        <v>105</v>
      </c>
      <c r="B97" s="458" t="s">
        <v>105</v>
      </c>
      <c r="C97" s="499" t="s">
        <v>653</v>
      </c>
      <c r="D97" s="500" t="s">
        <v>652</v>
      </c>
      <c r="E97" s="501" t="s">
        <v>954</v>
      </c>
      <c r="F97" s="461" t="s">
        <v>954</v>
      </c>
      <c r="H97" s="623"/>
      <c r="I97" s="623"/>
    </row>
    <row r="98" spans="1:9" ht="11.25" customHeight="1">
      <c r="A98" s="458" t="s">
        <v>346</v>
      </c>
      <c r="B98" s="458" t="s">
        <v>346</v>
      </c>
      <c r="C98" s="499" t="s">
        <v>653</v>
      </c>
      <c r="D98" s="500" t="s">
        <v>638</v>
      </c>
      <c r="E98" s="501" t="s">
        <v>954</v>
      </c>
      <c r="F98" s="461" t="s">
        <v>954</v>
      </c>
      <c r="H98" s="623"/>
      <c r="I98" s="623"/>
    </row>
    <row r="99" spans="1:9" ht="11.25" customHeight="1">
      <c r="A99" s="458" t="s">
        <v>347</v>
      </c>
      <c r="B99" s="458" t="s">
        <v>347</v>
      </c>
      <c r="C99" s="499" t="s">
        <v>653</v>
      </c>
      <c r="D99" s="500" t="s">
        <v>638</v>
      </c>
      <c r="E99" s="501" t="s">
        <v>954</v>
      </c>
      <c r="F99" s="461" t="s">
        <v>954</v>
      </c>
      <c r="H99" s="623"/>
      <c r="I99" s="623"/>
    </row>
    <row r="100" spans="1:9" ht="11.25" customHeight="1">
      <c r="A100" s="458" t="s">
        <v>348</v>
      </c>
      <c r="B100" s="458" t="s">
        <v>348</v>
      </c>
      <c r="C100" s="499" t="s">
        <v>653</v>
      </c>
      <c r="D100" s="500" t="s">
        <v>638</v>
      </c>
      <c r="E100" s="501" t="s">
        <v>954</v>
      </c>
      <c r="F100" s="461" t="s">
        <v>954</v>
      </c>
      <c r="H100" s="623"/>
      <c r="I100" s="623"/>
    </row>
    <row r="101" spans="1:9" ht="11.25" customHeight="1">
      <c r="A101" s="458" t="s">
        <v>350</v>
      </c>
      <c r="B101" s="458" t="s">
        <v>169</v>
      </c>
      <c r="C101" s="499" t="s">
        <v>651</v>
      </c>
      <c r="D101" s="500" t="s">
        <v>652</v>
      </c>
      <c r="E101" s="501">
        <v>223000000</v>
      </c>
      <c r="F101" s="461">
        <v>223000000</v>
      </c>
      <c r="H101" s="623"/>
      <c r="I101" s="623"/>
    </row>
    <row r="102" spans="1:9" ht="11.25" customHeight="1">
      <c r="A102" s="458" t="s">
        <v>351</v>
      </c>
      <c r="B102" s="458" t="s">
        <v>168</v>
      </c>
      <c r="C102" s="499" t="s">
        <v>651</v>
      </c>
      <c r="D102" s="500" t="s">
        <v>652</v>
      </c>
      <c r="E102" s="501">
        <v>19000000</v>
      </c>
      <c r="F102" s="461">
        <v>19000000</v>
      </c>
      <c r="H102" s="623"/>
      <c r="I102" s="623"/>
    </row>
    <row r="103" spans="1:9" ht="11.25" customHeight="1">
      <c r="A103" s="458" t="s">
        <v>352</v>
      </c>
      <c r="B103" s="458" t="s">
        <v>352</v>
      </c>
      <c r="C103" s="499" t="s">
        <v>653</v>
      </c>
      <c r="D103" s="500" t="s">
        <v>638</v>
      </c>
      <c r="E103" s="501" t="s">
        <v>954</v>
      </c>
      <c r="F103" s="461" t="s">
        <v>954</v>
      </c>
      <c r="H103" s="623"/>
      <c r="I103" s="623"/>
    </row>
    <row r="104" spans="1:9" ht="11.25" customHeight="1">
      <c r="A104" s="458" t="s">
        <v>353</v>
      </c>
      <c r="B104" s="458" t="s">
        <v>353</v>
      </c>
      <c r="C104" s="499" t="s">
        <v>651</v>
      </c>
      <c r="D104" s="500" t="s">
        <v>652</v>
      </c>
      <c r="E104" s="501">
        <v>31043.943756596891</v>
      </c>
      <c r="F104" s="461">
        <v>271199.89265763049</v>
      </c>
      <c r="H104" s="623"/>
      <c r="I104" s="623"/>
    </row>
    <row r="105" spans="1:9" ht="11.25" customHeight="1">
      <c r="A105" s="458" t="s">
        <v>349</v>
      </c>
      <c r="B105" s="458" t="s">
        <v>349</v>
      </c>
      <c r="C105" s="499" t="s">
        <v>651</v>
      </c>
      <c r="D105" s="500" t="s">
        <v>652</v>
      </c>
      <c r="E105" s="501">
        <v>76060.351513941452</v>
      </c>
      <c r="F105" s="461">
        <v>788593.72449654515</v>
      </c>
      <c r="H105" s="623"/>
      <c r="I105" s="623"/>
    </row>
    <row r="106" spans="1:9" ht="11.25" customHeight="1">
      <c r="A106" s="458" t="s">
        <v>590</v>
      </c>
      <c r="B106" s="458" t="s">
        <v>592</v>
      </c>
      <c r="C106" s="499" t="s">
        <v>651</v>
      </c>
      <c r="D106" s="500" t="s">
        <v>638</v>
      </c>
      <c r="E106" s="501">
        <v>25800</v>
      </c>
      <c r="F106" s="461">
        <v>25800</v>
      </c>
      <c r="H106" s="623"/>
      <c r="I106" s="623"/>
    </row>
    <row r="107" spans="1:9" ht="11.25" customHeight="1">
      <c r="A107" s="458" t="s">
        <v>591</v>
      </c>
      <c r="B107" s="458" t="s">
        <v>593</v>
      </c>
      <c r="C107" s="499" t="s">
        <v>651</v>
      </c>
      <c r="D107" s="500" t="s">
        <v>638</v>
      </c>
      <c r="E107" s="501">
        <v>24600</v>
      </c>
      <c r="F107" s="461">
        <v>24600</v>
      </c>
      <c r="H107" s="623"/>
      <c r="I107" s="623"/>
    </row>
    <row r="108" spans="1:9" ht="11.25" customHeight="1">
      <c r="A108" s="458" t="s">
        <v>465</v>
      </c>
      <c r="B108" s="458" t="s">
        <v>465</v>
      </c>
      <c r="C108" s="499" t="s">
        <v>653</v>
      </c>
      <c r="D108" s="500" t="s">
        <v>638</v>
      </c>
      <c r="E108" s="501" t="s">
        <v>954</v>
      </c>
      <c r="F108" s="461" t="s">
        <v>954</v>
      </c>
      <c r="H108" s="623"/>
      <c r="I108" s="623"/>
    </row>
    <row r="109" spans="1:9" ht="11.25" customHeight="1">
      <c r="A109" s="458" t="s">
        <v>466</v>
      </c>
      <c r="B109" s="458" t="s">
        <v>928</v>
      </c>
      <c r="C109" s="499" t="s">
        <v>651</v>
      </c>
      <c r="D109" s="500" t="s">
        <v>638</v>
      </c>
      <c r="E109" s="501">
        <v>28777.562790660297</v>
      </c>
      <c r="F109" s="461">
        <v>31000</v>
      </c>
      <c r="H109" s="623"/>
      <c r="I109" s="623"/>
    </row>
    <row r="110" spans="1:9" ht="11.25" customHeight="1">
      <c r="A110" s="458" t="s">
        <v>812</v>
      </c>
      <c r="B110" s="458" t="s">
        <v>812</v>
      </c>
      <c r="C110" s="499" t="s">
        <v>653</v>
      </c>
      <c r="D110" s="500" t="s">
        <v>638</v>
      </c>
      <c r="E110" s="501" t="s">
        <v>954</v>
      </c>
      <c r="F110" s="461" t="s">
        <v>954</v>
      </c>
      <c r="H110" s="623"/>
      <c r="I110" s="623"/>
    </row>
    <row r="111" spans="1:9" ht="11.25" customHeight="1">
      <c r="A111" s="462" t="s">
        <v>106</v>
      </c>
      <c r="B111" s="462" t="s">
        <v>106</v>
      </c>
      <c r="C111" s="499" t="s">
        <v>651</v>
      </c>
      <c r="D111" s="500" t="s">
        <v>652</v>
      </c>
      <c r="E111" s="501" t="s">
        <v>1394</v>
      </c>
      <c r="F111" s="461" t="s">
        <v>1394</v>
      </c>
      <c r="H111" s="623"/>
      <c r="I111" s="623"/>
    </row>
    <row r="112" spans="1:9" ht="11.25" customHeight="1">
      <c r="A112" s="462" t="s">
        <v>107</v>
      </c>
      <c r="B112" s="462" t="s">
        <v>107</v>
      </c>
      <c r="C112" s="499" t="s">
        <v>653</v>
      </c>
      <c r="D112" s="500" t="s">
        <v>652</v>
      </c>
      <c r="E112" s="501" t="s">
        <v>954</v>
      </c>
      <c r="F112" s="461" t="s">
        <v>954</v>
      </c>
      <c r="H112" s="623"/>
      <c r="I112" s="623"/>
    </row>
    <row r="113" spans="1:9" ht="11.25" customHeight="1">
      <c r="A113" s="462" t="s">
        <v>108</v>
      </c>
      <c r="B113" s="462" t="s">
        <v>108</v>
      </c>
      <c r="C113" s="499" t="s">
        <v>651</v>
      </c>
      <c r="D113" s="500" t="s">
        <v>638</v>
      </c>
      <c r="E113" s="501" t="s">
        <v>1394</v>
      </c>
      <c r="F113" s="461" t="s">
        <v>1394</v>
      </c>
      <c r="H113" s="623"/>
      <c r="I113" s="623"/>
    </row>
    <row r="114" spans="1:9" ht="11.25" customHeight="1">
      <c r="A114" s="462" t="s">
        <v>109</v>
      </c>
      <c r="B114" s="462" t="s">
        <v>109</v>
      </c>
      <c r="C114" s="499" t="s">
        <v>653</v>
      </c>
      <c r="D114" s="500" t="s">
        <v>638</v>
      </c>
      <c r="E114" s="501" t="s">
        <v>954</v>
      </c>
      <c r="F114" s="461" t="s">
        <v>954</v>
      </c>
      <c r="H114" s="623"/>
      <c r="I114" s="623"/>
    </row>
    <row r="115" spans="1:9" ht="11.25" customHeight="1">
      <c r="A115" s="462" t="s">
        <v>110</v>
      </c>
      <c r="B115" s="462" t="s">
        <v>110</v>
      </c>
      <c r="C115" s="499" t="s">
        <v>653</v>
      </c>
      <c r="D115" s="500" t="s">
        <v>638</v>
      </c>
      <c r="E115" s="501" t="s">
        <v>954</v>
      </c>
      <c r="F115" s="461" t="s">
        <v>954</v>
      </c>
      <c r="H115" s="623"/>
      <c r="I115" s="623"/>
    </row>
    <row r="116" spans="1:9" ht="11.25" customHeight="1">
      <c r="A116" s="458" t="s">
        <v>467</v>
      </c>
      <c r="B116" s="458" t="s">
        <v>467</v>
      </c>
      <c r="C116" s="499" t="s">
        <v>653</v>
      </c>
      <c r="D116" s="500" t="s">
        <v>638</v>
      </c>
      <c r="E116" s="501" t="s">
        <v>954</v>
      </c>
      <c r="F116" s="461" t="s">
        <v>954</v>
      </c>
      <c r="H116" s="623"/>
      <c r="I116" s="623"/>
    </row>
    <row r="117" spans="1:9" ht="11.25" customHeight="1">
      <c r="A117" s="462" t="s">
        <v>111</v>
      </c>
      <c r="B117" s="462" t="s">
        <v>111</v>
      </c>
      <c r="C117" s="499" t="s">
        <v>653</v>
      </c>
      <c r="D117" s="500" t="s">
        <v>638</v>
      </c>
      <c r="E117" s="501" t="s">
        <v>954</v>
      </c>
      <c r="F117" s="461" t="s">
        <v>954</v>
      </c>
      <c r="H117" s="623"/>
      <c r="I117" s="623"/>
    </row>
    <row r="118" spans="1:9" ht="11.25" customHeight="1">
      <c r="A118" s="458" t="s">
        <v>231</v>
      </c>
      <c r="B118" s="458" t="s">
        <v>231</v>
      </c>
      <c r="C118" s="499" t="s">
        <v>653</v>
      </c>
      <c r="D118" s="500" t="s">
        <v>638</v>
      </c>
      <c r="E118" s="501" t="s">
        <v>954</v>
      </c>
      <c r="F118" s="461" t="s">
        <v>954</v>
      </c>
      <c r="H118" s="623"/>
      <c r="I118" s="623"/>
    </row>
    <row r="119" spans="1:9" ht="11.25" customHeight="1">
      <c r="A119" s="458" t="s">
        <v>468</v>
      </c>
      <c r="B119" s="458" t="s">
        <v>468</v>
      </c>
      <c r="C119" s="499" t="s">
        <v>651</v>
      </c>
      <c r="D119" s="500" t="s">
        <v>638</v>
      </c>
      <c r="E119" s="501" t="s">
        <v>1394</v>
      </c>
      <c r="F119" s="461" t="s">
        <v>1394</v>
      </c>
      <c r="H119" s="623"/>
      <c r="I119" s="623"/>
    </row>
    <row r="120" spans="1:9" ht="11.25" customHeight="1">
      <c r="A120" s="458" t="s">
        <v>469</v>
      </c>
      <c r="B120" s="458" t="s">
        <v>469</v>
      </c>
      <c r="C120" s="499" t="s">
        <v>653</v>
      </c>
      <c r="D120" s="500" t="s">
        <v>638</v>
      </c>
      <c r="E120" s="501" t="s">
        <v>954</v>
      </c>
      <c r="F120" s="461" t="s">
        <v>954</v>
      </c>
      <c r="H120" s="623"/>
      <c r="I120" s="623"/>
    </row>
    <row r="121" spans="1:9" ht="11.25" customHeight="1">
      <c r="A121" s="458" t="s">
        <v>365</v>
      </c>
      <c r="B121" s="458" t="s">
        <v>365</v>
      </c>
      <c r="C121" s="499" t="s">
        <v>1405</v>
      </c>
      <c r="D121" s="500" t="s">
        <v>638</v>
      </c>
      <c r="E121" s="501" t="s">
        <v>954</v>
      </c>
      <c r="F121" s="461" t="s">
        <v>954</v>
      </c>
      <c r="H121" s="623"/>
      <c r="I121" s="623"/>
    </row>
    <row r="122" spans="1:9" ht="11.25" customHeight="1">
      <c r="A122" s="458" t="s">
        <v>112</v>
      </c>
      <c r="B122" s="458" t="s">
        <v>112</v>
      </c>
      <c r="C122" s="499" t="s">
        <v>653</v>
      </c>
      <c r="D122" s="500" t="s">
        <v>652</v>
      </c>
      <c r="E122" s="501" t="s">
        <v>954</v>
      </c>
      <c r="F122" s="461" t="s">
        <v>954</v>
      </c>
      <c r="H122" s="623"/>
      <c r="I122" s="623"/>
    </row>
    <row r="123" spans="1:9" ht="11.25" customHeight="1">
      <c r="A123" s="458" t="s">
        <v>470</v>
      </c>
      <c r="B123" s="458" t="s">
        <v>929</v>
      </c>
      <c r="C123" s="499" t="s">
        <v>651</v>
      </c>
      <c r="D123" s="500" t="s">
        <v>638</v>
      </c>
      <c r="E123" s="501">
        <v>135</v>
      </c>
      <c r="F123" s="461">
        <v>135</v>
      </c>
      <c r="H123" s="623"/>
      <c r="I123" s="623"/>
    </row>
    <row r="124" spans="1:9" ht="11.25" customHeight="1">
      <c r="A124" s="458" t="s">
        <v>471</v>
      </c>
      <c r="B124" s="458" t="s">
        <v>471</v>
      </c>
      <c r="C124" s="499" t="s">
        <v>653</v>
      </c>
      <c r="D124" s="500" t="s">
        <v>638</v>
      </c>
      <c r="E124" s="501" t="s">
        <v>954</v>
      </c>
      <c r="F124" s="461" t="s">
        <v>954</v>
      </c>
      <c r="H124" s="623"/>
      <c r="I124" s="623"/>
    </row>
    <row r="125" spans="1:9" ht="11.25" customHeight="1">
      <c r="A125" s="458" t="s">
        <v>813</v>
      </c>
      <c r="B125" s="458" t="s">
        <v>813</v>
      </c>
      <c r="C125" s="499" t="s">
        <v>653</v>
      </c>
      <c r="D125" s="500" t="s">
        <v>638</v>
      </c>
      <c r="E125" s="501" t="s">
        <v>954</v>
      </c>
      <c r="F125" s="461" t="s">
        <v>954</v>
      </c>
      <c r="H125" s="623"/>
      <c r="I125" s="623"/>
    </row>
    <row r="126" spans="1:9" ht="11.25" customHeight="1">
      <c r="A126" s="458" t="s">
        <v>113</v>
      </c>
      <c r="B126" s="458" t="s">
        <v>113</v>
      </c>
      <c r="C126" s="499" t="s">
        <v>653</v>
      </c>
      <c r="D126" s="500" t="s">
        <v>638</v>
      </c>
      <c r="E126" s="501" t="s">
        <v>954</v>
      </c>
      <c r="F126" s="461" t="s">
        <v>954</v>
      </c>
      <c r="H126" s="623"/>
      <c r="I126" s="623"/>
    </row>
    <row r="127" spans="1:9" ht="11.25" customHeight="1">
      <c r="A127" s="458" t="s">
        <v>472</v>
      </c>
      <c r="B127" s="458" t="s">
        <v>930</v>
      </c>
      <c r="C127" s="499" t="s">
        <v>651</v>
      </c>
      <c r="D127" s="500" t="s">
        <v>652</v>
      </c>
      <c r="E127" s="501">
        <v>310000</v>
      </c>
      <c r="F127" s="461">
        <v>310000</v>
      </c>
      <c r="H127" s="623"/>
      <c r="I127" s="623"/>
    </row>
    <row r="128" spans="1:9" ht="11.25" customHeight="1">
      <c r="A128" s="458" t="s">
        <v>114</v>
      </c>
      <c r="B128" s="458" t="s">
        <v>114</v>
      </c>
      <c r="C128" s="499" t="s">
        <v>653</v>
      </c>
      <c r="D128" s="500" t="s">
        <v>638</v>
      </c>
      <c r="E128" s="501" t="s">
        <v>954</v>
      </c>
      <c r="F128" s="461" t="s">
        <v>954</v>
      </c>
      <c r="H128" s="623"/>
      <c r="I128" s="623"/>
    </row>
    <row r="129" spans="1:9" ht="11.25" customHeight="1">
      <c r="A129" s="458" t="s">
        <v>19</v>
      </c>
      <c r="B129" s="458" t="s">
        <v>19</v>
      </c>
      <c r="C129" s="499" t="s">
        <v>651</v>
      </c>
      <c r="D129" s="500" t="s">
        <v>652</v>
      </c>
      <c r="E129" s="501" t="s">
        <v>1394</v>
      </c>
      <c r="F129" s="461" t="s">
        <v>1394</v>
      </c>
      <c r="H129" s="623"/>
      <c r="I129" s="623"/>
    </row>
    <row r="130" spans="1:9" ht="11.25" customHeight="1">
      <c r="A130" s="458" t="s">
        <v>473</v>
      </c>
      <c r="B130" s="458" t="s">
        <v>473</v>
      </c>
      <c r="C130" s="499" t="s">
        <v>651</v>
      </c>
      <c r="D130" s="500" t="s">
        <v>652</v>
      </c>
      <c r="E130" s="501" t="s">
        <v>1394</v>
      </c>
      <c r="F130" s="461" t="s">
        <v>1394</v>
      </c>
      <c r="H130" s="623"/>
      <c r="I130" s="623"/>
    </row>
    <row r="131" spans="1:9" ht="11.25" customHeight="1">
      <c r="A131" s="458" t="s">
        <v>474</v>
      </c>
      <c r="B131" s="458" t="s">
        <v>474</v>
      </c>
      <c r="C131" s="499" t="s">
        <v>651</v>
      </c>
      <c r="D131" s="500" t="s">
        <v>652</v>
      </c>
      <c r="E131" s="501">
        <v>240.39246728311088</v>
      </c>
      <c r="F131" s="461">
        <v>2100.0685941852571</v>
      </c>
      <c r="H131" s="623"/>
      <c r="I131" s="623"/>
    </row>
    <row r="132" spans="1:9" ht="11.25" customHeight="1">
      <c r="A132" s="458" t="s">
        <v>475</v>
      </c>
      <c r="B132" s="458" t="s">
        <v>475</v>
      </c>
      <c r="C132" s="499" t="s">
        <v>651</v>
      </c>
      <c r="D132" s="500" t="s">
        <v>652</v>
      </c>
      <c r="E132" s="501">
        <v>194.19961168935555</v>
      </c>
      <c r="F132" s="461">
        <v>1696.5278077182106</v>
      </c>
      <c r="H132" s="623"/>
      <c r="I132" s="623"/>
    </row>
    <row r="133" spans="1:9" ht="11.25" customHeight="1">
      <c r="A133" s="458" t="s">
        <v>115</v>
      </c>
      <c r="B133" s="458" t="s">
        <v>115</v>
      </c>
      <c r="C133" s="499" t="s">
        <v>653</v>
      </c>
      <c r="D133" s="500" t="s">
        <v>638</v>
      </c>
      <c r="E133" s="501" t="s">
        <v>954</v>
      </c>
      <c r="F133" s="461" t="s">
        <v>954</v>
      </c>
      <c r="H133" s="623"/>
      <c r="I133" s="623"/>
    </row>
    <row r="134" spans="1:9" ht="11.25" customHeight="1">
      <c r="A134" s="462" t="s">
        <v>116</v>
      </c>
      <c r="B134" s="462" t="s">
        <v>116</v>
      </c>
      <c r="C134" s="499" t="s">
        <v>653</v>
      </c>
      <c r="D134" s="500" t="s">
        <v>638</v>
      </c>
      <c r="E134" s="501" t="s">
        <v>954</v>
      </c>
      <c r="F134" s="461" t="s">
        <v>954</v>
      </c>
      <c r="H134" s="623"/>
      <c r="I134" s="623"/>
    </row>
    <row r="135" spans="1:9" ht="11.25" customHeight="1">
      <c r="A135" s="458" t="s">
        <v>476</v>
      </c>
      <c r="B135" s="458" t="s">
        <v>476</v>
      </c>
      <c r="C135" s="499" t="s">
        <v>653</v>
      </c>
      <c r="D135" s="500" t="s">
        <v>638</v>
      </c>
      <c r="E135" s="501" t="s">
        <v>954</v>
      </c>
      <c r="F135" s="461" t="s">
        <v>954</v>
      </c>
      <c r="H135" s="623"/>
      <c r="I135" s="623"/>
    </row>
    <row r="136" spans="1:9" ht="11.25" customHeight="1">
      <c r="A136" s="458" t="s">
        <v>366</v>
      </c>
      <c r="B136" s="458" t="s">
        <v>931</v>
      </c>
      <c r="C136" s="499" t="s">
        <v>651</v>
      </c>
      <c r="D136" s="500" t="s">
        <v>652</v>
      </c>
      <c r="E136" s="501">
        <v>526000</v>
      </c>
      <c r="F136" s="461">
        <v>526000</v>
      </c>
      <c r="H136" s="623"/>
      <c r="I136" s="623"/>
    </row>
    <row r="137" spans="1:9" ht="11.25" customHeight="1">
      <c r="A137" s="458" t="s">
        <v>20</v>
      </c>
      <c r="B137" s="458" t="s">
        <v>20</v>
      </c>
      <c r="C137" s="499" t="s">
        <v>653</v>
      </c>
      <c r="D137" s="500" t="s">
        <v>638</v>
      </c>
      <c r="E137" s="501" t="s">
        <v>954</v>
      </c>
      <c r="F137" s="461" t="s">
        <v>954</v>
      </c>
      <c r="H137" s="623"/>
      <c r="I137" s="623"/>
    </row>
    <row r="138" spans="1:9" ht="11.25" customHeight="1">
      <c r="A138" s="458" t="s">
        <v>57</v>
      </c>
      <c r="B138" s="458" t="s">
        <v>57</v>
      </c>
      <c r="C138" s="499" t="s">
        <v>651</v>
      </c>
      <c r="D138" s="500" t="s">
        <v>652</v>
      </c>
      <c r="E138" s="501" t="s">
        <v>1394</v>
      </c>
      <c r="F138" s="461" t="s">
        <v>954</v>
      </c>
      <c r="H138" s="623"/>
      <c r="I138" s="623"/>
    </row>
    <row r="139" spans="1:9" ht="11.25" customHeight="1">
      <c r="A139" s="458" t="s">
        <v>56</v>
      </c>
      <c r="B139" s="458" t="s">
        <v>56</v>
      </c>
      <c r="C139" s="499" t="s">
        <v>651</v>
      </c>
      <c r="D139" s="500" t="s">
        <v>652</v>
      </c>
      <c r="E139" s="501" t="s">
        <v>1394</v>
      </c>
      <c r="F139" s="461" t="s">
        <v>954</v>
      </c>
      <c r="H139" s="623"/>
      <c r="I139" s="623"/>
    </row>
    <row r="140" spans="1:9" ht="11.25" customHeight="1">
      <c r="A140" s="458" t="s">
        <v>777</v>
      </c>
      <c r="B140" s="458" t="s">
        <v>777</v>
      </c>
      <c r="C140" s="499" t="s">
        <v>1405</v>
      </c>
      <c r="D140" s="500" t="s">
        <v>652</v>
      </c>
      <c r="E140" s="501" t="s">
        <v>954</v>
      </c>
      <c r="F140" s="461" t="s">
        <v>954</v>
      </c>
      <c r="H140" s="623"/>
      <c r="I140" s="623"/>
    </row>
    <row r="141" spans="1:9" ht="11.25" customHeight="1">
      <c r="A141" s="458" t="s">
        <v>814</v>
      </c>
      <c r="B141" s="458" t="s">
        <v>814</v>
      </c>
      <c r="C141" s="499" t="s">
        <v>651</v>
      </c>
      <c r="D141" s="500" t="s">
        <v>638</v>
      </c>
      <c r="E141" s="501">
        <v>1264.7163081734013</v>
      </c>
      <c r="F141" s="461">
        <v>10623.616988656573</v>
      </c>
      <c r="H141" s="623"/>
      <c r="I141" s="623"/>
    </row>
    <row r="142" spans="1:9" ht="11.25" customHeight="1">
      <c r="A142" s="458" t="s">
        <v>815</v>
      </c>
      <c r="B142" s="458" t="s">
        <v>815</v>
      </c>
      <c r="C142" s="499" t="s">
        <v>651</v>
      </c>
      <c r="D142" s="500" t="s">
        <v>652</v>
      </c>
      <c r="E142" s="501">
        <v>340449.97663418204</v>
      </c>
      <c r="F142" s="461">
        <v>1290000</v>
      </c>
      <c r="H142" s="623"/>
      <c r="I142" s="623"/>
    </row>
    <row r="143" spans="1:9" ht="11.25" customHeight="1">
      <c r="A143" s="458" t="s">
        <v>477</v>
      </c>
      <c r="B143" s="458" t="s">
        <v>477</v>
      </c>
      <c r="C143" s="499" t="s">
        <v>651</v>
      </c>
      <c r="D143" s="500" t="s">
        <v>652</v>
      </c>
      <c r="E143" s="501">
        <v>106.62958207144922</v>
      </c>
      <c r="F143" s="461">
        <v>895.68848940017358</v>
      </c>
      <c r="H143" s="623"/>
      <c r="I143" s="623"/>
    </row>
    <row r="144" spans="1:9" ht="11.25" customHeight="1">
      <c r="A144" s="458" t="s">
        <v>478</v>
      </c>
      <c r="B144" s="458" t="s">
        <v>478</v>
      </c>
      <c r="C144" s="499" t="s">
        <v>651</v>
      </c>
      <c r="D144" s="500" t="s">
        <v>652</v>
      </c>
      <c r="E144" s="501">
        <v>208.89003096783017</v>
      </c>
      <c r="F144" s="461">
        <v>1754.6762601297737</v>
      </c>
      <c r="H144" s="623"/>
      <c r="I144" s="623"/>
    </row>
    <row r="145" spans="1:9" ht="11.25" customHeight="1">
      <c r="A145" s="458" t="s">
        <v>479</v>
      </c>
      <c r="B145" s="458" t="s">
        <v>479</v>
      </c>
      <c r="C145" s="499" t="s">
        <v>653</v>
      </c>
      <c r="D145" s="500" t="s">
        <v>638</v>
      </c>
      <c r="E145" s="501" t="s">
        <v>954</v>
      </c>
      <c r="F145" s="461" t="s">
        <v>954</v>
      </c>
      <c r="H145" s="623"/>
      <c r="I145" s="623"/>
    </row>
    <row r="146" spans="1:9" ht="11.25" customHeight="1">
      <c r="A146" s="458" t="s">
        <v>480</v>
      </c>
      <c r="B146" s="458" t="s">
        <v>480</v>
      </c>
      <c r="C146" s="499" t="s">
        <v>653</v>
      </c>
      <c r="D146" s="500" t="s">
        <v>638</v>
      </c>
      <c r="E146" s="501" t="s">
        <v>954</v>
      </c>
      <c r="F146" s="461" t="s">
        <v>954</v>
      </c>
      <c r="H146" s="623"/>
      <c r="I146" s="623"/>
    </row>
    <row r="147" spans="1:9" ht="11.25" customHeight="1">
      <c r="A147" s="462" t="s">
        <v>117</v>
      </c>
      <c r="B147" s="462" t="s">
        <v>117</v>
      </c>
      <c r="C147" s="499" t="s">
        <v>653</v>
      </c>
      <c r="D147" s="500" t="s">
        <v>638</v>
      </c>
      <c r="E147" s="501" t="s">
        <v>954</v>
      </c>
      <c r="F147" s="461" t="s">
        <v>954</v>
      </c>
      <c r="H147" s="623"/>
      <c r="I147" s="623"/>
    </row>
    <row r="148" spans="1:9" ht="11.25" customHeight="1">
      <c r="A148" s="458" t="s">
        <v>118</v>
      </c>
      <c r="B148" s="458" t="s">
        <v>118</v>
      </c>
      <c r="C148" s="499" t="s">
        <v>653</v>
      </c>
      <c r="D148" s="500" t="s">
        <v>638</v>
      </c>
      <c r="E148" s="501" t="s">
        <v>954</v>
      </c>
      <c r="F148" s="461" t="s">
        <v>954</v>
      </c>
      <c r="H148" s="623"/>
      <c r="I148" s="623"/>
    </row>
    <row r="149" spans="1:9" ht="11.25" customHeight="1">
      <c r="A149" s="458" t="s">
        <v>119</v>
      </c>
      <c r="B149" s="458" t="s">
        <v>119</v>
      </c>
      <c r="C149" s="499" t="s">
        <v>651</v>
      </c>
      <c r="D149" s="500" t="s">
        <v>652</v>
      </c>
      <c r="E149" s="501" t="s">
        <v>1394</v>
      </c>
      <c r="F149" s="461" t="s">
        <v>1394</v>
      </c>
      <c r="H149" s="623"/>
      <c r="I149" s="623"/>
    </row>
    <row r="150" spans="1:9" ht="11.25" customHeight="1">
      <c r="A150" s="458" t="s">
        <v>120</v>
      </c>
      <c r="B150" s="458" t="s">
        <v>120</v>
      </c>
      <c r="C150" s="499" t="s">
        <v>651</v>
      </c>
      <c r="D150" s="500" t="s">
        <v>652</v>
      </c>
      <c r="E150" s="501" t="s">
        <v>1394</v>
      </c>
      <c r="F150" s="461" t="s">
        <v>1394</v>
      </c>
      <c r="H150" s="623"/>
      <c r="I150" s="623"/>
    </row>
    <row r="151" spans="1:9" ht="11.25" customHeight="1">
      <c r="A151" s="458" t="s">
        <v>602</v>
      </c>
      <c r="B151" s="458" t="s">
        <v>602</v>
      </c>
      <c r="C151" s="499" t="s">
        <v>1405</v>
      </c>
      <c r="D151" s="500" t="s">
        <v>638</v>
      </c>
      <c r="E151" s="501" t="s">
        <v>954</v>
      </c>
      <c r="F151" s="461" t="s">
        <v>954</v>
      </c>
      <c r="H151" s="623"/>
      <c r="I151" s="623"/>
    </row>
    <row r="152" spans="1:9" ht="11.25" customHeight="1">
      <c r="A152" s="462" t="s">
        <v>939</v>
      </c>
      <c r="B152" s="462" t="s">
        <v>939</v>
      </c>
      <c r="C152" s="499" t="s">
        <v>653</v>
      </c>
      <c r="D152" s="500" t="s">
        <v>638</v>
      </c>
      <c r="E152" s="501" t="s">
        <v>954</v>
      </c>
      <c r="F152" s="461" t="s">
        <v>954</v>
      </c>
      <c r="H152" s="623"/>
      <c r="I152" s="623"/>
    </row>
    <row r="153" spans="1:9" ht="11.25" customHeight="1">
      <c r="A153" s="462" t="s">
        <v>603</v>
      </c>
      <c r="B153" s="462" t="s">
        <v>603</v>
      </c>
      <c r="C153" s="499" t="s">
        <v>653</v>
      </c>
      <c r="D153" s="500" t="s">
        <v>638</v>
      </c>
      <c r="E153" s="501" t="s">
        <v>954</v>
      </c>
      <c r="F153" s="461" t="s">
        <v>954</v>
      </c>
      <c r="H153" s="623"/>
      <c r="I153" s="623"/>
    </row>
    <row r="154" spans="1:9" ht="11.25" customHeight="1">
      <c r="A154" s="462" t="s">
        <v>605</v>
      </c>
      <c r="B154" s="462" t="s">
        <v>605</v>
      </c>
      <c r="C154" s="499" t="s">
        <v>653</v>
      </c>
      <c r="D154" s="500" t="s">
        <v>638</v>
      </c>
      <c r="E154" s="501" t="s">
        <v>954</v>
      </c>
      <c r="F154" s="461" t="s">
        <v>954</v>
      </c>
      <c r="H154" s="623"/>
      <c r="I154" s="623"/>
    </row>
    <row r="155" spans="1:9" ht="11.25" customHeight="1">
      <c r="A155" s="458" t="s">
        <v>481</v>
      </c>
      <c r="B155" s="458" t="s">
        <v>481</v>
      </c>
      <c r="C155" s="499" t="s">
        <v>653</v>
      </c>
      <c r="D155" s="500" t="s">
        <v>638</v>
      </c>
      <c r="E155" s="501" t="s">
        <v>954</v>
      </c>
      <c r="F155" s="461" t="s">
        <v>954</v>
      </c>
      <c r="H155" s="623"/>
      <c r="I155" s="623"/>
    </row>
    <row r="156" spans="1:9" ht="11.25" customHeight="1">
      <c r="A156" s="458" t="s">
        <v>482</v>
      </c>
      <c r="B156" s="458" t="s">
        <v>482</v>
      </c>
      <c r="C156" s="499" t="s">
        <v>651</v>
      </c>
      <c r="D156" s="500" t="s">
        <v>21</v>
      </c>
      <c r="E156" s="501">
        <v>18.496958233562776</v>
      </c>
      <c r="F156" s="461">
        <v>606.54196731661466</v>
      </c>
      <c r="H156" s="623"/>
      <c r="I156" s="623"/>
    </row>
    <row r="157" spans="1:9" ht="11.25" customHeight="1">
      <c r="A157" s="458" t="s">
        <v>483</v>
      </c>
      <c r="B157" s="458" t="s">
        <v>932</v>
      </c>
      <c r="C157" s="499" t="s">
        <v>651</v>
      </c>
      <c r="D157" s="500" t="s">
        <v>652</v>
      </c>
      <c r="E157" s="501">
        <v>106000</v>
      </c>
      <c r="F157" s="461">
        <v>106000</v>
      </c>
      <c r="H157" s="623"/>
      <c r="I157" s="623"/>
    </row>
    <row r="158" spans="1:9" ht="11.25" customHeight="1" thickBot="1">
      <c r="A158" s="516" t="s">
        <v>484</v>
      </c>
      <c r="B158" s="466" t="s">
        <v>484</v>
      </c>
      <c r="C158" s="625" t="s">
        <v>653</v>
      </c>
      <c r="D158" s="626" t="s">
        <v>638</v>
      </c>
      <c r="E158" s="627" t="s">
        <v>954</v>
      </c>
      <c r="F158" s="469" t="s">
        <v>954</v>
      </c>
      <c r="H158" s="623"/>
      <c r="I158" s="623"/>
    </row>
    <row r="159" spans="1:9" ht="11.25" customHeight="1" thickTop="1">
      <c r="B159" s="526" t="s">
        <v>488</v>
      </c>
      <c r="C159" s="628"/>
      <c r="D159" s="628"/>
      <c r="E159" s="472"/>
      <c r="F159" s="473"/>
    </row>
    <row r="160" spans="1:9" ht="22.5" customHeight="1">
      <c r="B160" s="1386" t="s">
        <v>908</v>
      </c>
      <c r="C160" s="1181"/>
      <c r="D160" s="1181"/>
      <c r="E160" s="1181"/>
      <c r="F160" s="1387"/>
    </row>
    <row r="161" spans="2:6" ht="11.25" customHeight="1">
      <c r="B161" s="479" t="s">
        <v>572</v>
      </c>
      <c r="F161" s="476"/>
    </row>
    <row r="162" spans="2:6" ht="11.25" customHeight="1">
      <c r="B162" s="479" t="s">
        <v>1042</v>
      </c>
      <c r="F162" s="476"/>
    </row>
    <row r="163" spans="2:6" ht="11.25" customHeight="1">
      <c r="B163" s="479" t="s">
        <v>804</v>
      </c>
      <c r="F163" s="476"/>
    </row>
    <row r="164" spans="2:6" ht="11.25" customHeight="1">
      <c r="B164" s="479" t="s">
        <v>513</v>
      </c>
      <c r="F164" s="476"/>
    </row>
    <row r="165" spans="2:6" ht="11.25" customHeight="1">
      <c r="B165" s="474" t="s">
        <v>805</v>
      </c>
      <c r="C165" s="510"/>
      <c r="D165" s="588"/>
      <c r="E165" s="629"/>
      <c r="F165" s="630"/>
    </row>
    <row r="166" spans="2:6" ht="11.25" customHeight="1">
      <c r="B166" s="474"/>
      <c r="C166" s="510"/>
      <c r="D166" s="588"/>
      <c r="E166" s="629"/>
      <c r="F166" s="630"/>
    </row>
    <row r="167" spans="2:6" ht="11.25" customHeight="1">
      <c r="B167" s="482" t="s">
        <v>1041</v>
      </c>
      <c r="C167" s="610"/>
      <c r="D167" s="588"/>
      <c r="E167" s="629"/>
      <c r="F167" s="630"/>
    </row>
    <row r="168" spans="2:6" ht="11.25" customHeight="1">
      <c r="B168" s="482" t="s">
        <v>806</v>
      </c>
      <c r="C168" s="610"/>
      <c r="D168" s="588"/>
      <c r="E168" s="629"/>
      <c r="F168" s="630"/>
    </row>
    <row r="169" spans="2:6" ht="11.25" customHeight="1">
      <c r="B169" s="479" t="s">
        <v>527</v>
      </c>
      <c r="C169" s="1"/>
      <c r="D169" s="588"/>
      <c r="E169" s="629"/>
      <c r="F169" s="630"/>
    </row>
    <row r="170" spans="2:6" ht="11.25" customHeight="1">
      <c r="B170" s="479" t="s">
        <v>933</v>
      </c>
      <c r="C170" s="1"/>
      <c r="D170" s="588"/>
      <c r="E170" s="629"/>
      <c r="F170" s="630"/>
    </row>
    <row r="171" spans="2:6" ht="11.25" customHeight="1">
      <c r="B171" s="479" t="s">
        <v>845</v>
      </c>
      <c r="C171" s="1"/>
      <c r="D171" s="588"/>
      <c r="E171" s="629"/>
      <c r="F171" s="630"/>
    </row>
    <row r="172" spans="2:6" ht="11.25" customHeight="1">
      <c r="B172" s="631" t="s">
        <v>497</v>
      </c>
      <c r="C172" s="632"/>
      <c r="D172" s="588"/>
      <c r="E172" s="629"/>
      <c r="F172" s="630"/>
    </row>
    <row r="173" spans="2:6" ht="11.25" customHeight="1">
      <c r="B173" s="631" t="s">
        <v>699</v>
      </c>
      <c r="C173" s="632"/>
      <c r="D173" s="588"/>
      <c r="E173" s="629"/>
      <c r="F173" s="630"/>
    </row>
    <row r="174" spans="2:6" ht="11.25" customHeight="1">
      <c r="B174" s="631" t="s">
        <v>514</v>
      </c>
      <c r="C174" s="632"/>
      <c r="D174" s="588"/>
      <c r="E174" s="629"/>
      <c r="F174" s="630"/>
    </row>
    <row r="175" spans="2:6" ht="11.25" customHeight="1" thickBot="1">
      <c r="B175" s="5"/>
      <c r="C175" s="487"/>
      <c r="D175" s="633"/>
      <c r="E175" s="634"/>
      <c r="F175" s="635"/>
    </row>
    <row r="176" spans="2:6" ht="13.15" thickTop="1">
      <c r="D176" s="2"/>
      <c r="E176" s="629"/>
      <c r="F176" s="629"/>
    </row>
    <row r="177" spans="2:6">
      <c r="B177" s="3"/>
      <c r="C177" s="3"/>
      <c r="D177" s="2"/>
      <c r="E177" s="629"/>
      <c r="F177" s="629"/>
    </row>
    <row r="178" spans="2:6">
      <c r="B178" s="2"/>
      <c r="C178" s="2"/>
      <c r="D178" s="2"/>
      <c r="E178" s="629"/>
      <c r="F178" s="629"/>
    </row>
    <row r="179" spans="2:6">
      <c r="B179" s="2"/>
      <c r="C179" s="2"/>
      <c r="D179" s="2"/>
      <c r="E179" s="629"/>
      <c r="F179" s="629"/>
    </row>
    <row r="180" spans="2:6">
      <c r="B180" s="2"/>
      <c r="C180" s="2"/>
      <c r="D180" s="2"/>
      <c r="E180" s="629"/>
      <c r="F180" s="629"/>
    </row>
    <row r="181" spans="2:6">
      <c r="B181" s="2"/>
      <c r="C181" s="2"/>
      <c r="D181" s="2"/>
      <c r="E181" s="629"/>
      <c r="F181" s="629"/>
    </row>
    <row r="182" spans="2:6">
      <c r="B182" s="2"/>
      <c r="C182" s="2"/>
      <c r="D182" s="2"/>
      <c r="E182" s="629"/>
      <c r="F182" s="629"/>
    </row>
    <row r="183" spans="2:6">
      <c r="B183" s="2"/>
      <c r="C183" s="2"/>
      <c r="D183" s="2"/>
      <c r="E183" s="629"/>
      <c r="F183" s="629"/>
    </row>
    <row r="184" spans="2:6">
      <c r="B184" s="2"/>
      <c r="C184" s="2"/>
      <c r="D184" s="2"/>
      <c r="E184" s="629"/>
      <c r="F184" s="629"/>
    </row>
    <row r="185" spans="2:6">
      <c r="B185" s="2"/>
      <c r="C185" s="2"/>
      <c r="D185" s="2"/>
      <c r="E185" s="629"/>
      <c r="F185" s="629"/>
    </row>
    <row r="186" spans="2:6">
      <c r="B186" s="2"/>
      <c r="C186" s="2"/>
      <c r="D186" s="2"/>
      <c r="E186" s="629"/>
      <c r="F186" s="629"/>
    </row>
    <row r="187" spans="2:6">
      <c r="B187" s="2"/>
      <c r="C187" s="2"/>
      <c r="D187" s="2"/>
      <c r="E187" s="629"/>
      <c r="F187" s="629"/>
    </row>
    <row r="188" spans="2:6">
      <c r="B188" s="2"/>
      <c r="C188" s="2"/>
      <c r="D188" s="2"/>
      <c r="E188" s="629"/>
      <c r="F188" s="629"/>
    </row>
    <row r="189" spans="2:6">
      <c r="B189" s="2"/>
      <c r="C189" s="2"/>
      <c r="D189" s="2"/>
      <c r="E189" s="629"/>
      <c r="F189" s="629"/>
    </row>
    <row r="190" spans="2:6">
      <c r="B190" s="2"/>
      <c r="C190" s="2"/>
      <c r="D190" s="2"/>
      <c r="E190" s="629"/>
      <c r="F190" s="629"/>
    </row>
    <row r="191" spans="2:6">
      <c r="B191" s="2"/>
      <c r="C191" s="2"/>
      <c r="D191" s="2"/>
      <c r="E191" s="629"/>
      <c r="F191" s="629"/>
    </row>
    <row r="192" spans="2:6">
      <c r="B192" s="2"/>
      <c r="C192" s="2"/>
      <c r="D192" s="2"/>
      <c r="E192" s="629"/>
      <c r="F192" s="629"/>
    </row>
    <row r="193" spans="2:6">
      <c r="B193" s="2"/>
      <c r="C193" s="2"/>
      <c r="D193" s="2"/>
      <c r="E193" s="629"/>
      <c r="F193" s="629"/>
    </row>
    <row r="194" spans="2:6">
      <c r="B194" s="2"/>
      <c r="C194" s="2"/>
      <c r="D194" s="2"/>
      <c r="E194" s="629"/>
      <c r="F194" s="629"/>
    </row>
    <row r="195" spans="2:6">
      <c r="B195" s="2"/>
      <c r="C195" s="2"/>
      <c r="D195" s="2"/>
      <c r="E195" s="629"/>
      <c r="F195" s="629"/>
    </row>
    <row r="196" spans="2:6">
      <c r="B196" s="2"/>
      <c r="C196" s="2"/>
      <c r="D196" s="2"/>
      <c r="E196" s="629"/>
      <c r="F196" s="629"/>
    </row>
    <row r="197" spans="2:6">
      <c r="B197" s="2"/>
      <c r="C197" s="2"/>
      <c r="D197" s="2"/>
      <c r="E197" s="629"/>
      <c r="F197" s="629"/>
    </row>
    <row r="198" spans="2:6">
      <c r="B198" s="2"/>
      <c r="C198" s="2"/>
      <c r="D198" s="2"/>
      <c r="E198" s="629"/>
      <c r="F198" s="629"/>
    </row>
    <row r="199" spans="2:6">
      <c r="B199" s="2"/>
      <c r="C199" s="2"/>
      <c r="D199" s="2"/>
      <c r="E199" s="629"/>
      <c r="F199" s="629"/>
    </row>
    <row r="200" spans="2:6">
      <c r="B200" s="2"/>
      <c r="C200" s="2"/>
      <c r="D200" s="2"/>
      <c r="E200" s="629"/>
      <c r="F200" s="629"/>
    </row>
    <row r="201" spans="2:6">
      <c r="B201" s="2"/>
      <c r="C201" s="2"/>
      <c r="D201" s="2"/>
      <c r="E201" s="629"/>
      <c r="F201" s="629"/>
    </row>
    <row r="202" spans="2:6">
      <c r="B202" s="2"/>
      <c r="C202" s="2"/>
      <c r="D202" s="2"/>
      <c r="E202" s="629"/>
      <c r="F202" s="629"/>
    </row>
    <row r="203" spans="2:6">
      <c r="B203" s="2"/>
      <c r="C203" s="2"/>
      <c r="D203" s="2"/>
      <c r="E203" s="629"/>
      <c r="F203" s="629"/>
    </row>
    <row r="204" spans="2:6">
      <c r="B204" s="2"/>
      <c r="C204" s="2"/>
      <c r="D204" s="2"/>
      <c r="E204" s="629"/>
      <c r="F204" s="629"/>
    </row>
    <row r="205" spans="2:6">
      <c r="B205" s="2"/>
      <c r="C205" s="2"/>
      <c r="D205" s="2"/>
      <c r="E205" s="629"/>
      <c r="F205" s="629"/>
    </row>
    <row r="206" spans="2:6">
      <c r="B206" s="2"/>
      <c r="C206" s="2"/>
      <c r="D206" s="2"/>
      <c r="E206" s="629"/>
      <c r="F206" s="629"/>
    </row>
    <row r="207" spans="2:6">
      <c r="B207" s="2"/>
      <c r="C207" s="2"/>
      <c r="D207" s="2"/>
      <c r="E207" s="629"/>
      <c r="F207" s="629"/>
    </row>
    <row r="208" spans="2:6">
      <c r="B208" s="2"/>
      <c r="C208" s="2"/>
      <c r="D208" s="2"/>
      <c r="E208" s="629"/>
      <c r="F208" s="629"/>
    </row>
    <row r="209" spans="2:6">
      <c r="B209" s="2"/>
      <c r="C209" s="2"/>
      <c r="D209" s="2"/>
      <c r="E209" s="629"/>
      <c r="F209" s="629"/>
    </row>
    <row r="210" spans="2:6">
      <c r="B210" s="2"/>
      <c r="C210" s="2"/>
      <c r="D210" s="2"/>
      <c r="E210" s="629"/>
      <c r="F210" s="629"/>
    </row>
    <row r="211" spans="2:6">
      <c r="B211" s="2"/>
      <c r="C211" s="2"/>
      <c r="D211" s="2"/>
      <c r="E211" s="629"/>
      <c r="F211" s="629"/>
    </row>
    <row r="212" spans="2:6">
      <c r="B212" s="2"/>
      <c r="C212" s="2"/>
      <c r="D212" s="2"/>
      <c r="E212" s="629"/>
      <c r="F212" s="629"/>
    </row>
    <row r="213" spans="2:6">
      <c r="B213" s="2"/>
      <c r="C213" s="2"/>
      <c r="D213" s="2"/>
      <c r="E213" s="629"/>
      <c r="F213" s="629"/>
    </row>
    <row r="214" spans="2:6">
      <c r="B214" s="2"/>
      <c r="C214" s="2"/>
      <c r="D214" s="2"/>
      <c r="E214" s="629"/>
      <c r="F214" s="629"/>
    </row>
    <row r="215" spans="2:6">
      <c r="B215" s="2"/>
      <c r="C215" s="2"/>
      <c r="D215" s="2"/>
      <c r="E215" s="629"/>
      <c r="F215" s="629"/>
    </row>
    <row r="216" spans="2:6">
      <c r="B216" s="2"/>
      <c r="C216" s="2"/>
      <c r="D216" s="2"/>
      <c r="E216" s="629"/>
      <c r="F216" s="629"/>
    </row>
    <row r="217" spans="2:6">
      <c r="B217" s="2"/>
      <c r="C217" s="2"/>
      <c r="D217" s="2"/>
      <c r="E217" s="629"/>
      <c r="F217" s="629"/>
    </row>
    <row r="218" spans="2:6">
      <c r="B218" s="2"/>
      <c r="C218" s="2"/>
      <c r="D218" s="2"/>
      <c r="E218" s="629"/>
      <c r="F218" s="629"/>
    </row>
    <row r="219" spans="2:6">
      <c r="B219" s="2"/>
      <c r="C219" s="2"/>
      <c r="D219" s="2"/>
      <c r="E219" s="629"/>
      <c r="F219" s="629"/>
    </row>
    <row r="220" spans="2:6">
      <c r="B220" s="2"/>
      <c r="C220" s="2"/>
      <c r="D220" s="2"/>
      <c r="E220" s="629"/>
      <c r="F220" s="629"/>
    </row>
    <row r="221" spans="2:6">
      <c r="B221" s="2"/>
      <c r="C221" s="2"/>
      <c r="D221" s="2"/>
      <c r="E221" s="629"/>
      <c r="F221" s="629"/>
    </row>
    <row r="222" spans="2:6">
      <c r="B222" s="2"/>
      <c r="C222" s="2"/>
      <c r="D222" s="2"/>
      <c r="E222" s="629"/>
      <c r="F222" s="629"/>
    </row>
    <row r="223" spans="2:6">
      <c r="B223" s="2"/>
      <c r="C223" s="2"/>
      <c r="D223" s="2"/>
      <c r="E223" s="629"/>
      <c r="F223" s="629"/>
    </row>
    <row r="224" spans="2:6">
      <c r="B224" s="2"/>
      <c r="C224" s="2"/>
      <c r="D224" s="2"/>
      <c r="E224" s="629"/>
      <c r="F224" s="629"/>
    </row>
    <row r="225" spans="2:6">
      <c r="B225" s="2"/>
      <c r="C225" s="2"/>
      <c r="D225" s="2"/>
      <c r="E225" s="629"/>
      <c r="F225" s="629"/>
    </row>
    <row r="226" spans="2:6">
      <c r="B226" s="2"/>
      <c r="C226" s="2"/>
      <c r="D226" s="2"/>
      <c r="E226" s="629"/>
      <c r="F226" s="629"/>
    </row>
    <row r="227" spans="2:6">
      <c r="B227" s="2"/>
      <c r="C227" s="2"/>
      <c r="D227" s="2"/>
      <c r="E227" s="629"/>
      <c r="F227" s="629"/>
    </row>
    <row r="228" spans="2:6">
      <c r="B228" s="2"/>
      <c r="C228" s="2"/>
      <c r="D228" s="2"/>
      <c r="E228" s="629"/>
      <c r="F228" s="629"/>
    </row>
    <row r="229" spans="2:6">
      <c r="B229" s="2"/>
      <c r="C229" s="2"/>
      <c r="D229" s="2"/>
      <c r="E229" s="629"/>
      <c r="F229" s="629"/>
    </row>
    <row r="230" spans="2:6">
      <c r="B230" s="2"/>
      <c r="C230" s="2"/>
      <c r="D230" s="2"/>
      <c r="E230" s="629"/>
      <c r="F230" s="629"/>
    </row>
    <row r="231" spans="2:6">
      <c r="B231" s="2"/>
      <c r="C231" s="2"/>
      <c r="D231" s="2"/>
      <c r="E231" s="629"/>
      <c r="F231" s="629"/>
    </row>
    <row r="232" spans="2:6">
      <c r="B232" s="2"/>
      <c r="C232" s="2"/>
      <c r="D232" s="2"/>
      <c r="E232" s="629"/>
      <c r="F232" s="629"/>
    </row>
    <row r="233" spans="2:6">
      <c r="B233" s="2"/>
      <c r="C233" s="2"/>
      <c r="D233" s="2"/>
      <c r="E233" s="629"/>
      <c r="F233" s="629"/>
    </row>
    <row r="234" spans="2:6">
      <c r="B234" s="2"/>
      <c r="C234" s="2"/>
      <c r="D234" s="2"/>
      <c r="E234" s="629"/>
      <c r="F234" s="629"/>
    </row>
    <row r="235" spans="2:6">
      <c r="B235" s="2"/>
      <c r="C235" s="2"/>
      <c r="D235" s="2"/>
      <c r="E235" s="629"/>
      <c r="F235" s="629"/>
    </row>
    <row r="236" spans="2:6">
      <c r="B236" s="2"/>
      <c r="C236" s="2"/>
      <c r="D236" s="2"/>
      <c r="E236" s="629"/>
      <c r="F236" s="629"/>
    </row>
    <row r="237" spans="2:6">
      <c r="B237" s="2"/>
      <c r="C237" s="2"/>
      <c r="D237" s="2"/>
      <c r="E237" s="629"/>
      <c r="F237" s="629"/>
    </row>
    <row r="238" spans="2:6">
      <c r="B238" s="2"/>
      <c r="C238" s="2"/>
      <c r="D238" s="2"/>
      <c r="E238" s="629"/>
      <c r="F238" s="629"/>
    </row>
    <row r="239" spans="2:6">
      <c r="B239" s="2"/>
      <c r="C239" s="2"/>
      <c r="D239" s="2"/>
      <c r="E239" s="629"/>
      <c r="F239" s="629"/>
    </row>
    <row r="240" spans="2:6">
      <c r="B240" s="2"/>
      <c r="C240" s="2"/>
      <c r="D240" s="2"/>
      <c r="E240" s="629"/>
      <c r="F240" s="629"/>
    </row>
    <row r="241" spans="2:6">
      <c r="B241" s="2"/>
      <c r="C241" s="2"/>
      <c r="D241" s="2"/>
      <c r="E241" s="629"/>
      <c r="F241" s="629"/>
    </row>
    <row r="242" spans="2:6">
      <c r="B242" s="2"/>
      <c r="C242" s="2"/>
      <c r="D242" s="2"/>
      <c r="E242" s="629"/>
      <c r="F242" s="629"/>
    </row>
    <row r="243" spans="2:6">
      <c r="B243" s="2"/>
      <c r="C243" s="2"/>
      <c r="D243" s="2"/>
      <c r="E243" s="629"/>
      <c r="F243" s="629"/>
    </row>
    <row r="244" spans="2:6">
      <c r="B244" s="2"/>
      <c r="C244" s="2"/>
      <c r="D244" s="2"/>
      <c r="E244" s="629"/>
      <c r="F244" s="629"/>
    </row>
    <row r="245" spans="2:6">
      <c r="B245" s="2"/>
      <c r="C245" s="2"/>
      <c r="D245" s="2"/>
      <c r="E245" s="629"/>
      <c r="F245" s="629"/>
    </row>
    <row r="246" spans="2:6">
      <c r="B246" s="2"/>
      <c r="C246" s="2"/>
      <c r="D246" s="2"/>
      <c r="E246" s="629"/>
      <c r="F246" s="629"/>
    </row>
    <row r="247" spans="2:6">
      <c r="B247" s="2"/>
      <c r="C247" s="2"/>
      <c r="D247" s="2"/>
      <c r="E247" s="629"/>
      <c r="F247" s="629"/>
    </row>
    <row r="248" spans="2:6">
      <c r="B248" s="2"/>
      <c r="C248" s="2"/>
      <c r="D248" s="2"/>
      <c r="E248" s="629"/>
      <c r="F248" s="629"/>
    </row>
    <row r="249" spans="2:6">
      <c r="B249" s="2"/>
      <c r="C249" s="2"/>
      <c r="D249" s="2"/>
      <c r="E249" s="629"/>
      <c r="F249" s="629"/>
    </row>
    <row r="250" spans="2:6">
      <c r="B250" s="2"/>
      <c r="C250" s="2"/>
      <c r="D250" s="2"/>
      <c r="E250" s="629"/>
      <c r="F250" s="629"/>
    </row>
    <row r="251" spans="2:6">
      <c r="B251" s="2"/>
      <c r="C251" s="2"/>
      <c r="D251" s="2"/>
      <c r="E251" s="629"/>
      <c r="F251" s="629"/>
    </row>
    <row r="252" spans="2:6">
      <c r="B252" s="2"/>
      <c r="C252" s="2"/>
      <c r="D252" s="2"/>
      <c r="E252" s="629"/>
      <c r="F252" s="629"/>
    </row>
    <row r="253" spans="2:6">
      <c r="B253" s="2"/>
      <c r="C253" s="2"/>
      <c r="D253" s="2"/>
      <c r="E253" s="629"/>
      <c r="F253" s="629"/>
    </row>
  </sheetData>
  <sheetProtection algorithmName="SHA-512" hashValue="gMD3Ile5hpbKPJy3mZBidJl9cEXcqClLgoonbb+YS+IOxqHkGaALjCx66nHt6WHiIRG0n7Imts5FQvFAzINUWw==" saltValue="qJEl+qD842CeXwf0sZTrcA==" spinCount="100000" sheet="1" objects="1" scenarios="1"/>
  <mergeCells count="3">
    <mergeCell ref="C3:D3"/>
    <mergeCell ref="C4:D4"/>
    <mergeCell ref="B160:F160"/>
  </mergeCells>
  <phoneticPr fontId="0" type="noConversion"/>
  <printOptions horizontalCentered="1"/>
  <pageMargins left="0.92" right="0.41" top="0.53" bottom="1" header="0.5" footer="0.5"/>
  <pageSetup scale="94" fitToHeight="4" orientation="portrait" r:id="rId1"/>
  <headerFooter alignWithMargins="0">
    <oddFooter>&amp;LHawai'i DOH
Spring 2024&amp;C&amp;8Page &amp;P of &amp;N&amp;R&amp;A</oddFooter>
  </headerFooter>
  <rowBreaks count="1" manualBreakCount="1">
    <brk id="15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29"/>
  </sheetPr>
  <dimension ref="A1:I248"/>
  <sheetViews>
    <sheetView topLeftCell="B1" zoomScaleNormal="100" workbookViewId="0">
      <pane ySplit="2610" topLeftCell="A5" activePane="bottomLeft"/>
      <selection activeCell="B7" sqref="B7"/>
      <selection pane="bottomLeft" activeCell="B7" sqref="B7"/>
    </sheetView>
  </sheetViews>
  <sheetFormatPr defaultColWidth="9.1328125" defaultRowHeight="10.15"/>
  <cols>
    <col min="1" max="1" width="9.1328125" style="3" hidden="1" customWidth="1"/>
    <col min="2" max="2" width="40.73046875" style="518" customWidth="1"/>
    <col min="3" max="4" width="3.73046875" style="518" customWidth="1"/>
    <col min="5" max="6" width="20.73046875" style="475" customWidth="1"/>
    <col min="7" max="7" width="9.1328125" style="3"/>
    <col min="8" max="9" width="9.1328125" style="615"/>
    <col min="10" max="16384" width="9.1328125" style="3"/>
  </cols>
  <sheetData>
    <row r="1" spans="1:9" ht="60">
      <c r="B1" s="6" t="s">
        <v>577</v>
      </c>
      <c r="C1" s="6"/>
      <c r="D1" s="614"/>
      <c r="E1" s="530"/>
      <c r="F1" s="530"/>
    </row>
    <row r="2" spans="1:9" ht="10.5" thickBot="1"/>
    <row r="3" spans="1:9" ht="31.15" thickTop="1" thickBot="1">
      <c r="A3" s="616" t="s">
        <v>596</v>
      </c>
      <c r="B3" s="636"/>
      <c r="C3" s="1412" t="s">
        <v>633</v>
      </c>
      <c r="D3" s="1413"/>
      <c r="E3" s="490" t="s">
        <v>912</v>
      </c>
      <c r="F3" s="618" t="s">
        <v>911</v>
      </c>
    </row>
    <row r="4" spans="1:9" s="624" customFormat="1" ht="13.15" thickBot="1">
      <c r="A4" s="619" t="s">
        <v>597</v>
      </c>
      <c r="B4" s="637" t="s">
        <v>232</v>
      </c>
      <c r="C4" s="1414" t="s">
        <v>643</v>
      </c>
      <c r="D4" s="1415"/>
      <c r="E4" s="621" t="s">
        <v>897</v>
      </c>
      <c r="F4" s="622" t="s">
        <v>897</v>
      </c>
      <c r="H4" s="623"/>
      <c r="I4" s="623"/>
    </row>
    <row r="5" spans="1:9" s="624" customFormat="1" ht="11.25" customHeight="1">
      <c r="A5" s="454" t="s">
        <v>548</v>
      </c>
      <c r="B5" s="454" t="s">
        <v>921</v>
      </c>
      <c r="C5" s="495" t="s">
        <v>651</v>
      </c>
      <c r="D5" s="496" t="s">
        <v>638</v>
      </c>
      <c r="E5" s="497">
        <v>118.02725999999998</v>
      </c>
      <c r="F5" s="457">
        <v>118.02725999999998</v>
      </c>
      <c r="H5" s="623"/>
      <c r="I5" s="623"/>
    </row>
    <row r="6" spans="1:9" s="624" customFormat="1" ht="11.25" customHeight="1">
      <c r="A6" s="458" t="s">
        <v>549</v>
      </c>
      <c r="B6" s="458" t="s">
        <v>549</v>
      </c>
      <c r="C6" s="499" t="s">
        <v>651</v>
      </c>
      <c r="D6" s="500" t="s">
        <v>638</v>
      </c>
      <c r="E6" s="501" t="s">
        <v>1394</v>
      </c>
      <c r="F6" s="461" t="s">
        <v>1394</v>
      </c>
      <c r="H6" s="623"/>
      <c r="I6" s="623"/>
    </row>
    <row r="7" spans="1:9" s="624" customFormat="1" ht="11.25" customHeight="1">
      <c r="A7" s="458" t="s">
        <v>550</v>
      </c>
      <c r="B7" s="458" t="s">
        <v>922</v>
      </c>
      <c r="C7" s="499" t="s">
        <v>651</v>
      </c>
      <c r="D7" s="500" t="s">
        <v>652</v>
      </c>
      <c r="E7" s="501">
        <v>1420.3494838238926</v>
      </c>
      <c r="F7" s="461">
        <v>11466.015537026637</v>
      </c>
      <c r="H7" s="623"/>
      <c r="I7" s="623"/>
    </row>
    <row r="8" spans="1:9" s="624" customFormat="1" ht="11.25" customHeight="1">
      <c r="A8" s="458" t="s">
        <v>551</v>
      </c>
      <c r="B8" s="458" t="s">
        <v>551</v>
      </c>
      <c r="C8" s="499" t="s">
        <v>1405</v>
      </c>
      <c r="D8" s="500" t="s">
        <v>638</v>
      </c>
      <c r="E8" s="501" t="s">
        <v>954</v>
      </c>
      <c r="F8" s="461" t="s">
        <v>954</v>
      </c>
      <c r="H8" s="623"/>
      <c r="I8" s="623"/>
    </row>
    <row r="9" spans="1:9" s="624" customFormat="1" ht="11.25" customHeight="1">
      <c r="A9" s="458" t="s">
        <v>161</v>
      </c>
      <c r="B9" s="458" t="s">
        <v>161</v>
      </c>
      <c r="C9" s="499" t="s">
        <v>653</v>
      </c>
      <c r="D9" s="500" t="s">
        <v>638</v>
      </c>
      <c r="E9" s="501" t="s">
        <v>954</v>
      </c>
      <c r="F9" s="461" t="s">
        <v>954</v>
      </c>
      <c r="H9" s="623"/>
      <c r="I9" s="623"/>
    </row>
    <row r="10" spans="1:9" s="624" customFormat="1" ht="11.25" customHeight="1">
      <c r="A10" s="462" t="s">
        <v>162</v>
      </c>
      <c r="B10" s="462" t="s">
        <v>162</v>
      </c>
      <c r="C10" s="499" t="s">
        <v>653</v>
      </c>
      <c r="D10" s="500" t="s">
        <v>638</v>
      </c>
      <c r="E10" s="501" t="s">
        <v>954</v>
      </c>
      <c r="F10" s="461" t="s">
        <v>954</v>
      </c>
      <c r="H10" s="623"/>
      <c r="I10" s="623"/>
    </row>
    <row r="11" spans="1:9" s="624" customFormat="1" ht="11.25" customHeight="1">
      <c r="A11" s="462" t="s">
        <v>94</v>
      </c>
      <c r="B11" s="462" t="s">
        <v>94</v>
      </c>
      <c r="C11" s="499" t="s">
        <v>653</v>
      </c>
      <c r="D11" s="500" t="s">
        <v>638</v>
      </c>
      <c r="E11" s="501" t="s">
        <v>954</v>
      </c>
      <c r="F11" s="461" t="s">
        <v>954</v>
      </c>
      <c r="H11" s="623"/>
      <c r="I11" s="623"/>
    </row>
    <row r="12" spans="1:9" s="624" customFormat="1" ht="11.25" customHeight="1">
      <c r="A12" s="458" t="s">
        <v>552</v>
      </c>
      <c r="B12" s="458" t="s">
        <v>923</v>
      </c>
      <c r="C12" s="499" t="s">
        <v>651</v>
      </c>
      <c r="D12" s="500" t="s">
        <v>638</v>
      </c>
      <c r="E12" s="501">
        <v>4.2251984613333331</v>
      </c>
      <c r="F12" s="461">
        <v>4.2251984613333331</v>
      </c>
      <c r="H12" s="623"/>
      <c r="I12" s="623"/>
    </row>
    <row r="13" spans="1:9" s="624" customFormat="1" ht="11.25" customHeight="1">
      <c r="A13" s="458" t="s">
        <v>553</v>
      </c>
      <c r="B13" s="458" t="s">
        <v>553</v>
      </c>
      <c r="C13" s="499" t="s">
        <v>653</v>
      </c>
      <c r="D13" s="500" t="s">
        <v>638</v>
      </c>
      <c r="E13" s="501" t="s">
        <v>954</v>
      </c>
      <c r="F13" s="461" t="s">
        <v>954</v>
      </c>
      <c r="H13" s="623"/>
      <c r="I13" s="623"/>
    </row>
    <row r="14" spans="1:9" s="624" customFormat="1" ht="11.25" customHeight="1">
      <c r="A14" s="458" t="s">
        <v>686</v>
      </c>
      <c r="B14" s="458" t="s">
        <v>686</v>
      </c>
      <c r="C14" s="499" t="s">
        <v>653</v>
      </c>
      <c r="D14" s="500" t="s">
        <v>638</v>
      </c>
      <c r="E14" s="501" t="s">
        <v>954</v>
      </c>
      <c r="F14" s="461" t="s">
        <v>954</v>
      </c>
      <c r="H14" s="623"/>
      <c r="I14" s="623"/>
    </row>
    <row r="15" spans="1:9" s="624" customFormat="1" ht="11.25" customHeight="1">
      <c r="A15" s="458" t="s">
        <v>95</v>
      </c>
      <c r="B15" s="458" t="s">
        <v>95</v>
      </c>
      <c r="C15" s="499" t="s">
        <v>653</v>
      </c>
      <c r="D15" s="500" t="s">
        <v>638</v>
      </c>
      <c r="E15" s="501" t="s">
        <v>954</v>
      </c>
      <c r="F15" s="461" t="s">
        <v>954</v>
      </c>
      <c r="H15" s="623"/>
      <c r="I15" s="623"/>
    </row>
    <row r="16" spans="1:9" s="624" customFormat="1" ht="11.25" customHeight="1">
      <c r="A16" s="458" t="s">
        <v>687</v>
      </c>
      <c r="B16" s="458" t="s">
        <v>687</v>
      </c>
      <c r="C16" s="499" t="s">
        <v>653</v>
      </c>
      <c r="D16" s="500" t="s">
        <v>638</v>
      </c>
      <c r="E16" s="501" t="s">
        <v>954</v>
      </c>
      <c r="F16" s="461" t="s">
        <v>954</v>
      </c>
      <c r="H16" s="623"/>
      <c r="I16" s="623"/>
    </row>
    <row r="17" spans="1:9" s="624" customFormat="1" ht="11.25" customHeight="1">
      <c r="A17" s="458" t="s">
        <v>1156</v>
      </c>
      <c r="B17" s="458" t="s">
        <v>1156</v>
      </c>
      <c r="C17" s="499" t="s">
        <v>653</v>
      </c>
      <c r="D17" s="500" t="s">
        <v>638</v>
      </c>
      <c r="E17" s="501" t="s">
        <v>954</v>
      </c>
      <c r="F17" s="461" t="s">
        <v>954</v>
      </c>
      <c r="H17" s="623"/>
      <c r="I17" s="623"/>
    </row>
    <row r="18" spans="1:9" s="624" customFormat="1" ht="11.25" customHeight="1">
      <c r="A18" s="458" t="s">
        <v>688</v>
      </c>
      <c r="B18" s="458" t="s">
        <v>924</v>
      </c>
      <c r="C18" s="499" t="s">
        <v>651</v>
      </c>
      <c r="D18" s="500" t="s">
        <v>652</v>
      </c>
      <c r="E18" s="501">
        <v>0.76939408284023669</v>
      </c>
      <c r="F18" s="461">
        <v>5.6011889230769238</v>
      </c>
      <c r="H18" s="623"/>
      <c r="I18" s="623"/>
    </row>
    <row r="19" spans="1:9" s="624" customFormat="1" ht="11.25" customHeight="1">
      <c r="A19" s="458" t="s">
        <v>689</v>
      </c>
      <c r="B19" s="458" t="s">
        <v>689</v>
      </c>
      <c r="C19" s="499" t="s">
        <v>1405</v>
      </c>
      <c r="D19" s="500" t="s">
        <v>638</v>
      </c>
      <c r="E19" s="501" t="s">
        <v>954</v>
      </c>
      <c r="F19" s="461" t="s">
        <v>954</v>
      </c>
      <c r="H19" s="623"/>
      <c r="I19" s="623"/>
    </row>
    <row r="20" spans="1:9" s="624" customFormat="1" ht="11.25" customHeight="1">
      <c r="A20" s="458" t="s">
        <v>690</v>
      </c>
      <c r="B20" s="458" t="s">
        <v>690</v>
      </c>
      <c r="C20" s="499" t="s">
        <v>653</v>
      </c>
      <c r="D20" s="500" t="s">
        <v>638</v>
      </c>
      <c r="E20" s="501" t="s">
        <v>954</v>
      </c>
      <c r="F20" s="461" t="s">
        <v>954</v>
      </c>
      <c r="H20" s="623"/>
      <c r="I20" s="623"/>
    </row>
    <row r="21" spans="1:9" s="624" customFormat="1" ht="11.25" customHeight="1">
      <c r="A21" s="458" t="s">
        <v>691</v>
      </c>
      <c r="B21" s="458" t="s">
        <v>691</v>
      </c>
      <c r="C21" s="499" t="s">
        <v>653</v>
      </c>
      <c r="D21" s="500" t="s">
        <v>638</v>
      </c>
      <c r="E21" s="501" t="s">
        <v>954</v>
      </c>
      <c r="F21" s="461" t="s">
        <v>954</v>
      </c>
      <c r="H21" s="623"/>
      <c r="I21" s="623"/>
    </row>
    <row r="22" spans="1:9" s="624" customFormat="1" ht="11.25" customHeight="1">
      <c r="A22" s="458" t="s">
        <v>692</v>
      </c>
      <c r="B22" s="458" t="s">
        <v>692</v>
      </c>
      <c r="C22" s="499" t="s">
        <v>653</v>
      </c>
      <c r="D22" s="500" t="s">
        <v>638</v>
      </c>
      <c r="E22" s="501" t="s">
        <v>954</v>
      </c>
      <c r="F22" s="461" t="s">
        <v>954</v>
      </c>
      <c r="H22" s="623"/>
      <c r="I22" s="623"/>
    </row>
    <row r="23" spans="1:9" s="624" customFormat="1" ht="11.25" customHeight="1">
      <c r="A23" s="458" t="s">
        <v>693</v>
      </c>
      <c r="B23" s="458" t="s">
        <v>693</v>
      </c>
      <c r="C23" s="499" t="s">
        <v>653</v>
      </c>
      <c r="D23" s="500" t="s">
        <v>638</v>
      </c>
      <c r="E23" s="501" t="s">
        <v>954</v>
      </c>
      <c r="F23" s="461" t="s">
        <v>954</v>
      </c>
      <c r="H23" s="623"/>
      <c r="I23" s="623"/>
    </row>
    <row r="24" spans="1:9" s="624" customFormat="1" ht="11.25" customHeight="1">
      <c r="A24" s="458" t="s">
        <v>126</v>
      </c>
      <c r="B24" s="458" t="s">
        <v>126</v>
      </c>
      <c r="C24" s="499" t="s">
        <v>653</v>
      </c>
      <c r="D24" s="500" t="s">
        <v>638</v>
      </c>
      <c r="E24" s="501" t="s">
        <v>954</v>
      </c>
      <c r="F24" s="461" t="s">
        <v>954</v>
      </c>
      <c r="H24" s="623"/>
      <c r="I24" s="623"/>
    </row>
    <row r="25" spans="1:9" s="624" customFormat="1" ht="11.25" customHeight="1">
      <c r="A25" s="458" t="s">
        <v>233</v>
      </c>
      <c r="B25" s="458" t="s">
        <v>233</v>
      </c>
      <c r="C25" s="499" t="s">
        <v>651</v>
      </c>
      <c r="D25" s="500" t="s">
        <v>638</v>
      </c>
      <c r="E25" s="501" t="s">
        <v>1394</v>
      </c>
      <c r="F25" s="461" t="s">
        <v>1394</v>
      </c>
      <c r="H25" s="623"/>
      <c r="I25" s="623"/>
    </row>
    <row r="26" spans="1:9" s="624" customFormat="1" ht="11.25" customHeight="1">
      <c r="A26" s="458" t="s">
        <v>127</v>
      </c>
      <c r="B26" s="458" t="s">
        <v>127</v>
      </c>
      <c r="C26" s="499" t="s">
        <v>651</v>
      </c>
      <c r="D26" s="500" t="s">
        <v>652</v>
      </c>
      <c r="E26" s="501">
        <v>7.8962365734984701E-3</v>
      </c>
      <c r="F26" s="461">
        <v>6.7413402610592685E-2</v>
      </c>
      <c r="H26" s="623"/>
      <c r="I26" s="623"/>
    </row>
    <row r="27" spans="1:9" s="624" customFormat="1" ht="11.25" customHeight="1">
      <c r="A27" s="1" t="s">
        <v>1103</v>
      </c>
      <c r="B27" s="503" t="s">
        <v>1103</v>
      </c>
      <c r="C27" s="499" t="s">
        <v>651</v>
      </c>
      <c r="D27" s="500" t="s">
        <v>652</v>
      </c>
      <c r="E27" s="501" t="s">
        <v>1394</v>
      </c>
      <c r="F27" s="461" t="s">
        <v>1394</v>
      </c>
      <c r="H27" s="623"/>
      <c r="I27" s="623"/>
    </row>
    <row r="28" spans="1:9" s="624" customFormat="1" ht="11.25" customHeight="1">
      <c r="A28" s="458" t="s">
        <v>128</v>
      </c>
      <c r="B28" s="458" t="s">
        <v>128</v>
      </c>
      <c r="C28" s="499" t="s">
        <v>653</v>
      </c>
      <c r="D28" s="500" t="s">
        <v>638</v>
      </c>
      <c r="E28" s="501" t="s">
        <v>954</v>
      </c>
      <c r="F28" s="461" t="s">
        <v>954</v>
      </c>
      <c r="H28" s="623"/>
      <c r="I28" s="623"/>
    </row>
    <row r="29" spans="1:9" s="624" customFormat="1" ht="11.25" customHeight="1">
      <c r="A29" s="458" t="s">
        <v>129</v>
      </c>
      <c r="B29" s="458" t="s">
        <v>129</v>
      </c>
      <c r="C29" s="499" t="s">
        <v>653</v>
      </c>
      <c r="D29" s="500" t="s">
        <v>638</v>
      </c>
      <c r="E29" s="501" t="s">
        <v>954</v>
      </c>
      <c r="F29" s="461" t="s">
        <v>954</v>
      </c>
      <c r="H29" s="623"/>
      <c r="I29" s="623"/>
    </row>
    <row r="30" spans="1:9" s="624" customFormat="1" ht="11.25" customHeight="1">
      <c r="A30" s="458" t="s">
        <v>130</v>
      </c>
      <c r="B30" s="458" t="s">
        <v>130</v>
      </c>
      <c r="C30" s="499" t="s">
        <v>651</v>
      </c>
      <c r="D30" s="500" t="s">
        <v>652</v>
      </c>
      <c r="E30" s="501">
        <v>1.6219659043659043E-2</v>
      </c>
      <c r="F30" s="461">
        <v>0.11807911783783785</v>
      </c>
      <c r="H30" s="623"/>
      <c r="I30" s="623"/>
    </row>
    <row r="31" spans="1:9" s="624" customFormat="1" ht="11.25" customHeight="1">
      <c r="A31" s="458" t="s">
        <v>131</v>
      </c>
      <c r="B31" s="458" t="s">
        <v>131</v>
      </c>
      <c r="C31" s="499" t="s">
        <v>1405</v>
      </c>
      <c r="D31" s="500" t="s">
        <v>638</v>
      </c>
      <c r="E31" s="501" t="s">
        <v>954</v>
      </c>
      <c r="F31" s="461" t="s">
        <v>954</v>
      </c>
      <c r="H31" s="623"/>
      <c r="I31" s="623"/>
    </row>
    <row r="32" spans="1:9" s="624" customFormat="1" ht="11.25" customHeight="1">
      <c r="A32" s="458" t="s">
        <v>132</v>
      </c>
      <c r="B32" s="458" t="s">
        <v>132</v>
      </c>
      <c r="C32" s="499" t="s">
        <v>651</v>
      </c>
      <c r="D32" s="500" t="s">
        <v>21</v>
      </c>
      <c r="E32" s="501">
        <v>0.22290445714285717</v>
      </c>
      <c r="F32" s="461">
        <v>1.5603312000000003</v>
      </c>
      <c r="H32" s="623"/>
      <c r="I32" s="623"/>
    </row>
    <row r="33" spans="1:9" s="624" customFormat="1" ht="11.25" customHeight="1">
      <c r="A33" s="458" t="s">
        <v>133</v>
      </c>
      <c r="B33" s="458" t="s">
        <v>133</v>
      </c>
      <c r="C33" s="499" t="s">
        <v>653</v>
      </c>
      <c r="D33" s="500" t="s">
        <v>638</v>
      </c>
      <c r="E33" s="501" t="s">
        <v>954</v>
      </c>
      <c r="F33" s="461" t="s">
        <v>954</v>
      </c>
      <c r="H33" s="623"/>
      <c r="I33" s="623"/>
    </row>
    <row r="34" spans="1:9" s="624" customFormat="1" ht="11.25" customHeight="1">
      <c r="A34" s="458" t="s">
        <v>134</v>
      </c>
      <c r="B34" s="458" t="s">
        <v>134</v>
      </c>
      <c r="C34" s="499" t="s">
        <v>651</v>
      </c>
      <c r="D34" s="500" t="s">
        <v>652</v>
      </c>
      <c r="E34" s="501">
        <v>0.10002123076923075</v>
      </c>
      <c r="F34" s="461">
        <v>0.72815456000000001</v>
      </c>
      <c r="H34" s="623"/>
      <c r="I34" s="623"/>
    </row>
    <row r="35" spans="1:9" s="624" customFormat="1" ht="11.25" customHeight="1">
      <c r="A35" s="458" t="s">
        <v>614</v>
      </c>
      <c r="B35" s="458" t="s">
        <v>614</v>
      </c>
      <c r="C35" s="499" t="s">
        <v>1405</v>
      </c>
      <c r="D35" s="500" t="s">
        <v>638</v>
      </c>
      <c r="E35" s="501" t="s">
        <v>954</v>
      </c>
      <c r="F35" s="461" t="s">
        <v>954</v>
      </c>
      <c r="H35" s="623"/>
      <c r="I35" s="623"/>
    </row>
    <row r="36" spans="1:9" s="624" customFormat="1" ht="11.25" customHeight="1">
      <c r="A36" s="458" t="s">
        <v>135</v>
      </c>
      <c r="B36" s="458" t="s">
        <v>135</v>
      </c>
      <c r="C36" s="499" t="s">
        <v>653</v>
      </c>
      <c r="D36" s="500" t="s">
        <v>638</v>
      </c>
      <c r="E36" s="501" t="s">
        <v>954</v>
      </c>
      <c r="F36" s="461" t="s">
        <v>954</v>
      </c>
      <c r="H36" s="623"/>
      <c r="I36" s="623"/>
    </row>
    <row r="37" spans="1:9" s="624" customFormat="1" ht="11.25" customHeight="1">
      <c r="A37" s="458" t="s">
        <v>136</v>
      </c>
      <c r="B37" s="458" t="s">
        <v>136</v>
      </c>
      <c r="C37" s="499" t="s">
        <v>651</v>
      </c>
      <c r="D37" s="500" t="s">
        <v>652</v>
      </c>
      <c r="E37" s="501">
        <v>2.229044571428572</v>
      </c>
      <c r="F37" s="461">
        <v>15.603312000000003</v>
      </c>
      <c r="H37" s="623"/>
      <c r="I37" s="623"/>
    </row>
    <row r="38" spans="1:9" s="624" customFormat="1" ht="11.25" customHeight="1">
      <c r="A38" s="458" t="s">
        <v>781</v>
      </c>
      <c r="B38" s="458" t="s">
        <v>781</v>
      </c>
      <c r="C38" s="499" t="s">
        <v>651</v>
      </c>
      <c r="D38" s="500" t="s">
        <v>21</v>
      </c>
      <c r="E38" s="501">
        <v>178.32356571428573</v>
      </c>
      <c r="F38" s="461">
        <v>1248.2649600000002</v>
      </c>
      <c r="H38" s="623"/>
      <c r="I38" s="623"/>
    </row>
    <row r="39" spans="1:9" ht="11.25" customHeight="1">
      <c r="A39" s="464" t="s">
        <v>137</v>
      </c>
      <c r="B39" s="464" t="s">
        <v>137</v>
      </c>
      <c r="C39" s="499" t="s">
        <v>651</v>
      </c>
      <c r="D39" s="500" t="s">
        <v>652</v>
      </c>
      <c r="E39" s="501">
        <v>2.6092494983277589E-2</v>
      </c>
      <c r="F39" s="461">
        <v>0.18995336347826086</v>
      </c>
      <c r="H39" s="623"/>
      <c r="I39" s="623"/>
    </row>
    <row r="40" spans="1:9" ht="11.25" customHeight="1">
      <c r="A40" s="458" t="s">
        <v>782</v>
      </c>
      <c r="B40" s="458" t="s">
        <v>782</v>
      </c>
      <c r="C40" s="499" t="s">
        <v>651</v>
      </c>
      <c r="D40" s="500" t="s">
        <v>21</v>
      </c>
      <c r="E40" s="501">
        <v>4.012280228571429</v>
      </c>
      <c r="F40" s="461">
        <v>28.085961600000001</v>
      </c>
      <c r="H40" s="623"/>
      <c r="I40" s="623"/>
    </row>
    <row r="41" spans="1:9" ht="11.25" customHeight="1">
      <c r="A41" s="458" t="s">
        <v>138</v>
      </c>
      <c r="B41" s="458" t="s">
        <v>138</v>
      </c>
      <c r="C41" s="499" t="s">
        <v>651</v>
      </c>
      <c r="D41" s="500" t="s">
        <v>652</v>
      </c>
      <c r="E41" s="501">
        <v>36.555936436299852</v>
      </c>
      <c r="F41" s="461">
        <v>306.34912162713937</v>
      </c>
      <c r="H41" s="623"/>
      <c r="I41" s="623"/>
    </row>
    <row r="42" spans="1:9" ht="11.25" customHeight="1">
      <c r="A42" s="458" t="s">
        <v>612</v>
      </c>
      <c r="B42" s="458" t="s">
        <v>612</v>
      </c>
      <c r="C42" s="499" t="s">
        <v>653</v>
      </c>
      <c r="D42" s="500" t="s">
        <v>638</v>
      </c>
      <c r="E42" s="501" t="s">
        <v>954</v>
      </c>
      <c r="F42" s="461" t="s">
        <v>954</v>
      </c>
      <c r="H42" s="623"/>
      <c r="I42" s="623"/>
    </row>
    <row r="43" spans="1:9" ht="11.25" customHeight="1">
      <c r="A43" s="458" t="s">
        <v>779</v>
      </c>
      <c r="B43" s="458" t="s">
        <v>779</v>
      </c>
      <c r="C43" s="499" t="s">
        <v>653</v>
      </c>
      <c r="D43" s="500" t="s">
        <v>638</v>
      </c>
      <c r="E43" s="501" t="s">
        <v>954</v>
      </c>
      <c r="F43" s="461" t="s">
        <v>954</v>
      </c>
      <c r="H43" s="623"/>
      <c r="I43" s="623"/>
    </row>
    <row r="44" spans="1:9" ht="11.25" customHeight="1">
      <c r="A44" s="458" t="s">
        <v>780</v>
      </c>
      <c r="B44" s="458" t="s">
        <v>780</v>
      </c>
      <c r="C44" s="499" t="s">
        <v>653</v>
      </c>
      <c r="D44" s="500" t="s">
        <v>638</v>
      </c>
      <c r="E44" s="501" t="s">
        <v>954</v>
      </c>
      <c r="F44" s="461" t="s">
        <v>954</v>
      </c>
      <c r="H44" s="623"/>
      <c r="I44" s="623"/>
    </row>
    <row r="45" spans="1:9" ht="11.25" customHeight="1">
      <c r="A45" s="458" t="s">
        <v>139</v>
      </c>
      <c r="B45" s="458" t="s">
        <v>139</v>
      </c>
      <c r="C45" s="499" t="s">
        <v>653</v>
      </c>
      <c r="D45" s="500" t="s">
        <v>638</v>
      </c>
      <c r="E45" s="501" t="s">
        <v>954</v>
      </c>
      <c r="F45" s="461" t="s">
        <v>954</v>
      </c>
      <c r="H45" s="623"/>
      <c r="I45" s="623"/>
    </row>
    <row r="46" spans="1:9" ht="11.25" customHeight="1">
      <c r="A46" s="458" t="s">
        <v>140</v>
      </c>
      <c r="B46" s="458" t="s">
        <v>140</v>
      </c>
      <c r="C46" s="499" t="s">
        <v>653</v>
      </c>
      <c r="D46" s="500" t="s">
        <v>638</v>
      </c>
      <c r="E46" s="501" t="s">
        <v>954</v>
      </c>
      <c r="F46" s="461" t="s">
        <v>954</v>
      </c>
      <c r="H46" s="623"/>
      <c r="I46" s="623"/>
    </row>
    <row r="47" spans="1:9" ht="11.25" customHeight="1">
      <c r="A47" s="458" t="s">
        <v>141</v>
      </c>
      <c r="B47" s="458" t="s">
        <v>141</v>
      </c>
      <c r="C47" s="499" t="s">
        <v>653</v>
      </c>
      <c r="D47" s="500" t="s">
        <v>638</v>
      </c>
      <c r="E47" s="501" t="s">
        <v>954</v>
      </c>
      <c r="F47" s="461" t="s">
        <v>954</v>
      </c>
      <c r="H47" s="623"/>
      <c r="I47" s="623"/>
    </row>
    <row r="48" spans="1:9" ht="11.25" customHeight="1">
      <c r="A48" s="458" t="s">
        <v>142</v>
      </c>
      <c r="B48" s="458" t="s">
        <v>142</v>
      </c>
      <c r="C48" s="499" t="s">
        <v>651</v>
      </c>
      <c r="D48" s="500" t="s">
        <v>638</v>
      </c>
      <c r="E48" s="501" t="s">
        <v>1394</v>
      </c>
      <c r="F48" s="461" t="s">
        <v>1394</v>
      </c>
      <c r="H48" s="623"/>
      <c r="I48" s="623"/>
    </row>
    <row r="49" spans="1:9" ht="11.25" customHeight="1">
      <c r="A49" s="462" t="s">
        <v>96</v>
      </c>
      <c r="B49" s="462" t="s">
        <v>96</v>
      </c>
      <c r="C49" s="499" t="s">
        <v>653</v>
      </c>
      <c r="D49" s="500" t="s">
        <v>638</v>
      </c>
      <c r="E49" s="501" t="s">
        <v>954</v>
      </c>
      <c r="F49" s="461" t="s">
        <v>954</v>
      </c>
      <c r="H49" s="623"/>
      <c r="I49" s="623"/>
    </row>
    <row r="50" spans="1:9" ht="11.25" customHeight="1">
      <c r="A50" s="458" t="s">
        <v>97</v>
      </c>
      <c r="B50" s="458" t="s">
        <v>97</v>
      </c>
      <c r="C50" s="499" t="s">
        <v>653</v>
      </c>
      <c r="D50" s="500" t="s">
        <v>652</v>
      </c>
      <c r="E50" s="501" t="s">
        <v>954</v>
      </c>
      <c r="F50" s="461" t="s">
        <v>954</v>
      </c>
      <c r="H50" s="623"/>
      <c r="I50" s="623"/>
    </row>
    <row r="51" spans="1:9" ht="11.25" customHeight="1">
      <c r="A51" s="458" t="s">
        <v>143</v>
      </c>
      <c r="B51" s="458" t="s">
        <v>143</v>
      </c>
      <c r="C51" s="499" t="s">
        <v>653</v>
      </c>
      <c r="D51" s="500" t="s">
        <v>638</v>
      </c>
      <c r="E51" s="501" t="s">
        <v>954</v>
      </c>
      <c r="F51" s="461" t="s">
        <v>954</v>
      </c>
      <c r="H51" s="623"/>
      <c r="I51" s="623"/>
    </row>
    <row r="52" spans="1:9" ht="11.25" customHeight="1">
      <c r="A52" s="458" t="s">
        <v>381</v>
      </c>
      <c r="B52" s="458" t="s">
        <v>381</v>
      </c>
      <c r="C52" s="499" t="s">
        <v>651</v>
      </c>
      <c r="D52" s="500" t="s">
        <v>652</v>
      </c>
      <c r="E52" s="501" t="s">
        <v>1394</v>
      </c>
      <c r="F52" s="461" t="s">
        <v>1394</v>
      </c>
      <c r="H52" s="623"/>
      <c r="I52" s="623"/>
    </row>
    <row r="53" spans="1:9" ht="11.25" customHeight="1">
      <c r="A53" s="458" t="s">
        <v>144</v>
      </c>
      <c r="B53" s="458" t="s">
        <v>144</v>
      </c>
      <c r="C53" s="499" t="s">
        <v>651</v>
      </c>
      <c r="D53" s="500" t="s">
        <v>638</v>
      </c>
      <c r="E53" s="501">
        <v>3.1206624000000001</v>
      </c>
      <c r="F53" s="461">
        <v>21.844636800000007</v>
      </c>
      <c r="H53" s="623"/>
      <c r="I53" s="623"/>
    </row>
    <row r="54" spans="1:9" ht="11.25" customHeight="1">
      <c r="A54" s="458" t="s">
        <v>487</v>
      </c>
      <c r="B54" s="458" t="s">
        <v>487</v>
      </c>
      <c r="C54" s="499" t="s">
        <v>651</v>
      </c>
      <c r="D54" s="500" t="s">
        <v>638</v>
      </c>
      <c r="E54" s="501">
        <v>1.0002123076923077E-3</v>
      </c>
      <c r="F54" s="461">
        <v>7.2815456000000006E-3</v>
      </c>
      <c r="H54" s="623"/>
      <c r="I54" s="623"/>
    </row>
    <row r="55" spans="1:9" ht="11.25" customHeight="1">
      <c r="A55" s="458" t="s">
        <v>145</v>
      </c>
      <c r="B55" s="458" t="s">
        <v>145</v>
      </c>
      <c r="C55" s="499" t="s">
        <v>651</v>
      </c>
      <c r="D55" s="500" t="s">
        <v>652</v>
      </c>
      <c r="E55" s="501">
        <v>8.9161782857142882</v>
      </c>
      <c r="F55" s="461">
        <v>62.41324800000001</v>
      </c>
      <c r="H55" s="623"/>
      <c r="I55" s="623"/>
    </row>
    <row r="56" spans="1:9" ht="11.25" customHeight="1">
      <c r="A56" s="458" t="s">
        <v>225</v>
      </c>
      <c r="B56" s="458" t="s">
        <v>225</v>
      </c>
      <c r="C56" s="499" t="s">
        <v>651</v>
      </c>
      <c r="D56" s="500" t="s">
        <v>652</v>
      </c>
      <c r="E56" s="501" t="s">
        <v>1394</v>
      </c>
      <c r="F56" s="461" t="s">
        <v>1394</v>
      </c>
      <c r="H56" s="623"/>
      <c r="I56" s="623"/>
    </row>
    <row r="57" spans="1:9" ht="11.25" customHeight="1">
      <c r="A57" s="458" t="s">
        <v>226</v>
      </c>
      <c r="B57" s="458" t="s">
        <v>226</v>
      </c>
      <c r="C57" s="499" t="s">
        <v>651</v>
      </c>
      <c r="D57" s="500" t="s">
        <v>638</v>
      </c>
      <c r="E57" s="501">
        <v>5.4557034965034959E-2</v>
      </c>
      <c r="F57" s="461">
        <v>0.39717521454545462</v>
      </c>
      <c r="H57" s="623"/>
      <c r="I57" s="623"/>
    </row>
    <row r="58" spans="1:9" ht="11.25" customHeight="1">
      <c r="A58" s="458" t="s">
        <v>227</v>
      </c>
      <c r="B58" s="458" t="s">
        <v>227</v>
      </c>
      <c r="C58" s="499" t="s">
        <v>653</v>
      </c>
      <c r="D58" s="500" t="s">
        <v>638</v>
      </c>
      <c r="E58" s="501" t="s">
        <v>954</v>
      </c>
      <c r="F58" s="461" t="s">
        <v>954</v>
      </c>
      <c r="H58" s="623"/>
      <c r="I58" s="623"/>
    </row>
    <row r="59" spans="1:9" ht="11.25" customHeight="1">
      <c r="A59" s="458" t="s">
        <v>361</v>
      </c>
      <c r="B59" s="458" t="s">
        <v>361</v>
      </c>
      <c r="C59" s="499" t="s">
        <v>653</v>
      </c>
      <c r="D59" s="500" t="s">
        <v>638</v>
      </c>
      <c r="E59" s="501" t="s">
        <v>954</v>
      </c>
      <c r="F59" s="461" t="s">
        <v>954</v>
      </c>
      <c r="H59" s="623"/>
      <c r="I59" s="623"/>
    </row>
    <row r="60" spans="1:9" ht="11.25" customHeight="1">
      <c r="A60" s="458" t="s">
        <v>362</v>
      </c>
      <c r="B60" s="458" t="s">
        <v>362</v>
      </c>
      <c r="C60" s="499" t="s">
        <v>1405</v>
      </c>
      <c r="D60" s="500" t="s">
        <v>638</v>
      </c>
      <c r="E60" s="501" t="s">
        <v>954</v>
      </c>
      <c r="F60" s="461" t="s">
        <v>954</v>
      </c>
      <c r="H60" s="623"/>
      <c r="I60" s="623"/>
    </row>
    <row r="61" spans="1:9" ht="11.25" customHeight="1">
      <c r="A61" s="458" t="s">
        <v>363</v>
      </c>
      <c r="B61" s="458" t="s">
        <v>363</v>
      </c>
      <c r="C61" s="499" t="s">
        <v>653</v>
      </c>
      <c r="D61" s="500" t="s">
        <v>638</v>
      </c>
      <c r="E61" s="501" t="s">
        <v>954</v>
      </c>
      <c r="F61" s="461" t="s">
        <v>954</v>
      </c>
      <c r="H61" s="623"/>
      <c r="I61" s="623"/>
    </row>
    <row r="62" spans="1:9" ht="11.25" customHeight="1">
      <c r="A62" s="458" t="s">
        <v>234</v>
      </c>
      <c r="B62" s="458" t="s">
        <v>234</v>
      </c>
      <c r="C62" s="499" t="s">
        <v>651</v>
      </c>
      <c r="D62" s="500" t="s">
        <v>652</v>
      </c>
      <c r="E62" s="501">
        <v>0.37507961538461537</v>
      </c>
      <c r="F62" s="461">
        <v>2.7305796</v>
      </c>
      <c r="H62" s="623"/>
      <c r="I62" s="623"/>
    </row>
    <row r="63" spans="1:9" ht="11.25" customHeight="1">
      <c r="A63" s="458" t="s">
        <v>235</v>
      </c>
      <c r="B63" s="458" t="s">
        <v>235</v>
      </c>
      <c r="C63" s="499" t="s">
        <v>651</v>
      </c>
      <c r="D63" s="500" t="s">
        <v>652</v>
      </c>
      <c r="E63" s="501">
        <v>2.3081822485207102E-2</v>
      </c>
      <c r="F63" s="461">
        <v>0.16803566769230774</v>
      </c>
      <c r="H63" s="623"/>
      <c r="I63" s="623"/>
    </row>
    <row r="64" spans="1:9" ht="11.25" customHeight="1">
      <c r="A64" s="458" t="s">
        <v>294</v>
      </c>
      <c r="B64" s="458" t="s">
        <v>294</v>
      </c>
      <c r="C64" s="499" t="s">
        <v>651</v>
      </c>
      <c r="D64" s="500" t="s">
        <v>652</v>
      </c>
      <c r="E64" s="501">
        <v>8.9161782857142882</v>
      </c>
      <c r="F64" s="461">
        <v>62.41324800000001</v>
      </c>
      <c r="H64" s="623"/>
      <c r="I64" s="623"/>
    </row>
    <row r="65" spans="1:9" ht="11.25" customHeight="1">
      <c r="A65" s="458" t="s">
        <v>295</v>
      </c>
      <c r="B65" s="458" t="s">
        <v>295</v>
      </c>
      <c r="C65" s="499" t="s">
        <v>651</v>
      </c>
      <c r="D65" s="500" t="s">
        <v>652</v>
      </c>
      <c r="E65" s="501">
        <v>1.7832356571428574</v>
      </c>
      <c r="F65" s="461">
        <v>12.482649600000002</v>
      </c>
      <c r="H65" s="623"/>
      <c r="I65" s="623"/>
    </row>
    <row r="66" spans="1:9" ht="11.25" customHeight="1">
      <c r="A66" s="458" t="s">
        <v>228</v>
      </c>
      <c r="B66" s="458" t="s">
        <v>228</v>
      </c>
      <c r="C66" s="499" t="s">
        <v>651</v>
      </c>
      <c r="D66" s="500" t="s">
        <v>652</v>
      </c>
      <c r="E66" s="501">
        <v>1.7832356571428574</v>
      </c>
      <c r="F66" s="461">
        <v>12.482649600000002</v>
      </c>
      <c r="H66" s="623"/>
      <c r="I66" s="623"/>
    </row>
    <row r="67" spans="1:9" ht="11.25" customHeight="1">
      <c r="A67" s="458" t="s">
        <v>942</v>
      </c>
      <c r="B67" s="458" t="s">
        <v>942</v>
      </c>
      <c r="C67" s="499" t="s">
        <v>653</v>
      </c>
      <c r="D67" s="500" t="s">
        <v>638</v>
      </c>
      <c r="E67" s="501" t="s">
        <v>954</v>
      </c>
      <c r="F67" s="461" t="s">
        <v>954</v>
      </c>
      <c r="H67" s="623"/>
      <c r="I67" s="623"/>
    </row>
    <row r="68" spans="1:9" ht="11.25" customHeight="1">
      <c r="A68" s="458" t="s">
        <v>98</v>
      </c>
      <c r="B68" s="458" t="s">
        <v>98</v>
      </c>
      <c r="C68" s="499" t="s">
        <v>653</v>
      </c>
      <c r="D68" s="500" t="s">
        <v>638</v>
      </c>
      <c r="E68" s="501" t="s">
        <v>954</v>
      </c>
      <c r="F68" s="461" t="s">
        <v>954</v>
      </c>
      <c r="H68" s="623"/>
      <c r="I68" s="623"/>
    </row>
    <row r="69" spans="1:9" ht="11.25" customHeight="1">
      <c r="A69" s="458" t="s">
        <v>943</v>
      </c>
      <c r="B69" s="458" t="s">
        <v>943</v>
      </c>
      <c r="C69" s="499" t="s">
        <v>651</v>
      </c>
      <c r="D69" s="500" t="s">
        <v>652</v>
      </c>
      <c r="E69" s="501">
        <v>0.1621965904365904</v>
      </c>
      <c r="F69" s="461">
        <v>1.1807911783783784</v>
      </c>
      <c r="H69" s="623"/>
      <c r="I69" s="623"/>
    </row>
    <row r="70" spans="1:9" ht="11.25" customHeight="1">
      <c r="A70" s="458" t="s">
        <v>296</v>
      </c>
      <c r="B70" s="458" t="s">
        <v>296</v>
      </c>
      <c r="C70" s="499" t="s">
        <v>651</v>
      </c>
      <c r="D70" s="500" t="s">
        <v>652</v>
      </c>
      <c r="E70" s="501">
        <v>0.15003184615384613</v>
      </c>
      <c r="F70" s="461">
        <v>1.0922318400000002</v>
      </c>
      <c r="H70" s="623"/>
      <c r="I70" s="623"/>
    </row>
    <row r="71" spans="1:9" ht="11.25" customHeight="1">
      <c r="A71" s="458" t="s">
        <v>944</v>
      </c>
      <c r="B71" s="458" t="s">
        <v>944</v>
      </c>
      <c r="C71" s="499" t="s">
        <v>653</v>
      </c>
      <c r="D71" s="500" t="s">
        <v>638</v>
      </c>
      <c r="E71" s="501" t="s">
        <v>954</v>
      </c>
      <c r="F71" s="461" t="s">
        <v>954</v>
      </c>
      <c r="H71" s="623"/>
      <c r="I71" s="623"/>
    </row>
    <row r="72" spans="1:9" ht="11.25" customHeight="1">
      <c r="A72" s="458" t="s">
        <v>945</v>
      </c>
      <c r="B72" s="458" t="s">
        <v>945</v>
      </c>
      <c r="C72" s="499" t="s">
        <v>653</v>
      </c>
      <c r="D72" s="500" t="s">
        <v>638</v>
      </c>
      <c r="E72" s="501" t="s">
        <v>954</v>
      </c>
      <c r="F72" s="461" t="s">
        <v>954</v>
      </c>
      <c r="H72" s="623"/>
      <c r="I72" s="623"/>
    </row>
    <row r="73" spans="1:9" ht="11.25" customHeight="1">
      <c r="A73" s="458" t="s">
        <v>947</v>
      </c>
      <c r="B73" s="458" t="s">
        <v>925</v>
      </c>
      <c r="C73" s="499" t="s">
        <v>653</v>
      </c>
      <c r="D73" s="500" t="s">
        <v>638</v>
      </c>
      <c r="E73" s="501" t="s">
        <v>954</v>
      </c>
      <c r="F73" s="461" t="s">
        <v>954</v>
      </c>
      <c r="H73" s="623"/>
      <c r="I73" s="623"/>
    </row>
    <row r="74" spans="1:9" ht="11.25" customHeight="1">
      <c r="A74" s="458" t="s">
        <v>946</v>
      </c>
      <c r="B74" s="458" t="s">
        <v>946</v>
      </c>
      <c r="C74" s="499" t="s">
        <v>653</v>
      </c>
      <c r="D74" s="500" t="s">
        <v>638</v>
      </c>
      <c r="E74" s="501" t="s">
        <v>954</v>
      </c>
      <c r="F74" s="461" t="s">
        <v>954</v>
      </c>
      <c r="H74" s="623"/>
      <c r="I74" s="623"/>
    </row>
    <row r="75" spans="1:9" ht="11.25" customHeight="1">
      <c r="A75" s="462" t="s">
        <v>99</v>
      </c>
      <c r="B75" s="462" t="s">
        <v>99</v>
      </c>
      <c r="C75" s="499" t="s">
        <v>653</v>
      </c>
      <c r="D75" s="500" t="s">
        <v>638</v>
      </c>
      <c r="E75" s="501" t="s">
        <v>954</v>
      </c>
      <c r="F75" s="461" t="s">
        <v>954</v>
      </c>
      <c r="H75" s="623"/>
      <c r="I75" s="623"/>
    </row>
    <row r="76" spans="1:9" ht="11.25" customHeight="1">
      <c r="A76" s="458" t="s">
        <v>297</v>
      </c>
      <c r="B76" s="458" t="s">
        <v>297</v>
      </c>
      <c r="C76" s="499" t="s">
        <v>653</v>
      </c>
      <c r="D76" s="500" t="s">
        <v>638</v>
      </c>
      <c r="E76" s="501" t="s">
        <v>954</v>
      </c>
      <c r="F76" s="461" t="s">
        <v>954</v>
      </c>
      <c r="H76" s="623"/>
      <c r="I76" s="623"/>
    </row>
    <row r="77" spans="1:9" ht="11.25" customHeight="1">
      <c r="A77" s="462" t="s">
        <v>100</v>
      </c>
      <c r="B77" s="462" t="s">
        <v>100</v>
      </c>
      <c r="C77" s="499" t="s">
        <v>653</v>
      </c>
      <c r="D77" s="500" t="s">
        <v>638</v>
      </c>
      <c r="E77" s="501" t="s">
        <v>954</v>
      </c>
      <c r="F77" s="461" t="s">
        <v>954</v>
      </c>
      <c r="H77" s="623"/>
      <c r="I77" s="623"/>
    </row>
    <row r="78" spans="1:9" ht="11.25" customHeight="1">
      <c r="A78" s="462" t="s">
        <v>101</v>
      </c>
      <c r="B78" s="462" t="s">
        <v>101</v>
      </c>
      <c r="C78" s="499" t="s">
        <v>653</v>
      </c>
      <c r="D78" s="500" t="s">
        <v>638</v>
      </c>
      <c r="E78" s="501" t="s">
        <v>954</v>
      </c>
      <c r="F78" s="461" t="s">
        <v>954</v>
      </c>
      <c r="H78" s="623"/>
      <c r="I78" s="623"/>
    </row>
    <row r="79" spans="1:9" ht="11.25" customHeight="1">
      <c r="A79" s="458" t="s">
        <v>382</v>
      </c>
      <c r="B79" s="458" t="s">
        <v>382</v>
      </c>
      <c r="C79" s="499" t="s">
        <v>651</v>
      </c>
      <c r="D79" s="500" t="s">
        <v>652</v>
      </c>
      <c r="E79" s="501" t="s">
        <v>1394</v>
      </c>
      <c r="F79" s="461" t="s">
        <v>1394</v>
      </c>
      <c r="H79" s="623"/>
      <c r="I79" s="623"/>
    </row>
    <row r="80" spans="1:9" ht="11.25" customHeight="1">
      <c r="A80" s="458" t="s">
        <v>594</v>
      </c>
      <c r="B80" s="458" t="s">
        <v>594</v>
      </c>
      <c r="C80" s="499" t="s">
        <v>1405</v>
      </c>
      <c r="D80" s="500" t="s">
        <v>638</v>
      </c>
      <c r="E80" s="501" t="s">
        <v>954</v>
      </c>
      <c r="F80" s="461" t="s">
        <v>954</v>
      </c>
      <c r="H80" s="623"/>
      <c r="I80" s="623"/>
    </row>
    <row r="81" spans="1:9" ht="11.25" customHeight="1">
      <c r="A81" s="458" t="s">
        <v>102</v>
      </c>
      <c r="B81" s="458" t="s">
        <v>102</v>
      </c>
      <c r="C81" s="499" t="s">
        <v>653</v>
      </c>
      <c r="D81" s="500" t="s">
        <v>638</v>
      </c>
      <c r="E81" s="501" t="s">
        <v>954</v>
      </c>
      <c r="F81" s="461" t="s">
        <v>954</v>
      </c>
      <c r="H81" s="623"/>
      <c r="I81" s="623"/>
    </row>
    <row r="82" spans="1:9" ht="11.25" customHeight="1">
      <c r="A82" s="458" t="s">
        <v>370</v>
      </c>
      <c r="B82" s="458" t="s">
        <v>370</v>
      </c>
      <c r="C82" s="499" t="s">
        <v>1405</v>
      </c>
      <c r="D82" s="500" t="s">
        <v>638</v>
      </c>
      <c r="E82" s="501" t="s">
        <v>954</v>
      </c>
      <c r="F82" s="461" t="s">
        <v>954</v>
      </c>
      <c r="H82" s="623"/>
      <c r="I82" s="623"/>
    </row>
    <row r="83" spans="1:9" ht="11.25" customHeight="1">
      <c r="A83" s="458" t="s">
        <v>337</v>
      </c>
      <c r="B83" s="458" t="s">
        <v>337</v>
      </c>
      <c r="C83" s="499" t="s">
        <v>653</v>
      </c>
      <c r="D83" s="500" t="s">
        <v>638</v>
      </c>
      <c r="E83" s="501" t="s">
        <v>954</v>
      </c>
      <c r="F83" s="461" t="s">
        <v>954</v>
      </c>
      <c r="H83" s="623"/>
      <c r="I83" s="623"/>
    </row>
    <row r="84" spans="1:9" ht="11.25" customHeight="1">
      <c r="A84" s="458" t="s">
        <v>28</v>
      </c>
      <c r="B84" s="458" t="s">
        <v>28</v>
      </c>
      <c r="C84" s="499" t="s">
        <v>651</v>
      </c>
      <c r="D84" s="500" t="s">
        <v>652</v>
      </c>
      <c r="E84" s="501" t="s">
        <v>954</v>
      </c>
      <c r="F84" s="461" t="s">
        <v>954</v>
      </c>
      <c r="H84" s="623"/>
      <c r="I84" s="623"/>
    </row>
    <row r="85" spans="1:9" ht="11.25" customHeight="1">
      <c r="A85" s="458" t="s">
        <v>338</v>
      </c>
      <c r="B85" s="458" t="s">
        <v>926</v>
      </c>
      <c r="C85" s="499" t="s">
        <v>651</v>
      </c>
      <c r="D85" s="500" t="s">
        <v>652</v>
      </c>
      <c r="E85" s="501">
        <v>24.005095384615387</v>
      </c>
      <c r="F85" s="461">
        <v>174.75709440000006</v>
      </c>
      <c r="H85" s="623"/>
      <c r="I85" s="623"/>
    </row>
    <row r="86" spans="1:9" ht="11.25" customHeight="1">
      <c r="A86" s="458" t="s">
        <v>339</v>
      </c>
      <c r="B86" s="458" t="s">
        <v>339</v>
      </c>
      <c r="C86" s="499" t="s">
        <v>653</v>
      </c>
      <c r="D86" s="500" t="s">
        <v>638</v>
      </c>
      <c r="E86" s="501" t="s">
        <v>954</v>
      </c>
      <c r="F86" s="461" t="s">
        <v>954</v>
      </c>
      <c r="H86" s="623"/>
      <c r="I86" s="623"/>
    </row>
    <row r="87" spans="1:9" ht="11.25" customHeight="1">
      <c r="A87" s="458" t="s">
        <v>340</v>
      </c>
      <c r="B87" s="458" t="s">
        <v>927</v>
      </c>
      <c r="C87" s="499" t="s">
        <v>651</v>
      </c>
      <c r="D87" s="500" t="s">
        <v>638</v>
      </c>
      <c r="E87" s="501">
        <v>93.052630320000006</v>
      </c>
      <c r="F87" s="461">
        <v>93.052630320000006</v>
      </c>
      <c r="H87" s="623"/>
      <c r="I87" s="623"/>
    </row>
    <row r="88" spans="1:9" ht="11.25" customHeight="1">
      <c r="A88" s="458" t="s">
        <v>103</v>
      </c>
      <c r="B88" s="458" t="s">
        <v>103</v>
      </c>
      <c r="C88" s="499" t="s">
        <v>653</v>
      </c>
      <c r="D88" s="500" t="s">
        <v>638</v>
      </c>
      <c r="E88" s="501" t="s">
        <v>954</v>
      </c>
      <c r="F88" s="461" t="s">
        <v>954</v>
      </c>
      <c r="H88" s="623"/>
      <c r="I88" s="623"/>
    </row>
    <row r="89" spans="1:9" ht="11.25" customHeight="1">
      <c r="A89" s="458" t="s">
        <v>341</v>
      </c>
      <c r="B89" s="458" t="s">
        <v>341</v>
      </c>
      <c r="C89" s="499" t="s">
        <v>1405</v>
      </c>
      <c r="D89" s="500" t="s">
        <v>638</v>
      </c>
      <c r="E89" s="501" t="s">
        <v>954</v>
      </c>
      <c r="F89" s="461" t="s">
        <v>954</v>
      </c>
      <c r="H89" s="623"/>
      <c r="I89" s="623"/>
    </row>
    <row r="90" spans="1:9" ht="11.25" customHeight="1">
      <c r="A90" s="458" t="s">
        <v>342</v>
      </c>
      <c r="B90" s="458" t="s">
        <v>342</v>
      </c>
      <c r="C90" s="499" t="s">
        <v>1405</v>
      </c>
      <c r="D90" s="500" t="s">
        <v>638</v>
      </c>
      <c r="E90" s="501" t="s">
        <v>954</v>
      </c>
      <c r="F90" s="461" t="s">
        <v>954</v>
      </c>
      <c r="H90" s="623"/>
      <c r="I90" s="623"/>
    </row>
    <row r="91" spans="1:9" ht="11.25" customHeight="1">
      <c r="A91" s="458" t="s">
        <v>371</v>
      </c>
      <c r="B91" s="458" t="s">
        <v>371</v>
      </c>
      <c r="C91" s="499" t="s">
        <v>1405</v>
      </c>
      <c r="D91" s="500" t="s">
        <v>638</v>
      </c>
      <c r="E91" s="501" t="s">
        <v>954</v>
      </c>
      <c r="F91" s="461" t="s">
        <v>954</v>
      </c>
      <c r="H91" s="623"/>
      <c r="I91" s="623"/>
    </row>
    <row r="92" spans="1:9" ht="11.25" customHeight="1">
      <c r="A92" s="458" t="s">
        <v>343</v>
      </c>
      <c r="B92" s="458" t="s">
        <v>343</v>
      </c>
      <c r="C92" s="499" t="s">
        <v>1405</v>
      </c>
      <c r="D92" s="500" t="s">
        <v>638</v>
      </c>
      <c r="E92" s="501" t="s">
        <v>954</v>
      </c>
      <c r="F92" s="461" t="s">
        <v>954</v>
      </c>
      <c r="H92" s="623"/>
      <c r="I92" s="623"/>
    </row>
    <row r="93" spans="1:9" ht="11.25" customHeight="1">
      <c r="A93" s="458" t="s">
        <v>364</v>
      </c>
      <c r="B93" s="458" t="s">
        <v>364</v>
      </c>
      <c r="C93" s="499" t="s">
        <v>653</v>
      </c>
      <c r="D93" s="500" t="s">
        <v>638</v>
      </c>
      <c r="E93" s="501" t="s">
        <v>954</v>
      </c>
      <c r="F93" s="461" t="s">
        <v>954</v>
      </c>
      <c r="H93" s="623"/>
      <c r="I93" s="623"/>
    </row>
    <row r="94" spans="1:9" ht="11.25" customHeight="1">
      <c r="A94" s="458" t="s">
        <v>344</v>
      </c>
      <c r="B94" s="458" t="s">
        <v>344</v>
      </c>
      <c r="C94" s="499" t="s">
        <v>1405</v>
      </c>
      <c r="D94" s="500" t="s">
        <v>638</v>
      </c>
      <c r="E94" s="501" t="s">
        <v>954</v>
      </c>
      <c r="F94" s="461" t="s">
        <v>954</v>
      </c>
      <c r="H94" s="623"/>
      <c r="I94" s="623"/>
    </row>
    <row r="95" spans="1:9" ht="11.25" customHeight="1">
      <c r="A95" s="458" t="s">
        <v>104</v>
      </c>
      <c r="B95" s="458" t="s">
        <v>104</v>
      </c>
      <c r="C95" s="499" t="s">
        <v>653</v>
      </c>
      <c r="D95" s="500" t="s">
        <v>638</v>
      </c>
      <c r="E95" s="501" t="s">
        <v>954</v>
      </c>
      <c r="F95" s="461" t="s">
        <v>954</v>
      </c>
      <c r="H95" s="623"/>
      <c r="I95" s="623"/>
    </row>
    <row r="96" spans="1:9" ht="11.25" customHeight="1">
      <c r="A96" s="458" t="s">
        <v>345</v>
      </c>
      <c r="B96" s="458" t="s">
        <v>345</v>
      </c>
      <c r="C96" s="499" t="s">
        <v>653</v>
      </c>
      <c r="D96" s="500" t="s">
        <v>638</v>
      </c>
      <c r="E96" s="501" t="s">
        <v>954</v>
      </c>
      <c r="F96" s="461" t="s">
        <v>954</v>
      </c>
      <c r="H96" s="623"/>
      <c r="I96" s="623"/>
    </row>
    <row r="97" spans="1:9" ht="11.25" customHeight="1">
      <c r="A97" s="458" t="s">
        <v>105</v>
      </c>
      <c r="B97" s="458" t="s">
        <v>105</v>
      </c>
      <c r="C97" s="499" t="s">
        <v>653</v>
      </c>
      <c r="D97" s="500" t="s">
        <v>652</v>
      </c>
      <c r="E97" s="501" t="s">
        <v>954</v>
      </c>
      <c r="F97" s="461" t="s">
        <v>954</v>
      </c>
      <c r="H97" s="623"/>
      <c r="I97" s="623"/>
    </row>
    <row r="98" spans="1:9" ht="11.25" customHeight="1">
      <c r="A98" s="458" t="s">
        <v>346</v>
      </c>
      <c r="B98" s="458" t="s">
        <v>346</v>
      </c>
      <c r="C98" s="499" t="s">
        <v>653</v>
      </c>
      <c r="D98" s="500" t="s">
        <v>638</v>
      </c>
      <c r="E98" s="501" t="s">
        <v>954</v>
      </c>
      <c r="F98" s="461" t="s">
        <v>954</v>
      </c>
      <c r="H98" s="623"/>
      <c r="I98" s="623"/>
    </row>
    <row r="99" spans="1:9" ht="11.25" customHeight="1">
      <c r="A99" s="458" t="s">
        <v>347</v>
      </c>
      <c r="B99" s="458" t="s">
        <v>347</v>
      </c>
      <c r="C99" s="499" t="s">
        <v>653</v>
      </c>
      <c r="D99" s="500" t="s">
        <v>638</v>
      </c>
      <c r="E99" s="501" t="s">
        <v>954</v>
      </c>
      <c r="F99" s="461" t="s">
        <v>954</v>
      </c>
      <c r="H99" s="623"/>
      <c r="I99" s="623"/>
    </row>
    <row r="100" spans="1:9" ht="11.25" customHeight="1">
      <c r="A100" s="458" t="s">
        <v>348</v>
      </c>
      <c r="B100" s="458" t="s">
        <v>348</v>
      </c>
      <c r="C100" s="499" t="s">
        <v>653</v>
      </c>
      <c r="D100" s="500" t="s">
        <v>638</v>
      </c>
      <c r="E100" s="501" t="s">
        <v>954</v>
      </c>
      <c r="F100" s="461" t="s">
        <v>954</v>
      </c>
      <c r="H100" s="623"/>
      <c r="I100" s="623"/>
    </row>
    <row r="101" spans="1:9" ht="11.25" customHeight="1">
      <c r="A101" s="458" t="s">
        <v>350</v>
      </c>
      <c r="B101" s="458" t="s">
        <v>169</v>
      </c>
      <c r="C101" s="499" t="s">
        <v>651</v>
      </c>
      <c r="D101" s="500" t="s">
        <v>652</v>
      </c>
      <c r="E101" s="501">
        <v>2229.044571428572</v>
      </c>
      <c r="F101" s="461">
        <v>15603.312</v>
      </c>
      <c r="H101" s="623"/>
      <c r="I101" s="623"/>
    </row>
    <row r="102" spans="1:9" ht="11.25" customHeight="1">
      <c r="A102" s="458" t="s">
        <v>351</v>
      </c>
      <c r="B102" s="458" t="s">
        <v>168</v>
      </c>
      <c r="C102" s="499" t="s">
        <v>651</v>
      </c>
      <c r="D102" s="500" t="s">
        <v>652</v>
      </c>
      <c r="E102" s="501">
        <v>1337.4267428571429</v>
      </c>
      <c r="F102" s="461">
        <v>3356.2613333333329</v>
      </c>
      <c r="H102" s="623"/>
      <c r="I102" s="623"/>
    </row>
    <row r="103" spans="1:9" ht="11.25" customHeight="1">
      <c r="A103" s="458" t="s">
        <v>352</v>
      </c>
      <c r="B103" s="458" t="s">
        <v>352</v>
      </c>
      <c r="C103" s="499" t="s">
        <v>653</v>
      </c>
      <c r="D103" s="500" t="s">
        <v>638</v>
      </c>
      <c r="E103" s="501" t="s">
        <v>954</v>
      </c>
      <c r="F103" s="461" t="s">
        <v>954</v>
      </c>
      <c r="H103" s="623"/>
      <c r="I103" s="623"/>
    </row>
    <row r="104" spans="1:9" ht="11.25" customHeight="1">
      <c r="A104" s="458" t="s">
        <v>353</v>
      </c>
      <c r="B104" s="458" t="s">
        <v>353</v>
      </c>
      <c r="C104" s="499" t="s">
        <v>651</v>
      </c>
      <c r="D104" s="500" t="s">
        <v>652</v>
      </c>
      <c r="E104" s="501">
        <v>2.3081822485207097</v>
      </c>
      <c r="F104" s="461">
        <v>16.803566769230773</v>
      </c>
      <c r="H104" s="623"/>
      <c r="I104" s="623"/>
    </row>
    <row r="105" spans="1:9" ht="11.25" customHeight="1">
      <c r="A105" s="458" t="s">
        <v>349</v>
      </c>
      <c r="B105" s="458" t="s">
        <v>349</v>
      </c>
      <c r="C105" s="499" t="s">
        <v>651</v>
      </c>
      <c r="D105" s="500" t="s">
        <v>652</v>
      </c>
      <c r="E105" s="501">
        <v>21.671266666666664</v>
      </c>
      <c r="F105" s="461">
        <v>187.239744</v>
      </c>
      <c r="H105" s="623"/>
      <c r="I105" s="623"/>
    </row>
    <row r="106" spans="1:9" ht="11.25" customHeight="1">
      <c r="A106" s="458" t="s">
        <v>590</v>
      </c>
      <c r="B106" s="458" t="s">
        <v>592</v>
      </c>
      <c r="C106" s="499" t="s">
        <v>651</v>
      </c>
      <c r="D106" s="500" t="s">
        <v>638</v>
      </c>
      <c r="E106" s="501">
        <v>394.015536</v>
      </c>
      <c r="F106" s="461">
        <v>394.015536</v>
      </c>
      <c r="H106" s="623"/>
      <c r="I106" s="623"/>
    </row>
    <row r="107" spans="1:9" ht="11.25" customHeight="1">
      <c r="A107" s="458" t="s">
        <v>591</v>
      </c>
      <c r="B107" s="458" t="s">
        <v>593</v>
      </c>
      <c r="C107" s="499" t="s">
        <v>651</v>
      </c>
      <c r="D107" s="500" t="s">
        <v>638</v>
      </c>
      <c r="E107" s="501">
        <v>43.956236800788616</v>
      </c>
      <c r="F107" s="461">
        <v>362.92377670731526</v>
      </c>
      <c r="H107" s="623"/>
      <c r="I107" s="623"/>
    </row>
    <row r="108" spans="1:9" ht="11.25" customHeight="1">
      <c r="A108" s="458" t="s">
        <v>465</v>
      </c>
      <c r="B108" s="458" t="s">
        <v>465</v>
      </c>
      <c r="C108" s="499" t="s">
        <v>653</v>
      </c>
      <c r="D108" s="500" t="s">
        <v>638</v>
      </c>
      <c r="E108" s="501" t="s">
        <v>954</v>
      </c>
      <c r="F108" s="461" t="s">
        <v>954</v>
      </c>
      <c r="H108" s="623"/>
      <c r="I108" s="623"/>
    </row>
    <row r="109" spans="1:9" ht="11.25" customHeight="1">
      <c r="A109" s="458" t="s">
        <v>466</v>
      </c>
      <c r="B109" s="458" t="s">
        <v>928</v>
      </c>
      <c r="C109" s="499" t="s">
        <v>651</v>
      </c>
      <c r="D109" s="500" t="s">
        <v>638</v>
      </c>
      <c r="E109" s="501">
        <v>6.9968054941286626</v>
      </c>
      <c r="F109" s="461">
        <v>57.636700542334367</v>
      </c>
      <c r="H109" s="623"/>
      <c r="I109" s="623"/>
    </row>
    <row r="110" spans="1:9" ht="11.25" customHeight="1">
      <c r="A110" s="458" t="s">
        <v>812</v>
      </c>
      <c r="B110" s="458" t="s">
        <v>812</v>
      </c>
      <c r="C110" s="499" t="s">
        <v>653</v>
      </c>
      <c r="D110" s="500" t="s">
        <v>638</v>
      </c>
      <c r="E110" s="501" t="s">
        <v>954</v>
      </c>
      <c r="F110" s="461" t="s">
        <v>954</v>
      </c>
      <c r="H110" s="623"/>
      <c r="I110" s="623"/>
    </row>
    <row r="111" spans="1:9" ht="11.25" customHeight="1">
      <c r="A111" s="462" t="s">
        <v>106</v>
      </c>
      <c r="B111" s="462" t="s">
        <v>106</v>
      </c>
      <c r="C111" s="499" t="s">
        <v>651</v>
      </c>
      <c r="D111" s="500" t="s">
        <v>652</v>
      </c>
      <c r="E111" s="501" t="s">
        <v>1394</v>
      </c>
      <c r="F111" s="461" t="s">
        <v>1394</v>
      </c>
      <c r="H111" s="623"/>
      <c r="I111" s="623"/>
    </row>
    <row r="112" spans="1:9" ht="11.25" customHeight="1">
      <c r="A112" s="462" t="s">
        <v>107</v>
      </c>
      <c r="B112" s="462" t="s">
        <v>107</v>
      </c>
      <c r="C112" s="499" t="s">
        <v>653</v>
      </c>
      <c r="D112" s="500" t="s">
        <v>652</v>
      </c>
      <c r="E112" s="501" t="s">
        <v>954</v>
      </c>
      <c r="F112" s="461" t="s">
        <v>954</v>
      </c>
      <c r="H112" s="623"/>
      <c r="I112" s="623"/>
    </row>
    <row r="113" spans="1:9" ht="11.25" customHeight="1">
      <c r="A113" s="462" t="s">
        <v>108</v>
      </c>
      <c r="B113" s="462" t="s">
        <v>108</v>
      </c>
      <c r="C113" s="499" t="s">
        <v>651</v>
      </c>
      <c r="D113" s="500" t="s">
        <v>638</v>
      </c>
      <c r="E113" s="501" t="s">
        <v>1394</v>
      </c>
      <c r="F113" s="461" t="s">
        <v>1394</v>
      </c>
      <c r="H113" s="623"/>
      <c r="I113" s="623"/>
    </row>
    <row r="114" spans="1:9" ht="11.25" customHeight="1">
      <c r="A114" s="462" t="s">
        <v>109</v>
      </c>
      <c r="B114" s="462" t="s">
        <v>109</v>
      </c>
      <c r="C114" s="499" t="s">
        <v>653</v>
      </c>
      <c r="D114" s="500" t="s">
        <v>638</v>
      </c>
      <c r="E114" s="501" t="s">
        <v>954</v>
      </c>
      <c r="F114" s="461" t="s">
        <v>954</v>
      </c>
      <c r="H114" s="623"/>
      <c r="I114" s="623"/>
    </row>
    <row r="115" spans="1:9" ht="11.25" customHeight="1">
      <c r="A115" s="462" t="s">
        <v>110</v>
      </c>
      <c r="B115" s="462" t="s">
        <v>110</v>
      </c>
      <c r="C115" s="499" t="s">
        <v>653</v>
      </c>
      <c r="D115" s="500" t="s">
        <v>638</v>
      </c>
      <c r="E115" s="501" t="s">
        <v>954</v>
      </c>
      <c r="F115" s="461" t="s">
        <v>954</v>
      </c>
      <c r="H115" s="623"/>
      <c r="I115" s="623"/>
    </row>
    <row r="116" spans="1:9" ht="11.25" customHeight="1">
      <c r="A116" s="458" t="s">
        <v>467</v>
      </c>
      <c r="B116" s="458" t="s">
        <v>467</v>
      </c>
      <c r="C116" s="499" t="s">
        <v>653</v>
      </c>
      <c r="D116" s="500" t="s">
        <v>638</v>
      </c>
      <c r="E116" s="501" t="s">
        <v>954</v>
      </c>
      <c r="F116" s="461" t="s">
        <v>954</v>
      </c>
      <c r="H116" s="623"/>
      <c r="I116" s="623"/>
    </row>
    <row r="117" spans="1:9" ht="11.25" customHeight="1">
      <c r="A117" s="462" t="s">
        <v>111</v>
      </c>
      <c r="B117" s="462" t="s">
        <v>111</v>
      </c>
      <c r="C117" s="499" t="s">
        <v>653</v>
      </c>
      <c r="D117" s="500" t="s">
        <v>638</v>
      </c>
      <c r="E117" s="501" t="s">
        <v>954</v>
      </c>
      <c r="F117" s="461" t="s">
        <v>954</v>
      </c>
      <c r="H117" s="623"/>
      <c r="I117" s="623"/>
    </row>
    <row r="118" spans="1:9" ht="11.25" customHeight="1">
      <c r="A118" s="458" t="s">
        <v>231</v>
      </c>
      <c r="B118" s="458" t="s">
        <v>231</v>
      </c>
      <c r="C118" s="499" t="s">
        <v>653</v>
      </c>
      <c r="D118" s="500" t="s">
        <v>638</v>
      </c>
      <c r="E118" s="501" t="s">
        <v>954</v>
      </c>
      <c r="F118" s="461" t="s">
        <v>954</v>
      </c>
      <c r="H118" s="623"/>
      <c r="I118" s="623"/>
    </row>
    <row r="119" spans="1:9" ht="11.25" customHeight="1">
      <c r="A119" s="458" t="s">
        <v>468</v>
      </c>
      <c r="B119" s="458" t="s">
        <v>468</v>
      </c>
      <c r="C119" s="499" t="s">
        <v>651</v>
      </c>
      <c r="D119" s="500" t="s">
        <v>638</v>
      </c>
      <c r="E119" s="501" t="s">
        <v>1394</v>
      </c>
      <c r="F119" s="461" t="s">
        <v>1394</v>
      </c>
      <c r="H119" s="623"/>
      <c r="I119" s="623"/>
    </row>
    <row r="120" spans="1:9" ht="11.25" customHeight="1">
      <c r="A120" s="458" t="s">
        <v>469</v>
      </c>
      <c r="B120" s="458" t="s">
        <v>469</v>
      </c>
      <c r="C120" s="499" t="s">
        <v>653</v>
      </c>
      <c r="D120" s="500" t="s">
        <v>638</v>
      </c>
      <c r="E120" s="501" t="s">
        <v>954</v>
      </c>
      <c r="F120" s="461" t="s">
        <v>954</v>
      </c>
      <c r="H120" s="623"/>
      <c r="I120" s="623"/>
    </row>
    <row r="121" spans="1:9" ht="11.25" customHeight="1">
      <c r="A121" s="458" t="s">
        <v>365</v>
      </c>
      <c r="B121" s="458" t="s">
        <v>365</v>
      </c>
      <c r="C121" s="499" t="s">
        <v>1405</v>
      </c>
      <c r="D121" s="500" t="s">
        <v>638</v>
      </c>
      <c r="E121" s="501" t="s">
        <v>954</v>
      </c>
      <c r="F121" s="461" t="s">
        <v>954</v>
      </c>
      <c r="H121" s="623"/>
      <c r="I121" s="623"/>
    </row>
    <row r="122" spans="1:9" ht="11.25" customHeight="1">
      <c r="A122" s="458" t="s">
        <v>112</v>
      </c>
      <c r="B122" s="458" t="s">
        <v>112</v>
      </c>
      <c r="C122" s="499" t="s">
        <v>653</v>
      </c>
      <c r="D122" s="500" t="s">
        <v>652</v>
      </c>
      <c r="E122" s="501" t="s">
        <v>954</v>
      </c>
      <c r="F122" s="461" t="s">
        <v>954</v>
      </c>
      <c r="H122" s="623"/>
      <c r="I122" s="623"/>
    </row>
    <row r="123" spans="1:9" ht="11.25" customHeight="1">
      <c r="A123" s="458" t="s">
        <v>470</v>
      </c>
      <c r="B123" s="458" t="s">
        <v>929</v>
      </c>
      <c r="C123" s="499" t="s">
        <v>651</v>
      </c>
      <c r="D123" s="500" t="s">
        <v>638</v>
      </c>
      <c r="E123" s="501">
        <v>44.028912348000006</v>
      </c>
      <c r="F123" s="461">
        <v>44.028912348000006</v>
      </c>
      <c r="H123" s="623"/>
      <c r="I123" s="623"/>
    </row>
    <row r="124" spans="1:9" ht="11.25" customHeight="1">
      <c r="A124" s="458" t="s">
        <v>471</v>
      </c>
      <c r="B124" s="458" t="s">
        <v>471</v>
      </c>
      <c r="C124" s="499" t="s">
        <v>653</v>
      </c>
      <c r="D124" s="500" t="s">
        <v>638</v>
      </c>
      <c r="E124" s="501" t="s">
        <v>954</v>
      </c>
      <c r="F124" s="461" t="s">
        <v>954</v>
      </c>
      <c r="H124" s="623"/>
      <c r="I124" s="623"/>
    </row>
    <row r="125" spans="1:9" ht="11.25" customHeight="1">
      <c r="A125" s="458" t="s">
        <v>813</v>
      </c>
      <c r="B125" s="458" t="s">
        <v>813</v>
      </c>
      <c r="C125" s="499" t="s">
        <v>653</v>
      </c>
      <c r="D125" s="500" t="s">
        <v>638</v>
      </c>
      <c r="E125" s="501" t="s">
        <v>954</v>
      </c>
      <c r="F125" s="461" t="s">
        <v>954</v>
      </c>
      <c r="H125" s="623"/>
      <c r="I125" s="623"/>
    </row>
    <row r="126" spans="1:9" ht="11.25" customHeight="1">
      <c r="A126" s="458" t="s">
        <v>113</v>
      </c>
      <c r="B126" s="458" t="s">
        <v>113</v>
      </c>
      <c r="C126" s="499" t="s">
        <v>653</v>
      </c>
      <c r="D126" s="500" t="s">
        <v>638</v>
      </c>
      <c r="E126" s="501" t="s">
        <v>954</v>
      </c>
      <c r="F126" s="461" t="s">
        <v>954</v>
      </c>
      <c r="H126" s="623"/>
      <c r="I126" s="623"/>
    </row>
    <row r="127" spans="1:9" ht="11.25" customHeight="1">
      <c r="A127" s="458" t="s">
        <v>472</v>
      </c>
      <c r="B127" s="458" t="s">
        <v>930</v>
      </c>
      <c r="C127" s="499" t="s">
        <v>651</v>
      </c>
      <c r="D127" s="500" t="s">
        <v>652</v>
      </c>
      <c r="E127" s="501">
        <v>445.80891428571431</v>
      </c>
      <c r="F127" s="461">
        <v>867.11133333333339</v>
      </c>
      <c r="H127" s="623"/>
      <c r="I127" s="623"/>
    </row>
    <row r="128" spans="1:9" ht="11.25" customHeight="1">
      <c r="A128" s="458" t="s">
        <v>114</v>
      </c>
      <c r="B128" s="458" t="s">
        <v>114</v>
      </c>
      <c r="C128" s="499" t="s">
        <v>653</v>
      </c>
      <c r="D128" s="500" t="s">
        <v>638</v>
      </c>
      <c r="E128" s="501" t="s">
        <v>954</v>
      </c>
      <c r="F128" s="461" t="s">
        <v>954</v>
      </c>
      <c r="H128" s="623"/>
      <c r="I128" s="623"/>
    </row>
    <row r="129" spans="1:9" ht="11.25" customHeight="1">
      <c r="A129" s="458" t="s">
        <v>19</v>
      </c>
      <c r="B129" s="458" t="s">
        <v>19</v>
      </c>
      <c r="C129" s="499" t="s">
        <v>651</v>
      </c>
      <c r="D129" s="500" t="s">
        <v>652</v>
      </c>
      <c r="E129" s="501" t="s">
        <v>1394</v>
      </c>
      <c r="F129" s="461" t="s">
        <v>1394</v>
      </c>
      <c r="H129" s="623"/>
      <c r="I129" s="623"/>
    </row>
    <row r="130" spans="1:9" ht="11.25" customHeight="1">
      <c r="A130" s="458" t="s">
        <v>473</v>
      </c>
      <c r="B130" s="458" t="s">
        <v>473</v>
      </c>
      <c r="C130" s="499" t="s">
        <v>651</v>
      </c>
      <c r="D130" s="500" t="s">
        <v>652</v>
      </c>
      <c r="E130" s="501" t="s">
        <v>1394</v>
      </c>
      <c r="F130" s="461" t="s">
        <v>1394</v>
      </c>
      <c r="H130" s="623"/>
      <c r="I130" s="623"/>
    </row>
    <row r="131" spans="1:9" ht="11.25" customHeight="1">
      <c r="A131" s="458" t="s">
        <v>474</v>
      </c>
      <c r="B131" s="458" t="s">
        <v>474</v>
      </c>
      <c r="C131" s="499" t="s">
        <v>651</v>
      </c>
      <c r="D131" s="500" t="s">
        <v>652</v>
      </c>
      <c r="E131" s="501">
        <v>1.0347023872679044E-2</v>
      </c>
      <c r="F131" s="461">
        <v>7.5326333793103453E-2</v>
      </c>
      <c r="H131" s="623"/>
      <c r="I131" s="623"/>
    </row>
    <row r="132" spans="1:9" ht="11.25" customHeight="1">
      <c r="A132" s="458" t="s">
        <v>475</v>
      </c>
      <c r="B132" s="458" t="s">
        <v>475</v>
      </c>
      <c r="C132" s="499" t="s">
        <v>651</v>
      </c>
      <c r="D132" s="500" t="s">
        <v>652</v>
      </c>
      <c r="E132" s="501">
        <v>9.8381538461538437E-2</v>
      </c>
      <c r="F132" s="461">
        <v>0.71621760000000001</v>
      </c>
      <c r="H132" s="623"/>
      <c r="I132" s="623"/>
    </row>
    <row r="133" spans="1:9" ht="11.25" customHeight="1">
      <c r="A133" s="458" t="s">
        <v>115</v>
      </c>
      <c r="B133" s="458" t="s">
        <v>115</v>
      </c>
      <c r="C133" s="499" t="s">
        <v>653</v>
      </c>
      <c r="D133" s="500" t="s">
        <v>638</v>
      </c>
      <c r="E133" s="501" t="s">
        <v>954</v>
      </c>
      <c r="F133" s="461" t="s">
        <v>954</v>
      </c>
      <c r="H133" s="623"/>
      <c r="I133" s="623"/>
    </row>
    <row r="134" spans="1:9" ht="11.25" customHeight="1">
      <c r="A134" s="462" t="s">
        <v>116</v>
      </c>
      <c r="B134" s="462" t="s">
        <v>116</v>
      </c>
      <c r="C134" s="499" t="s">
        <v>653</v>
      </c>
      <c r="D134" s="500" t="s">
        <v>638</v>
      </c>
      <c r="E134" s="501" t="s">
        <v>954</v>
      </c>
      <c r="F134" s="461" t="s">
        <v>954</v>
      </c>
      <c r="H134" s="623"/>
      <c r="I134" s="623"/>
    </row>
    <row r="135" spans="1:9" ht="11.25" customHeight="1">
      <c r="A135" s="458" t="s">
        <v>476</v>
      </c>
      <c r="B135" s="458" t="s">
        <v>476</v>
      </c>
      <c r="C135" s="499" t="s">
        <v>653</v>
      </c>
      <c r="D135" s="500" t="s">
        <v>638</v>
      </c>
      <c r="E135" s="501" t="s">
        <v>954</v>
      </c>
      <c r="F135" s="461" t="s">
        <v>954</v>
      </c>
      <c r="H135" s="623"/>
      <c r="I135" s="623"/>
    </row>
    <row r="136" spans="1:9" ht="11.25" customHeight="1">
      <c r="A136" s="458" t="s">
        <v>366</v>
      </c>
      <c r="B136" s="458" t="s">
        <v>931</v>
      </c>
      <c r="C136" s="499" t="s">
        <v>651</v>
      </c>
      <c r="D136" s="500" t="s">
        <v>652</v>
      </c>
      <c r="E136" s="501">
        <v>817.29880000000014</v>
      </c>
      <c r="F136" s="461">
        <v>817.29880000000014</v>
      </c>
      <c r="H136" s="623"/>
      <c r="I136" s="623"/>
    </row>
    <row r="137" spans="1:9" ht="11.25" customHeight="1">
      <c r="A137" s="458" t="s">
        <v>20</v>
      </c>
      <c r="B137" s="458" t="s">
        <v>20</v>
      </c>
      <c r="C137" s="499" t="s">
        <v>653</v>
      </c>
      <c r="D137" s="500" t="s">
        <v>638</v>
      </c>
      <c r="E137" s="501" t="s">
        <v>954</v>
      </c>
      <c r="F137" s="461" t="s">
        <v>954</v>
      </c>
      <c r="H137" s="623"/>
      <c r="I137" s="623"/>
    </row>
    <row r="138" spans="1:9" ht="11.25" customHeight="1">
      <c r="A138" s="458" t="s">
        <v>57</v>
      </c>
      <c r="B138" s="458" t="s">
        <v>57</v>
      </c>
      <c r="C138" s="499" t="s">
        <v>651</v>
      </c>
      <c r="D138" s="500" t="s">
        <v>652</v>
      </c>
      <c r="E138" s="501" t="s">
        <v>1394</v>
      </c>
      <c r="F138" s="461" t="s">
        <v>1394</v>
      </c>
      <c r="H138" s="623"/>
      <c r="I138" s="623"/>
    </row>
    <row r="139" spans="1:9" ht="11.25" customHeight="1">
      <c r="A139" s="458" t="s">
        <v>56</v>
      </c>
      <c r="B139" s="458" t="s">
        <v>56</v>
      </c>
      <c r="C139" s="499" t="s">
        <v>651</v>
      </c>
      <c r="D139" s="500" t="s">
        <v>652</v>
      </c>
      <c r="E139" s="501" t="s">
        <v>1394</v>
      </c>
      <c r="F139" s="461" t="s">
        <v>1394</v>
      </c>
      <c r="H139" s="623"/>
      <c r="I139" s="623"/>
    </row>
    <row r="140" spans="1:9" ht="11.25" customHeight="1">
      <c r="A140" s="458" t="s">
        <v>777</v>
      </c>
      <c r="B140" s="458" t="s">
        <v>777</v>
      </c>
      <c r="C140" s="499" t="s">
        <v>1405</v>
      </c>
      <c r="D140" s="500" t="s">
        <v>652</v>
      </c>
      <c r="E140" s="501" t="s">
        <v>954</v>
      </c>
      <c r="F140" s="461" t="s">
        <v>954</v>
      </c>
      <c r="H140" s="623"/>
      <c r="I140" s="623"/>
    </row>
    <row r="141" spans="1:9" ht="11.25" customHeight="1">
      <c r="A141" s="458" t="s">
        <v>814</v>
      </c>
      <c r="B141" s="458" t="s">
        <v>814</v>
      </c>
      <c r="C141" s="499" t="s">
        <v>651</v>
      </c>
      <c r="D141" s="500" t="s">
        <v>638</v>
      </c>
      <c r="E141" s="501">
        <v>0.17652248407169688</v>
      </c>
      <c r="F141" s="461">
        <v>1.413902753115506</v>
      </c>
      <c r="H141" s="623"/>
      <c r="I141" s="623"/>
    </row>
    <row r="142" spans="1:9" ht="11.25" customHeight="1">
      <c r="A142" s="458" t="s">
        <v>815</v>
      </c>
      <c r="B142" s="458" t="s">
        <v>815</v>
      </c>
      <c r="C142" s="499" t="s">
        <v>651</v>
      </c>
      <c r="D142" s="500" t="s">
        <v>652</v>
      </c>
      <c r="E142" s="501">
        <v>222.90445714285715</v>
      </c>
      <c r="F142" s="461">
        <v>637.26859999999999</v>
      </c>
      <c r="H142" s="623"/>
      <c r="I142" s="623"/>
    </row>
    <row r="143" spans="1:9" ht="11.25" customHeight="1">
      <c r="A143" s="458" t="s">
        <v>477</v>
      </c>
      <c r="B143" s="458" t="s">
        <v>477</v>
      </c>
      <c r="C143" s="499" t="s">
        <v>651</v>
      </c>
      <c r="D143" s="500" t="s">
        <v>652</v>
      </c>
      <c r="E143" s="501">
        <v>8.9161782857142876E-3</v>
      </c>
      <c r="F143" s="461">
        <v>6.2413248000000018E-2</v>
      </c>
      <c r="H143" s="623"/>
      <c r="I143" s="623"/>
    </row>
    <row r="144" spans="1:9" ht="11.25" customHeight="1">
      <c r="A144" s="458" t="s">
        <v>478</v>
      </c>
      <c r="B144" s="458" t="s">
        <v>478</v>
      </c>
      <c r="C144" s="499" t="s">
        <v>651</v>
      </c>
      <c r="D144" s="500" t="s">
        <v>652</v>
      </c>
      <c r="E144" s="501">
        <v>8.9161782857142866E-2</v>
      </c>
      <c r="F144" s="461">
        <v>0.6241324800000001</v>
      </c>
      <c r="H144" s="623"/>
      <c r="I144" s="623"/>
    </row>
    <row r="145" spans="1:9" ht="11.25" customHeight="1">
      <c r="A145" s="458" t="s">
        <v>479</v>
      </c>
      <c r="B145" s="458" t="s">
        <v>479</v>
      </c>
      <c r="C145" s="499" t="s">
        <v>653</v>
      </c>
      <c r="D145" s="500" t="s">
        <v>638</v>
      </c>
      <c r="E145" s="501" t="s">
        <v>954</v>
      </c>
      <c r="F145" s="461" t="s">
        <v>954</v>
      </c>
      <c r="H145" s="623"/>
      <c r="I145" s="623"/>
    </row>
    <row r="146" spans="1:9" ht="11.25" customHeight="1">
      <c r="A146" s="458" t="s">
        <v>480</v>
      </c>
      <c r="B146" s="458" t="s">
        <v>480</v>
      </c>
      <c r="C146" s="499" t="s">
        <v>653</v>
      </c>
      <c r="D146" s="500" t="s">
        <v>638</v>
      </c>
      <c r="E146" s="501" t="s">
        <v>954</v>
      </c>
      <c r="F146" s="461" t="s">
        <v>954</v>
      </c>
      <c r="H146" s="623"/>
      <c r="I146" s="623"/>
    </row>
    <row r="147" spans="1:9" ht="11.25" customHeight="1">
      <c r="A147" s="462" t="s">
        <v>117</v>
      </c>
      <c r="B147" s="462" t="s">
        <v>117</v>
      </c>
      <c r="C147" s="499" t="s">
        <v>653</v>
      </c>
      <c r="D147" s="500" t="s">
        <v>638</v>
      </c>
      <c r="E147" s="501" t="s">
        <v>954</v>
      </c>
      <c r="F147" s="461" t="s">
        <v>954</v>
      </c>
      <c r="H147" s="623"/>
      <c r="I147" s="623"/>
    </row>
    <row r="148" spans="1:9" ht="11.25" customHeight="1">
      <c r="A148" s="458" t="s">
        <v>118</v>
      </c>
      <c r="B148" s="458" t="s">
        <v>118</v>
      </c>
      <c r="C148" s="499" t="s">
        <v>653</v>
      </c>
      <c r="D148" s="500" t="s">
        <v>638</v>
      </c>
      <c r="E148" s="501" t="s">
        <v>954</v>
      </c>
      <c r="F148" s="461" t="s">
        <v>954</v>
      </c>
      <c r="H148" s="623"/>
      <c r="I148" s="623"/>
    </row>
    <row r="149" spans="1:9" ht="11.25" customHeight="1">
      <c r="A149" s="458" t="s">
        <v>119</v>
      </c>
      <c r="B149" s="458" t="s">
        <v>119</v>
      </c>
      <c r="C149" s="499" t="s">
        <v>651</v>
      </c>
      <c r="D149" s="500" t="s">
        <v>652</v>
      </c>
      <c r="E149" s="501" t="s">
        <v>1394</v>
      </c>
      <c r="F149" s="461" t="s">
        <v>1394</v>
      </c>
      <c r="H149" s="623"/>
      <c r="I149" s="623"/>
    </row>
    <row r="150" spans="1:9" ht="11.25" customHeight="1">
      <c r="A150" s="458" t="s">
        <v>120</v>
      </c>
      <c r="B150" s="458" t="s">
        <v>120</v>
      </c>
      <c r="C150" s="499" t="s">
        <v>651</v>
      </c>
      <c r="D150" s="500" t="s">
        <v>652</v>
      </c>
      <c r="E150" s="501" t="s">
        <v>1394</v>
      </c>
      <c r="F150" s="461" t="s">
        <v>1394</v>
      </c>
      <c r="H150" s="623"/>
      <c r="I150" s="623"/>
    </row>
    <row r="151" spans="1:9" ht="11.25" customHeight="1">
      <c r="A151" s="458" t="s">
        <v>602</v>
      </c>
      <c r="B151" s="458" t="s">
        <v>602</v>
      </c>
      <c r="C151" s="499" t="s">
        <v>1405</v>
      </c>
      <c r="D151" s="500" t="s">
        <v>638</v>
      </c>
      <c r="E151" s="501" t="s">
        <v>954</v>
      </c>
      <c r="F151" s="461" t="s">
        <v>954</v>
      </c>
      <c r="H151" s="623"/>
      <c r="I151" s="623"/>
    </row>
    <row r="152" spans="1:9" ht="11.25" customHeight="1">
      <c r="A152" s="462" t="s">
        <v>939</v>
      </c>
      <c r="B152" s="462" t="s">
        <v>939</v>
      </c>
      <c r="C152" s="499" t="s">
        <v>653</v>
      </c>
      <c r="D152" s="500" t="s">
        <v>638</v>
      </c>
      <c r="E152" s="501" t="s">
        <v>954</v>
      </c>
      <c r="F152" s="461" t="s">
        <v>954</v>
      </c>
      <c r="H152" s="623"/>
      <c r="I152" s="623"/>
    </row>
    <row r="153" spans="1:9" ht="11.25" customHeight="1">
      <c r="A153" s="462" t="s">
        <v>603</v>
      </c>
      <c r="B153" s="462" t="s">
        <v>603</v>
      </c>
      <c r="C153" s="499" t="s">
        <v>653</v>
      </c>
      <c r="D153" s="500" t="s">
        <v>638</v>
      </c>
      <c r="E153" s="501" t="s">
        <v>954</v>
      </c>
      <c r="F153" s="461" t="s">
        <v>954</v>
      </c>
      <c r="H153" s="623"/>
      <c r="I153" s="623"/>
    </row>
    <row r="154" spans="1:9" ht="11.25" customHeight="1">
      <c r="A154" s="462" t="s">
        <v>605</v>
      </c>
      <c r="B154" s="462" t="s">
        <v>605</v>
      </c>
      <c r="C154" s="499" t="s">
        <v>653</v>
      </c>
      <c r="D154" s="500" t="s">
        <v>638</v>
      </c>
      <c r="E154" s="501" t="s">
        <v>954</v>
      </c>
      <c r="F154" s="461" t="s">
        <v>954</v>
      </c>
      <c r="H154" s="623"/>
      <c r="I154" s="623"/>
    </row>
    <row r="155" spans="1:9" ht="11.25" customHeight="1">
      <c r="A155" s="458" t="s">
        <v>481</v>
      </c>
      <c r="B155" s="458" t="s">
        <v>481</v>
      </c>
      <c r="C155" s="499" t="s">
        <v>653</v>
      </c>
      <c r="D155" s="500" t="s">
        <v>638</v>
      </c>
      <c r="E155" s="501" t="s">
        <v>954</v>
      </c>
      <c r="F155" s="461" t="s">
        <v>954</v>
      </c>
      <c r="H155" s="623"/>
      <c r="I155" s="623"/>
    </row>
    <row r="156" spans="1:9" ht="11.25" customHeight="1">
      <c r="A156" s="458" t="s">
        <v>482</v>
      </c>
      <c r="B156" s="458" t="s">
        <v>482</v>
      </c>
      <c r="C156" s="499" t="s">
        <v>651</v>
      </c>
      <c r="D156" s="500" t="s">
        <v>21</v>
      </c>
      <c r="E156" s="501">
        <v>3.6336480000000004E-2</v>
      </c>
      <c r="F156" s="461">
        <v>0.99293803636363653</v>
      </c>
      <c r="H156" s="623"/>
      <c r="I156" s="623"/>
    </row>
    <row r="157" spans="1:9" ht="11.25" customHeight="1">
      <c r="A157" s="458" t="s">
        <v>483</v>
      </c>
      <c r="B157" s="458" t="s">
        <v>932</v>
      </c>
      <c r="C157" s="499" t="s">
        <v>651</v>
      </c>
      <c r="D157" s="500" t="s">
        <v>652</v>
      </c>
      <c r="E157" s="501">
        <v>44.580891428571441</v>
      </c>
      <c r="F157" s="461">
        <v>259.46680000000003</v>
      </c>
      <c r="H157" s="623"/>
      <c r="I157" s="623"/>
    </row>
    <row r="158" spans="1:9" ht="11.25" customHeight="1" thickBot="1">
      <c r="A158" s="516" t="s">
        <v>484</v>
      </c>
      <c r="B158" s="466" t="s">
        <v>484</v>
      </c>
      <c r="C158" s="625" t="s">
        <v>653</v>
      </c>
      <c r="D158" s="626" t="s">
        <v>638</v>
      </c>
      <c r="E158" s="627" t="s">
        <v>954</v>
      </c>
      <c r="F158" s="469" t="s">
        <v>954</v>
      </c>
      <c r="H158" s="623"/>
      <c r="I158" s="623"/>
    </row>
    <row r="159" spans="1:9" ht="11.25" customHeight="1" thickTop="1">
      <c r="B159" s="474" t="s">
        <v>488</v>
      </c>
      <c r="F159" s="476"/>
    </row>
    <row r="160" spans="1:9" ht="24.75" customHeight="1">
      <c r="B160" s="1386" t="s">
        <v>908</v>
      </c>
      <c r="C160" s="1181"/>
      <c r="D160" s="1181"/>
      <c r="E160" s="1181"/>
      <c r="F160" s="1387"/>
    </row>
    <row r="161" spans="2:6" ht="11.25" customHeight="1">
      <c r="B161" s="479"/>
      <c r="F161" s="476"/>
    </row>
    <row r="162" spans="2:6" ht="11.25" customHeight="1">
      <c r="B162" s="482" t="s">
        <v>1041</v>
      </c>
      <c r="C162" s="610"/>
      <c r="D162" s="588"/>
      <c r="E162" s="629"/>
      <c r="F162" s="630"/>
    </row>
    <row r="163" spans="2:6" ht="11.25" customHeight="1">
      <c r="B163" s="479" t="s">
        <v>573</v>
      </c>
      <c r="C163" s="610"/>
      <c r="D163" s="588"/>
      <c r="E163" s="629"/>
      <c r="F163" s="630"/>
    </row>
    <row r="164" spans="2:6" ht="11.25" customHeight="1">
      <c r="B164" s="479" t="s">
        <v>527</v>
      </c>
      <c r="C164" s="1"/>
      <c r="D164" s="588"/>
      <c r="E164" s="629"/>
      <c r="F164" s="630"/>
    </row>
    <row r="165" spans="2:6" ht="11.25" customHeight="1">
      <c r="B165" s="479" t="s">
        <v>933</v>
      </c>
      <c r="C165" s="1"/>
      <c r="D165" s="588"/>
      <c r="E165" s="629"/>
      <c r="F165" s="630"/>
    </row>
    <row r="166" spans="2:6" ht="11.25" customHeight="1">
      <c r="B166" s="479" t="s">
        <v>845</v>
      </c>
      <c r="C166" s="1"/>
      <c r="D166" s="588"/>
      <c r="E166" s="629"/>
      <c r="F166" s="630"/>
    </row>
    <row r="167" spans="2:6" ht="11.25" customHeight="1">
      <c r="B167" s="631" t="s">
        <v>497</v>
      </c>
      <c r="C167" s="632"/>
      <c r="D167" s="588"/>
      <c r="E167" s="629"/>
      <c r="F167" s="630"/>
    </row>
    <row r="168" spans="2:6" ht="11.25" customHeight="1">
      <c r="B168" s="631" t="s">
        <v>699</v>
      </c>
      <c r="C168" s="632"/>
      <c r="D168" s="588"/>
      <c r="E168" s="629"/>
      <c r="F168" s="630"/>
    </row>
    <row r="169" spans="2:6" ht="11.25" customHeight="1">
      <c r="B169" s="631" t="s">
        <v>528</v>
      </c>
      <c r="C169" s="632"/>
      <c r="D169" s="588"/>
      <c r="E169" s="629"/>
      <c r="F169" s="630"/>
    </row>
    <row r="170" spans="2:6" ht="11.25" customHeight="1" thickBot="1">
      <c r="B170" s="5"/>
      <c r="C170" s="487"/>
      <c r="D170" s="633"/>
      <c r="E170" s="634"/>
      <c r="F170" s="635"/>
    </row>
    <row r="171" spans="2:6" ht="13.15" thickTop="1">
      <c r="D171" s="2"/>
      <c r="E171" s="629"/>
      <c r="F171" s="629"/>
    </row>
    <row r="172" spans="2:6" ht="12.75">
      <c r="B172" s="3"/>
      <c r="C172" s="3"/>
      <c r="D172" s="2"/>
      <c r="E172" s="629"/>
      <c r="F172" s="629"/>
    </row>
    <row r="173" spans="2:6" ht="12.75">
      <c r="B173" s="2"/>
      <c r="C173" s="2"/>
      <c r="D173" s="2"/>
      <c r="E173" s="629"/>
      <c r="F173" s="629"/>
    </row>
    <row r="174" spans="2:6" ht="12.75">
      <c r="B174" s="2"/>
      <c r="C174" s="2"/>
      <c r="D174" s="2"/>
      <c r="E174" s="629"/>
      <c r="F174" s="629"/>
    </row>
    <row r="175" spans="2:6" ht="12.75">
      <c r="B175" s="2"/>
      <c r="C175" s="2"/>
      <c r="D175" s="2"/>
      <c r="E175" s="629"/>
      <c r="F175" s="629"/>
    </row>
    <row r="176" spans="2:6" ht="12.75">
      <c r="B176" s="2"/>
      <c r="C176" s="2"/>
      <c r="D176" s="2"/>
      <c r="E176" s="629"/>
      <c r="F176" s="629"/>
    </row>
    <row r="177" spans="2:6" ht="12.75">
      <c r="B177" s="2"/>
      <c r="C177" s="2"/>
      <c r="D177" s="2"/>
      <c r="E177" s="629"/>
      <c r="F177" s="629"/>
    </row>
    <row r="178" spans="2:6" ht="12.75">
      <c r="B178" s="2"/>
      <c r="C178" s="2"/>
      <c r="D178" s="2"/>
      <c r="E178" s="629"/>
      <c r="F178" s="629"/>
    </row>
    <row r="179" spans="2:6" ht="12.75">
      <c r="B179" s="2"/>
      <c r="C179" s="2"/>
      <c r="D179" s="2"/>
      <c r="E179" s="629"/>
      <c r="F179" s="629"/>
    </row>
    <row r="180" spans="2:6" ht="12.75">
      <c r="B180" s="2"/>
      <c r="C180" s="2"/>
      <c r="D180" s="2"/>
      <c r="E180" s="629"/>
      <c r="F180" s="629"/>
    </row>
    <row r="181" spans="2:6" ht="12.75">
      <c r="B181" s="2"/>
      <c r="C181" s="2"/>
      <c r="D181" s="2"/>
      <c r="E181" s="629"/>
      <c r="F181" s="629"/>
    </row>
    <row r="182" spans="2:6" ht="12.75">
      <c r="B182" s="2"/>
      <c r="C182" s="2"/>
      <c r="D182" s="2"/>
      <c r="E182" s="629"/>
      <c r="F182" s="629"/>
    </row>
    <row r="183" spans="2:6" ht="12.75">
      <c r="B183" s="2"/>
      <c r="C183" s="2"/>
      <c r="D183" s="2"/>
      <c r="E183" s="629"/>
      <c r="F183" s="629"/>
    </row>
    <row r="184" spans="2:6" ht="12.75">
      <c r="B184" s="2"/>
      <c r="C184" s="2"/>
      <c r="D184" s="2"/>
      <c r="E184" s="629"/>
      <c r="F184" s="629"/>
    </row>
    <row r="185" spans="2:6" ht="12.75">
      <c r="B185" s="2"/>
      <c r="C185" s="2"/>
      <c r="D185" s="2"/>
      <c r="E185" s="629"/>
      <c r="F185" s="629"/>
    </row>
    <row r="186" spans="2:6" ht="12.75">
      <c r="B186" s="2"/>
      <c r="C186" s="2"/>
      <c r="D186" s="2"/>
      <c r="E186" s="629"/>
      <c r="F186" s="629"/>
    </row>
    <row r="187" spans="2:6" ht="12.75">
      <c r="B187" s="2"/>
      <c r="C187" s="2"/>
      <c r="D187" s="2"/>
      <c r="E187" s="629"/>
      <c r="F187" s="629"/>
    </row>
    <row r="188" spans="2:6" ht="12.75">
      <c r="B188" s="2"/>
      <c r="C188" s="2"/>
      <c r="D188" s="2"/>
      <c r="E188" s="629"/>
      <c r="F188" s="629"/>
    </row>
    <row r="189" spans="2:6" ht="12.75">
      <c r="B189" s="2"/>
      <c r="C189" s="2"/>
      <c r="D189" s="2"/>
      <c r="E189" s="629"/>
      <c r="F189" s="629"/>
    </row>
    <row r="190" spans="2:6" ht="12.75">
      <c r="B190" s="2"/>
      <c r="C190" s="2"/>
      <c r="D190" s="2"/>
      <c r="E190" s="629"/>
      <c r="F190" s="629"/>
    </row>
    <row r="191" spans="2:6" ht="12.75">
      <c r="B191" s="2"/>
      <c r="C191" s="2"/>
      <c r="D191" s="2"/>
      <c r="E191" s="629"/>
      <c r="F191" s="629"/>
    </row>
    <row r="192" spans="2:6" ht="12.75">
      <c r="B192" s="2"/>
      <c r="C192" s="2"/>
      <c r="D192" s="2"/>
      <c r="E192" s="629"/>
      <c r="F192" s="629"/>
    </row>
    <row r="193" spans="2:6" ht="12.75">
      <c r="B193" s="2"/>
      <c r="C193" s="2"/>
      <c r="D193" s="2"/>
      <c r="E193" s="629"/>
      <c r="F193" s="629"/>
    </row>
    <row r="194" spans="2:6" ht="12.75">
      <c r="B194" s="2"/>
      <c r="C194" s="2"/>
      <c r="D194" s="2"/>
      <c r="E194" s="629"/>
      <c r="F194" s="629"/>
    </row>
    <row r="195" spans="2:6" ht="12.75">
      <c r="B195" s="2"/>
      <c r="C195" s="2"/>
      <c r="D195" s="2"/>
      <c r="E195" s="629"/>
      <c r="F195" s="629"/>
    </row>
    <row r="196" spans="2:6" ht="12.75">
      <c r="B196" s="2"/>
      <c r="C196" s="2"/>
      <c r="D196" s="2"/>
      <c r="E196" s="629"/>
      <c r="F196" s="629"/>
    </row>
    <row r="197" spans="2:6" ht="12.75">
      <c r="B197" s="2"/>
      <c r="C197" s="2"/>
      <c r="D197" s="2"/>
      <c r="E197" s="629"/>
      <c r="F197" s="629"/>
    </row>
    <row r="198" spans="2:6" ht="12.75">
      <c r="B198" s="2"/>
      <c r="C198" s="2"/>
      <c r="D198" s="2"/>
      <c r="E198" s="629"/>
      <c r="F198" s="629"/>
    </row>
    <row r="199" spans="2:6" ht="12.75">
      <c r="B199" s="2"/>
      <c r="C199" s="2"/>
      <c r="D199" s="2"/>
      <c r="E199" s="629"/>
      <c r="F199" s="629"/>
    </row>
    <row r="200" spans="2:6" ht="12.75">
      <c r="B200" s="2"/>
      <c r="C200" s="2"/>
      <c r="D200" s="2"/>
      <c r="E200" s="629"/>
      <c r="F200" s="629"/>
    </row>
    <row r="201" spans="2:6" ht="12.75">
      <c r="B201" s="2"/>
      <c r="C201" s="2"/>
      <c r="D201" s="2"/>
      <c r="E201" s="629"/>
      <c r="F201" s="629"/>
    </row>
    <row r="202" spans="2:6" ht="12.75">
      <c r="B202" s="2"/>
      <c r="C202" s="2"/>
      <c r="D202" s="2"/>
      <c r="E202" s="629"/>
      <c r="F202" s="629"/>
    </row>
    <row r="203" spans="2:6" ht="12.75">
      <c r="B203" s="2"/>
      <c r="C203" s="2"/>
      <c r="D203" s="2"/>
      <c r="E203" s="629"/>
      <c r="F203" s="629"/>
    </row>
    <row r="204" spans="2:6" ht="12.75">
      <c r="B204" s="2"/>
      <c r="C204" s="2"/>
      <c r="D204" s="2"/>
      <c r="E204" s="629"/>
      <c r="F204" s="629"/>
    </row>
    <row r="205" spans="2:6" ht="12.75">
      <c r="B205" s="2"/>
      <c r="C205" s="2"/>
      <c r="D205" s="2"/>
      <c r="E205" s="629"/>
      <c r="F205" s="629"/>
    </row>
    <row r="206" spans="2:6" ht="12.75">
      <c r="B206" s="2"/>
      <c r="C206" s="2"/>
      <c r="D206" s="2"/>
      <c r="E206" s="629"/>
      <c r="F206" s="629"/>
    </row>
    <row r="207" spans="2:6" ht="12.75">
      <c r="B207" s="2"/>
      <c r="C207" s="2"/>
      <c r="D207" s="2"/>
      <c r="E207" s="629"/>
      <c r="F207" s="629"/>
    </row>
    <row r="208" spans="2:6" ht="12.75">
      <c r="B208" s="2"/>
      <c r="C208" s="2"/>
      <c r="D208" s="2"/>
      <c r="E208" s="629"/>
      <c r="F208" s="629"/>
    </row>
    <row r="209" spans="2:6" ht="12.75">
      <c r="B209" s="2"/>
      <c r="C209" s="2"/>
      <c r="D209" s="2"/>
      <c r="E209" s="629"/>
      <c r="F209" s="629"/>
    </row>
    <row r="210" spans="2:6" ht="12.75">
      <c r="B210" s="2"/>
      <c r="C210" s="2"/>
      <c r="D210" s="2"/>
      <c r="E210" s="629"/>
      <c r="F210" s="629"/>
    </row>
    <row r="211" spans="2:6" ht="12.75">
      <c r="B211" s="2"/>
      <c r="C211" s="2"/>
      <c r="D211" s="2"/>
      <c r="E211" s="629"/>
      <c r="F211" s="629"/>
    </row>
    <row r="212" spans="2:6" ht="12.75">
      <c r="B212" s="2"/>
      <c r="C212" s="2"/>
      <c r="D212" s="2"/>
      <c r="E212" s="629"/>
      <c r="F212" s="629"/>
    </row>
    <row r="213" spans="2:6" ht="12.75">
      <c r="B213" s="2"/>
      <c r="C213" s="2"/>
      <c r="D213" s="2"/>
      <c r="E213" s="629"/>
      <c r="F213" s="629"/>
    </row>
    <row r="214" spans="2:6" ht="12.75">
      <c r="B214" s="2"/>
      <c r="C214" s="2"/>
      <c r="D214" s="2"/>
      <c r="E214" s="629"/>
      <c r="F214" s="629"/>
    </row>
    <row r="215" spans="2:6" ht="12.75">
      <c r="B215" s="2"/>
      <c r="C215" s="2"/>
      <c r="D215" s="2"/>
      <c r="E215" s="629"/>
      <c r="F215" s="629"/>
    </row>
    <row r="216" spans="2:6" ht="12.75">
      <c r="B216" s="2"/>
      <c r="C216" s="2"/>
      <c r="D216" s="2"/>
      <c r="E216" s="629"/>
      <c r="F216" s="629"/>
    </row>
    <row r="217" spans="2:6" ht="12.75">
      <c r="B217" s="2"/>
      <c r="C217" s="2"/>
      <c r="D217" s="2"/>
      <c r="E217" s="629"/>
      <c r="F217" s="629"/>
    </row>
    <row r="218" spans="2:6" ht="12.75">
      <c r="B218" s="2"/>
      <c r="C218" s="2"/>
      <c r="D218" s="2"/>
      <c r="E218" s="629"/>
      <c r="F218" s="629"/>
    </row>
    <row r="219" spans="2:6" ht="12.75">
      <c r="B219" s="2"/>
      <c r="C219" s="2"/>
      <c r="D219" s="2"/>
      <c r="E219" s="629"/>
      <c r="F219" s="629"/>
    </row>
    <row r="220" spans="2:6" ht="12.75">
      <c r="B220" s="2"/>
      <c r="C220" s="2"/>
      <c r="D220" s="2"/>
      <c r="E220" s="629"/>
      <c r="F220" s="629"/>
    </row>
    <row r="221" spans="2:6" ht="12.75">
      <c r="B221" s="2"/>
      <c r="C221" s="2"/>
      <c r="D221" s="2"/>
      <c r="E221" s="629"/>
      <c r="F221" s="629"/>
    </row>
    <row r="222" spans="2:6" ht="12.75">
      <c r="B222" s="2"/>
      <c r="C222" s="2"/>
      <c r="D222" s="2"/>
      <c r="E222" s="629"/>
      <c r="F222" s="629"/>
    </row>
    <row r="223" spans="2:6" ht="12.75">
      <c r="B223" s="2"/>
      <c r="C223" s="2"/>
      <c r="D223" s="2"/>
      <c r="E223" s="629"/>
      <c r="F223" s="629"/>
    </row>
    <row r="224" spans="2:6" ht="12.75">
      <c r="B224" s="2"/>
      <c r="C224" s="2"/>
      <c r="D224" s="2"/>
      <c r="E224" s="629"/>
      <c r="F224" s="629"/>
    </row>
    <row r="225" spans="2:6" ht="12.75">
      <c r="B225" s="2"/>
      <c r="C225" s="2"/>
      <c r="D225" s="2"/>
      <c r="E225" s="629"/>
      <c r="F225" s="629"/>
    </row>
    <row r="226" spans="2:6" ht="12.75">
      <c r="B226" s="2"/>
      <c r="C226" s="2"/>
      <c r="D226" s="2"/>
      <c r="E226" s="629"/>
      <c r="F226" s="629"/>
    </row>
    <row r="227" spans="2:6" ht="12.75">
      <c r="B227" s="2"/>
      <c r="C227" s="2"/>
      <c r="D227" s="2"/>
      <c r="E227" s="629"/>
      <c r="F227" s="629"/>
    </row>
    <row r="228" spans="2:6" ht="12.75">
      <c r="B228" s="2"/>
      <c r="C228" s="2"/>
      <c r="D228" s="2"/>
      <c r="E228" s="629"/>
      <c r="F228" s="629"/>
    </row>
    <row r="229" spans="2:6" ht="12.75">
      <c r="B229" s="2"/>
      <c r="C229" s="2"/>
      <c r="D229" s="2"/>
      <c r="E229" s="629"/>
      <c r="F229" s="629"/>
    </row>
    <row r="230" spans="2:6" ht="12.75">
      <c r="B230" s="2"/>
      <c r="C230" s="2"/>
      <c r="D230" s="2"/>
      <c r="E230" s="629"/>
      <c r="F230" s="629"/>
    </row>
    <row r="231" spans="2:6" ht="12.75">
      <c r="B231" s="2"/>
      <c r="C231" s="2"/>
      <c r="D231" s="2"/>
      <c r="E231" s="629"/>
      <c r="F231" s="629"/>
    </row>
    <row r="232" spans="2:6" ht="12.75">
      <c r="B232" s="2"/>
      <c r="C232" s="2"/>
      <c r="D232" s="2"/>
      <c r="E232" s="629"/>
      <c r="F232" s="629"/>
    </row>
    <row r="233" spans="2:6" ht="12.75">
      <c r="B233" s="2"/>
      <c r="C233" s="2"/>
      <c r="D233" s="2"/>
      <c r="E233" s="629"/>
      <c r="F233" s="629"/>
    </row>
    <row r="234" spans="2:6" ht="12.75">
      <c r="B234" s="2"/>
      <c r="C234" s="2"/>
      <c r="D234" s="2"/>
      <c r="E234" s="629"/>
      <c r="F234" s="629"/>
    </row>
    <row r="235" spans="2:6" ht="12.75">
      <c r="B235" s="2"/>
      <c r="C235" s="2"/>
      <c r="D235" s="2"/>
      <c r="E235" s="629"/>
      <c r="F235" s="629"/>
    </row>
    <row r="236" spans="2:6" ht="12.75">
      <c r="B236" s="2"/>
      <c r="C236" s="2"/>
      <c r="D236" s="2"/>
      <c r="E236" s="629"/>
      <c r="F236" s="629"/>
    </row>
    <row r="237" spans="2:6" ht="12.75">
      <c r="B237" s="2"/>
      <c r="C237" s="2"/>
      <c r="D237" s="2"/>
      <c r="E237" s="629"/>
      <c r="F237" s="629"/>
    </row>
    <row r="238" spans="2:6" ht="12.75">
      <c r="B238" s="2"/>
      <c r="C238" s="2"/>
      <c r="D238" s="2"/>
      <c r="E238" s="629"/>
      <c r="F238" s="629"/>
    </row>
    <row r="239" spans="2:6" ht="12.75">
      <c r="B239" s="2"/>
      <c r="C239" s="2"/>
      <c r="D239" s="2"/>
      <c r="E239" s="629"/>
      <c r="F239" s="629"/>
    </row>
    <row r="240" spans="2:6" ht="12.75">
      <c r="B240" s="2"/>
      <c r="C240" s="2"/>
      <c r="D240" s="2"/>
      <c r="E240" s="629"/>
      <c r="F240" s="629"/>
    </row>
    <row r="241" spans="2:9" ht="12.75">
      <c r="B241" s="2"/>
      <c r="C241" s="2"/>
      <c r="D241" s="2"/>
      <c r="E241" s="629"/>
      <c r="F241" s="629"/>
    </row>
    <row r="242" spans="2:9" ht="12.75">
      <c r="B242" s="2"/>
      <c r="C242" s="2"/>
      <c r="D242" s="2"/>
      <c r="E242" s="629"/>
      <c r="F242" s="629"/>
    </row>
    <row r="243" spans="2:9" ht="12.75">
      <c r="B243" s="2"/>
      <c r="C243" s="2"/>
      <c r="D243" s="2"/>
      <c r="E243" s="629"/>
      <c r="F243" s="629"/>
    </row>
    <row r="244" spans="2:9" s="2" customFormat="1" ht="12.75">
      <c r="E244" s="629"/>
      <c r="F244" s="629"/>
      <c r="H244" s="638"/>
      <c r="I244" s="638"/>
    </row>
    <row r="245" spans="2:9" s="2" customFormat="1" ht="12.75">
      <c r="E245" s="629"/>
      <c r="F245" s="629"/>
      <c r="H245" s="638"/>
      <c r="I245" s="638"/>
    </row>
    <row r="246" spans="2:9" s="2" customFormat="1" ht="12.75">
      <c r="E246" s="629"/>
      <c r="F246" s="629"/>
      <c r="H246" s="638"/>
      <c r="I246" s="638"/>
    </row>
    <row r="247" spans="2:9" s="2" customFormat="1" ht="12.75">
      <c r="E247" s="629"/>
      <c r="F247" s="629"/>
      <c r="H247" s="638"/>
      <c r="I247" s="638"/>
    </row>
    <row r="248" spans="2:9" s="2" customFormat="1" ht="12.75">
      <c r="E248" s="629"/>
      <c r="F248" s="629"/>
      <c r="H248" s="638"/>
      <c r="I248" s="638"/>
    </row>
  </sheetData>
  <sheetProtection algorithmName="SHA-512" hashValue="j19oRcyC4TV8TXHVSHv6j0kfvZw4PfEo1OzH6hjqsLT3zZk9WCSqMR9FbJqw+eZQP0ZQpiPqw6i5/Rq2EbPfEw==" saltValue="MrCLyIp1ZSlCDEo+lAgd8A==" spinCount="100000" sheet="1" objects="1" scenarios="1"/>
  <mergeCells count="3">
    <mergeCell ref="C3:D3"/>
    <mergeCell ref="C4:D4"/>
    <mergeCell ref="B160:F160"/>
  </mergeCells>
  <phoneticPr fontId="0" type="noConversion"/>
  <printOptions horizontalCentered="1"/>
  <pageMargins left="0.92" right="0.41" top="0.53" bottom="1" header="0.5" footer="0.5"/>
  <pageSetup scale="94" fitToHeight="4" orientation="portrait" r:id="rId1"/>
  <headerFooter alignWithMargins="0">
    <oddFooter>&amp;LHawai'i DOH
Spring 2024&amp;C&amp;8Page &amp;P of &amp;N&amp;R&amp;A</oddFooter>
  </headerFooter>
  <rowBreaks count="1" manualBreakCount="1">
    <brk id="155"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29"/>
    <pageSetUpPr fitToPage="1"/>
  </sheetPr>
  <dimension ref="A1:N428"/>
  <sheetViews>
    <sheetView zoomScale="85" zoomScaleNormal="85" workbookViewId="0">
      <pane ySplit="2145" topLeftCell="A7" activePane="bottomLeft"/>
      <selection activeCell="B7" sqref="B7"/>
      <selection pane="bottomLeft" activeCell="B7" sqref="B7"/>
    </sheetView>
  </sheetViews>
  <sheetFormatPr defaultColWidth="9.1328125" defaultRowHeight="12.75"/>
  <cols>
    <col min="1" max="1" width="40.73046875" style="518" customWidth="1"/>
    <col min="2" max="3" width="3.73046875" style="518" customWidth="1"/>
    <col min="4" max="4" width="11.73046875" style="475" customWidth="1"/>
    <col min="5" max="6" width="13.73046875" style="475" customWidth="1"/>
    <col min="7" max="7" width="11.73046875" style="475" customWidth="1"/>
    <col min="8" max="9" width="13.73046875" style="475" customWidth="1"/>
    <col min="10" max="14" width="9.1328125" style="2"/>
    <col min="15" max="16384" width="9.1328125" style="3"/>
  </cols>
  <sheetData>
    <row r="1" spans="1:14" ht="46.9">
      <c r="A1" s="6" t="s">
        <v>1134</v>
      </c>
      <c r="B1" s="6"/>
      <c r="C1" s="614"/>
      <c r="D1" s="530"/>
      <c r="E1" s="530"/>
      <c r="F1" s="530"/>
      <c r="G1" s="639"/>
      <c r="H1" s="444"/>
      <c r="I1" s="444"/>
    </row>
    <row r="2" spans="1:14" ht="13.15" thickBot="1"/>
    <row r="3" spans="1:14" ht="13.5" thickTop="1" thickBot="1">
      <c r="A3" s="617"/>
      <c r="B3" s="640"/>
      <c r="C3" s="628"/>
      <c r="D3" s="1420" t="s">
        <v>913</v>
      </c>
      <c r="E3" s="1421"/>
      <c r="F3" s="1422"/>
      <c r="G3" s="641" t="s">
        <v>914</v>
      </c>
      <c r="H3" s="642"/>
      <c r="I3" s="643"/>
    </row>
    <row r="4" spans="1:14">
      <c r="A4" s="644"/>
      <c r="B4" s="645"/>
      <c r="D4" s="540" t="s">
        <v>236</v>
      </c>
      <c r="E4" s="646" t="s">
        <v>584</v>
      </c>
      <c r="F4" s="1159" t="s">
        <v>586</v>
      </c>
      <c r="G4" s="647" t="s">
        <v>236</v>
      </c>
      <c r="H4" s="648" t="s">
        <v>584</v>
      </c>
      <c r="I4" s="649" t="s">
        <v>586</v>
      </c>
    </row>
    <row r="5" spans="1:14">
      <c r="A5" s="644"/>
      <c r="B5" s="1416" t="s">
        <v>633</v>
      </c>
      <c r="C5" s="1417"/>
      <c r="D5" s="682" t="s">
        <v>859</v>
      </c>
      <c r="E5" s="651" t="s">
        <v>585</v>
      </c>
      <c r="F5" s="578" t="s">
        <v>585</v>
      </c>
      <c r="G5" s="652" t="s">
        <v>191</v>
      </c>
      <c r="H5" s="653" t="s">
        <v>585</v>
      </c>
      <c r="I5" s="654" t="s">
        <v>585</v>
      </c>
    </row>
    <row r="6" spans="1:14" s="624" customFormat="1" ht="13.5" customHeight="1" thickBot="1">
      <c r="A6" s="655" t="s">
        <v>232</v>
      </c>
      <c r="B6" s="1418" t="s">
        <v>643</v>
      </c>
      <c r="C6" s="1419"/>
      <c r="D6" s="1160" t="s">
        <v>240</v>
      </c>
      <c r="E6" s="657" t="s">
        <v>240</v>
      </c>
      <c r="F6" s="1161" t="s">
        <v>240</v>
      </c>
      <c r="G6" s="656" t="s">
        <v>240</v>
      </c>
      <c r="H6" s="657" t="s">
        <v>240</v>
      </c>
      <c r="I6" s="658" t="s">
        <v>240</v>
      </c>
      <c r="J6" s="2"/>
      <c r="K6" s="2"/>
      <c r="L6" s="2"/>
      <c r="M6" s="2"/>
      <c r="N6" s="2"/>
    </row>
    <row r="7" spans="1:14" s="624" customFormat="1" ht="11.25" customHeight="1">
      <c r="A7" s="454" t="s">
        <v>548</v>
      </c>
      <c r="B7" s="495" t="s">
        <v>651</v>
      </c>
      <c r="C7" s="1156" t="s">
        <v>638</v>
      </c>
      <c r="D7" s="556">
        <v>87599.999999999985</v>
      </c>
      <c r="E7" s="497" t="s">
        <v>954</v>
      </c>
      <c r="F7" s="590">
        <v>87599.999999999985</v>
      </c>
      <c r="G7" s="659">
        <v>735840</v>
      </c>
      <c r="H7" s="497" t="s">
        <v>954</v>
      </c>
      <c r="I7" s="457">
        <v>735840</v>
      </c>
      <c r="J7" s="2"/>
      <c r="K7" s="2"/>
      <c r="L7" s="2"/>
      <c r="M7" s="2"/>
      <c r="N7" s="2"/>
    </row>
    <row r="8" spans="1:14" s="624" customFormat="1" ht="11.25" customHeight="1">
      <c r="A8" s="458" t="s">
        <v>549</v>
      </c>
      <c r="B8" s="499" t="s">
        <v>651</v>
      </c>
      <c r="C8" s="1157" t="s">
        <v>638</v>
      </c>
      <c r="D8" s="562">
        <v>66742.857142857145</v>
      </c>
      <c r="E8" s="501" t="s">
        <v>954</v>
      </c>
      <c r="F8" s="523">
        <v>66742.857142857145</v>
      </c>
      <c r="G8" s="660">
        <v>560640.00000000012</v>
      </c>
      <c r="H8" s="501" t="s">
        <v>954</v>
      </c>
      <c r="I8" s="461">
        <v>560640.00000000012</v>
      </c>
      <c r="J8" s="2"/>
      <c r="K8" s="2"/>
      <c r="L8" s="2"/>
      <c r="M8" s="2"/>
      <c r="N8" s="2"/>
    </row>
    <row r="9" spans="1:14" s="624" customFormat="1" ht="11.25" customHeight="1">
      <c r="A9" s="458" t="s">
        <v>550</v>
      </c>
      <c r="B9" s="499" t="s">
        <v>651</v>
      </c>
      <c r="C9" s="1157" t="s">
        <v>652</v>
      </c>
      <c r="D9" s="562">
        <v>1314000</v>
      </c>
      <c r="E9" s="501" t="s">
        <v>954</v>
      </c>
      <c r="F9" s="523">
        <v>1314000</v>
      </c>
      <c r="G9" s="660">
        <v>11037600.000000002</v>
      </c>
      <c r="H9" s="501" t="s">
        <v>954</v>
      </c>
      <c r="I9" s="461">
        <v>11037600.000000002</v>
      </c>
      <c r="J9" s="2"/>
      <c r="K9" s="2"/>
      <c r="L9" s="2"/>
      <c r="M9" s="2"/>
      <c r="N9" s="2"/>
    </row>
    <row r="10" spans="1:14" s="624" customFormat="1" ht="11.25" customHeight="1">
      <c r="A10" s="458" t="s">
        <v>551</v>
      </c>
      <c r="B10" s="499" t="s">
        <v>1405</v>
      </c>
      <c r="C10" s="1157" t="s">
        <v>638</v>
      </c>
      <c r="D10" s="562">
        <v>114.59968602825747</v>
      </c>
      <c r="E10" s="501">
        <v>114.59968602825747</v>
      </c>
      <c r="F10" s="523" t="s">
        <v>954</v>
      </c>
      <c r="G10" s="660">
        <v>1001.1428571428573</v>
      </c>
      <c r="H10" s="501">
        <v>1001.1428571428573</v>
      </c>
      <c r="I10" s="461" t="s">
        <v>954</v>
      </c>
      <c r="J10" s="2"/>
      <c r="K10" s="2"/>
      <c r="L10" s="2"/>
      <c r="M10" s="2"/>
      <c r="N10" s="2"/>
    </row>
    <row r="11" spans="1:14" s="624" customFormat="1" ht="11.25" customHeight="1">
      <c r="A11" s="458" t="s">
        <v>161</v>
      </c>
      <c r="B11" s="499" t="s">
        <v>653</v>
      </c>
      <c r="C11" s="1157" t="s">
        <v>638</v>
      </c>
      <c r="D11" s="562" t="s">
        <v>954</v>
      </c>
      <c r="E11" s="501" t="s">
        <v>954</v>
      </c>
      <c r="F11" s="523" t="s">
        <v>954</v>
      </c>
      <c r="G11" s="660" t="s">
        <v>954</v>
      </c>
      <c r="H11" s="501" t="s">
        <v>954</v>
      </c>
      <c r="I11" s="461" t="s">
        <v>954</v>
      </c>
      <c r="J11" s="2"/>
      <c r="K11" s="2"/>
      <c r="L11" s="2"/>
      <c r="M11" s="2"/>
      <c r="N11" s="2"/>
    </row>
    <row r="12" spans="1:14" s="624" customFormat="1" ht="11.25" customHeight="1">
      <c r="A12" s="462" t="s">
        <v>162</v>
      </c>
      <c r="B12" s="499" t="s">
        <v>653</v>
      </c>
      <c r="C12" s="1157" t="s">
        <v>638</v>
      </c>
      <c r="D12" s="562" t="s">
        <v>954</v>
      </c>
      <c r="E12" s="501" t="s">
        <v>954</v>
      </c>
      <c r="F12" s="523" t="s">
        <v>954</v>
      </c>
      <c r="G12" s="660" t="s">
        <v>954</v>
      </c>
      <c r="H12" s="501" t="s">
        <v>954</v>
      </c>
      <c r="I12" s="461" t="s">
        <v>954</v>
      </c>
      <c r="J12" s="2"/>
      <c r="K12" s="2"/>
      <c r="L12" s="2"/>
      <c r="M12" s="2"/>
      <c r="N12" s="2"/>
    </row>
    <row r="13" spans="1:14" s="624" customFormat="1" ht="11.25" customHeight="1">
      <c r="A13" s="462" t="s">
        <v>94</v>
      </c>
      <c r="B13" s="499" t="s">
        <v>653</v>
      </c>
      <c r="C13" s="1157" t="s">
        <v>638</v>
      </c>
      <c r="D13" s="562" t="s">
        <v>954</v>
      </c>
      <c r="E13" s="501" t="s">
        <v>954</v>
      </c>
      <c r="F13" s="523" t="s">
        <v>954</v>
      </c>
      <c r="G13" s="660" t="s">
        <v>954</v>
      </c>
      <c r="H13" s="501" t="s">
        <v>954</v>
      </c>
      <c r="I13" s="461" t="s">
        <v>954</v>
      </c>
      <c r="J13" s="2"/>
      <c r="K13" s="2"/>
      <c r="L13" s="2"/>
      <c r="M13" s="2"/>
      <c r="N13" s="2"/>
    </row>
    <row r="14" spans="1:14" s="624" customFormat="1" ht="11.25" customHeight="1">
      <c r="A14" s="458" t="s">
        <v>552</v>
      </c>
      <c r="B14" s="499" t="s">
        <v>651</v>
      </c>
      <c r="C14" s="1157" t="s">
        <v>638</v>
      </c>
      <c r="D14" s="562">
        <v>458857.14285714284</v>
      </c>
      <c r="E14" s="501" t="s">
        <v>954</v>
      </c>
      <c r="F14" s="523">
        <v>458857.14285714284</v>
      </c>
      <c r="G14" s="660">
        <v>3854400.0000000005</v>
      </c>
      <c r="H14" s="501" t="s">
        <v>954</v>
      </c>
      <c r="I14" s="461">
        <v>3854400.0000000005</v>
      </c>
      <c r="J14" s="2"/>
      <c r="K14" s="2"/>
      <c r="L14" s="2"/>
      <c r="M14" s="2"/>
      <c r="N14" s="2"/>
    </row>
    <row r="15" spans="1:14" s="624" customFormat="1" ht="11.25" customHeight="1">
      <c r="A15" s="458" t="s">
        <v>553</v>
      </c>
      <c r="B15" s="499" t="s">
        <v>653</v>
      </c>
      <c r="C15" s="1157" t="s">
        <v>638</v>
      </c>
      <c r="D15" s="562" t="s">
        <v>954</v>
      </c>
      <c r="E15" s="501" t="s">
        <v>954</v>
      </c>
      <c r="F15" s="523" t="s">
        <v>954</v>
      </c>
      <c r="G15" s="660" t="s">
        <v>954</v>
      </c>
      <c r="H15" s="501" t="s">
        <v>954</v>
      </c>
      <c r="I15" s="461" t="s">
        <v>954</v>
      </c>
      <c r="J15" s="2"/>
      <c r="K15" s="2"/>
      <c r="L15" s="2"/>
      <c r="M15" s="2"/>
      <c r="N15" s="2"/>
    </row>
    <row r="16" spans="1:14" s="624" customFormat="1" ht="11.25" customHeight="1">
      <c r="A16" s="458" t="s">
        <v>686</v>
      </c>
      <c r="B16" s="499" t="s">
        <v>653</v>
      </c>
      <c r="C16" s="1157" t="s">
        <v>638</v>
      </c>
      <c r="D16" s="562" t="s">
        <v>954</v>
      </c>
      <c r="E16" s="501" t="s">
        <v>954</v>
      </c>
      <c r="F16" s="523" t="s">
        <v>954</v>
      </c>
      <c r="G16" s="660" t="s">
        <v>954</v>
      </c>
      <c r="H16" s="501" t="s">
        <v>954</v>
      </c>
      <c r="I16" s="461" t="s">
        <v>954</v>
      </c>
      <c r="J16" s="2"/>
      <c r="K16" s="2"/>
      <c r="L16" s="2"/>
      <c r="M16" s="2"/>
      <c r="N16" s="2"/>
    </row>
    <row r="17" spans="1:14" s="624" customFormat="1" ht="11.25" customHeight="1">
      <c r="A17" s="458" t="s">
        <v>95</v>
      </c>
      <c r="B17" s="499" t="s">
        <v>653</v>
      </c>
      <c r="C17" s="1157" t="s">
        <v>638</v>
      </c>
      <c r="D17" s="562" t="s">
        <v>954</v>
      </c>
      <c r="E17" s="501" t="s">
        <v>954</v>
      </c>
      <c r="F17" s="523" t="s">
        <v>954</v>
      </c>
      <c r="G17" s="660" t="s">
        <v>954</v>
      </c>
      <c r="H17" s="501" t="s">
        <v>954</v>
      </c>
      <c r="I17" s="461" t="s">
        <v>954</v>
      </c>
      <c r="J17" s="2"/>
      <c r="K17" s="2"/>
      <c r="L17" s="2"/>
      <c r="M17" s="2"/>
      <c r="N17" s="2"/>
    </row>
    <row r="18" spans="1:14" s="624" customFormat="1" ht="11.25" customHeight="1">
      <c r="A18" s="458" t="s">
        <v>687</v>
      </c>
      <c r="B18" s="499" t="s">
        <v>653</v>
      </c>
      <c r="C18" s="1157" t="s">
        <v>638</v>
      </c>
      <c r="D18" s="562" t="s">
        <v>954</v>
      </c>
      <c r="E18" s="501" t="s">
        <v>954</v>
      </c>
      <c r="F18" s="523" t="s">
        <v>954</v>
      </c>
      <c r="G18" s="660" t="s">
        <v>954</v>
      </c>
      <c r="H18" s="501" t="s">
        <v>954</v>
      </c>
      <c r="I18" s="461" t="s">
        <v>954</v>
      </c>
      <c r="J18" s="2"/>
      <c r="K18" s="2"/>
      <c r="L18" s="2"/>
      <c r="M18" s="2"/>
      <c r="N18" s="2"/>
    </row>
    <row r="19" spans="1:14" s="624" customFormat="1" ht="11.25" customHeight="1">
      <c r="A19" s="458" t="s">
        <v>1156</v>
      </c>
      <c r="B19" s="499" t="s">
        <v>653</v>
      </c>
      <c r="C19" s="1157" t="s">
        <v>638</v>
      </c>
      <c r="D19" s="562" t="s">
        <v>954</v>
      </c>
      <c r="E19" s="501" t="s">
        <v>954</v>
      </c>
      <c r="F19" s="523" t="s">
        <v>954</v>
      </c>
      <c r="G19" s="660" t="s">
        <v>954</v>
      </c>
      <c r="H19" s="501" t="s">
        <v>954</v>
      </c>
      <c r="I19" s="461" t="s">
        <v>954</v>
      </c>
      <c r="J19" s="2"/>
      <c r="K19" s="2"/>
      <c r="L19" s="2"/>
      <c r="M19" s="2"/>
      <c r="N19" s="2"/>
    </row>
    <row r="20" spans="1:14" s="624" customFormat="1" ht="11.25" customHeight="1">
      <c r="A20" s="458" t="s">
        <v>688</v>
      </c>
      <c r="B20" s="499" t="s">
        <v>651</v>
      </c>
      <c r="C20" s="1157" t="s">
        <v>652</v>
      </c>
      <c r="D20" s="562">
        <v>719.921104536489</v>
      </c>
      <c r="E20" s="501">
        <v>719.921104536489</v>
      </c>
      <c r="F20" s="523">
        <v>12514.285714285714</v>
      </c>
      <c r="G20" s="660">
        <v>6289.2307692307695</v>
      </c>
      <c r="H20" s="501">
        <v>6289.2307692307695</v>
      </c>
      <c r="I20" s="461">
        <v>105120.00000000001</v>
      </c>
      <c r="J20" s="2"/>
      <c r="K20" s="2"/>
      <c r="L20" s="2"/>
      <c r="M20" s="2"/>
      <c r="N20" s="2"/>
    </row>
    <row r="21" spans="1:14" s="624" customFormat="1" ht="11.25" customHeight="1">
      <c r="A21" s="458" t="s">
        <v>689</v>
      </c>
      <c r="B21" s="499" t="s">
        <v>1405</v>
      </c>
      <c r="C21" s="1157" t="s">
        <v>638</v>
      </c>
      <c r="D21" s="562">
        <v>337.96296296296305</v>
      </c>
      <c r="E21" s="501">
        <v>337.96296296296305</v>
      </c>
      <c r="F21" s="523" t="s">
        <v>954</v>
      </c>
      <c r="G21" s="660">
        <v>8176.0000000000036</v>
      </c>
      <c r="H21" s="501">
        <v>8176.0000000000036</v>
      </c>
      <c r="I21" s="461" t="s">
        <v>954</v>
      </c>
      <c r="J21" s="2"/>
      <c r="K21" s="2"/>
      <c r="L21" s="2"/>
      <c r="M21" s="2"/>
      <c r="N21" s="2"/>
    </row>
    <row r="22" spans="1:14" s="624" customFormat="1" ht="11.25" customHeight="1">
      <c r="A22" s="458" t="s">
        <v>690</v>
      </c>
      <c r="B22" s="499" t="s">
        <v>653</v>
      </c>
      <c r="C22" s="1157" t="s">
        <v>638</v>
      </c>
      <c r="D22" s="562" t="s">
        <v>954</v>
      </c>
      <c r="E22" s="501" t="s">
        <v>954</v>
      </c>
      <c r="F22" s="523" t="s">
        <v>954</v>
      </c>
      <c r="G22" s="660" t="s">
        <v>954</v>
      </c>
      <c r="H22" s="501" t="s">
        <v>954</v>
      </c>
      <c r="I22" s="461" t="s">
        <v>954</v>
      </c>
      <c r="J22" s="2"/>
      <c r="K22" s="2"/>
      <c r="L22" s="2"/>
      <c r="M22" s="2"/>
      <c r="N22" s="2"/>
    </row>
    <row r="23" spans="1:14" s="624" customFormat="1" ht="11.25" customHeight="1">
      <c r="A23" s="458" t="s">
        <v>691</v>
      </c>
      <c r="B23" s="499" t="s">
        <v>653</v>
      </c>
      <c r="C23" s="1157" t="s">
        <v>638</v>
      </c>
      <c r="D23" s="562" t="s">
        <v>954</v>
      </c>
      <c r="E23" s="501" t="s">
        <v>954</v>
      </c>
      <c r="F23" s="523" t="s">
        <v>954</v>
      </c>
      <c r="G23" s="660" t="s">
        <v>954</v>
      </c>
      <c r="H23" s="501" t="s">
        <v>954</v>
      </c>
      <c r="I23" s="461" t="s">
        <v>954</v>
      </c>
      <c r="J23" s="2"/>
      <c r="K23" s="2"/>
      <c r="L23" s="2"/>
      <c r="M23" s="2"/>
      <c r="N23" s="2"/>
    </row>
    <row r="24" spans="1:14" s="624" customFormat="1" ht="11.25" customHeight="1">
      <c r="A24" s="458" t="s">
        <v>692</v>
      </c>
      <c r="B24" s="499" t="s">
        <v>653</v>
      </c>
      <c r="C24" s="1157" t="s">
        <v>638</v>
      </c>
      <c r="D24" s="562" t="s">
        <v>954</v>
      </c>
      <c r="E24" s="501" t="s">
        <v>954</v>
      </c>
      <c r="F24" s="523" t="s">
        <v>954</v>
      </c>
      <c r="G24" s="660" t="s">
        <v>954</v>
      </c>
      <c r="H24" s="501" t="s">
        <v>954</v>
      </c>
      <c r="I24" s="461" t="s">
        <v>954</v>
      </c>
      <c r="J24" s="2"/>
      <c r="K24" s="2"/>
      <c r="L24" s="2"/>
      <c r="M24" s="2"/>
      <c r="N24" s="2"/>
    </row>
    <row r="25" spans="1:14" s="624" customFormat="1" ht="11.25" customHeight="1">
      <c r="A25" s="458" t="s">
        <v>693</v>
      </c>
      <c r="B25" s="499" t="s">
        <v>653</v>
      </c>
      <c r="C25" s="1157" t="s">
        <v>638</v>
      </c>
      <c r="D25" s="562" t="s">
        <v>954</v>
      </c>
      <c r="E25" s="501" t="s">
        <v>954</v>
      </c>
      <c r="F25" s="523" t="s">
        <v>954</v>
      </c>
      <c r="G25" s="660" t="s">
        <v>954</v>
      </c>
      <c r="H25" s="501" t="s">
        <v>954</v>
      </c>
      <c r="I25" s="461" t="s">
        <v>954</v>
      </c>
      <c r="J25" s="2"/>
      <c r="K25" s="2"/>
      <c r="L25" s="2"/>
      <c r="M25" s="2"/>
      <c r="N25" s="2"/>
    </row>
    <row r="26" spans="1:14" s="624" customFormat="1" ht="11.25" customHeight="1">
      <c r="A26" s="458" t="s">
        <v>126</v>
      </c>
      <c r="B26" s="499" t="s">
        <v>653</v>
      </c>
      <c r="C26" s="1157" t="s">
        <v>638</v>
      </c>
      <c r="D26" s="562" t="s">
        <v>954</v>
      </c>
      <c r="E26" s="501" t="s">
        <v>954</v>
      </c>
      <c r="F26" s="523" t="s">
        <v>954</v>
      </c>
      <c r="G26" s="660" t="s">
        <v>954</v>
      </c>
      <c r="H26" s="501" t="s">
        <v>954</v>
      </c>
      <c r="I26" s="461" t="s">
        <v>954</v>
      </c>
      <c r="J26" s="2"/>
      <c r="K26" s="2"/>
      <c r="L26" s="2"/>
      <c r="M26" s="2"/>
      <c r="N26" s="2"/>
    </row>
    <row r="27" spans="1:14" s="624" customFormat="1" ht="11.25" customHeight="1">
      <c r="A27" s="458" t="s">
        <v>233</v>
      </c>
      <c r="B27" s="499" t="s">
        <v>651</v>
      </c>
      <c r="C27" s="1157" t="s">
        <v>638</v>
      </c>
      <c r="D27" s="562">
        <v>166.85714285714286</v>
      </c>
      <c r="E27" s="501" t="s">
        <v>954</v>
      </c>
      <c r="F27" s="523">
        <v>166.85714285714286</v>
      </c>
      <c r="G27" s="660">
        <v>1401.6000000000004</v>
      </c>
      <c r="H27" s="501" t="s">
        <v>954</v>
      </c>
      <c r="I27" s="461">
        <v>1401.6000000000004</v>
      </c>
      <c r="J27" s="2"/>
      <c r="K27" s="2"/>
      <c r="L27" s="2"/>
      <c r="M27" s="2"/>
      <c r="N27" s="2"/>
    </row>
    <row r="28" spans="1:14" s="624" customFormat="1" ht="11.25" customHeight="1">
      <c r="A28" s="458" t="s">
        <v>127</v>
      </c>
      <c r="B28" s="499" t="s">
        <v>651</v>
      </c>
      <c r="C28" s="1157" t="s">
        <v>652</v>
      </c>
      <c r="D28" s="562">
        <v>17.016317016317014</v>
      </c>
      <c r="E28" s="501">
        <v>17.016317016317014</v>
      </c>
      <c r="F28" s="523" t="s">
        <v>954</v>
      </c>
      <c r="G28" s="660">
        <v>148.65454545454546</v>
      </c>
      <c r="H28" s="501">
        <v>148.65454545454546</v>
      </c>
      <c r="I28" s="461" t="s">
        <v>954</v>
      </c>
      <c r="J28" s="2"/>
      <c r="K28" s="2"/>
      <c r="L28" s="2"/>
      <c r="M28" s="2"/>
      <c r="N28" s="2"/>
    </row>
    <row r="29" spans="1:14" s="624" customFormat="1" ht="11.25" customHeight="1">
      <c r="A29" s="503" t="s">
        <v>1103</v>
      </c>
      <c r="B29" s="499" t="s">
        <v>651</v>
      </c>
      <c r="C29" s="1157" t="s">
        <v>652</v>
      </c>
      <c r="D29" s="562">
        <v>561.53846153846143</v>
      </c>
      <c r="E29" s="501">
        <v>561.53846153846143</v>
      </c>
      <c r="F29" s="523">
        <v>58400</v>
      </c>
      <c r="G29" s="660">
        <v>4905.5999999999995</v>
      </c>
      <c r="H29" s="501">
        <v>4905.5999999999995</v>
      </c>
      <c r="I29" s="461">
        <v>490560.00000000012</v>
      </c>
      <c r="J29" s="2"/>
      <c r="K29" s="2"/>
      <c r="L29" s="2"/>
      <c r="M29" s="2"/>
      <c r="N29" s="2"/>
    </row>
    <row r="30" spans="1:14" s="624" customFormat="1" ht="11.25" customHeight="1">
      <c r="A30" s="458" t="s">
        <v>128</v>
      </c>
      <c r="B30" s="499" t="s">
        <v>653</v>
      </c>
      <c r="C30" s="1157" t="s">
        <v>638</v>
      </c>
      <c r="D30" s="562" t="s">
        <v>954</v>
      </c>
      <c r="E30" s="501" t="s">
        <v>954</v>
      </c>
      <c r="F30" s="523" t="s">
        <v>954</v>
      </c>
      <c r="G30" s="660" t="s">
        <v>954</v>
      </c>
      <c r="H30" s="501" t="s">
        <v>954</v>
      </c>
      <c r="I30" s="461" t="s">
        <v>954</v>
      </c>
      <c r="J30" s="2"/>
      <c r="K30" s="2"/>
      <c r="L30" s="2"/>
      <c r="M30" s="2"/>
      <c r="N30" s="2"/>
    </row>
    <row r="31" spans="1:14" s="624" customFormat="1" ht="11.25" customHeight="1">
      <c r="A31" s="458" t="s">
        <v>129</v>
      </c>
      <c r="B31" s="499" t="s">
        <v>653</v>
      </c>
      <c r="C31" s="1157" t="s">
        <v>638</v>
      </c>
      <c r="D31" s="562" t="s">
        <v>954</v>
      </c>
      <c r="E31" s="501" t="s">
        <v>954</v>
      </c>
      <c r="F31" s="523" t="s">
        <v>954</v>
      </c>
      <c r="G31" s="660" t="s">
        <v>954</v>
      </c>
      <c r="H31" s="501" t="s">
        <v>954</v>
      </c>
      <c r="I31" s="461" t="s">
        <v>954</v>
      </c>
      <c r="J31" s="2"/>
      <c r="K31" s="2"/>
      <c r="L31" s="2"/>
      <c r="M31" s="2"/>
      <c r="N31" s="2"/>
    </row>
    <row r="32" spans="1:14" s="624" customFormat="1" ht="11.25" customHeight="1">
      <c r="A32" s="458" t="s">
        <v>130</v>
      </c>
      <c r="B32" s="499" t="s">
        <v>651</v>
      </c>
      <c r="C32" s="1157" t="s">
        <v>652</v>
      </c>
      <c r="D32" s="562">
        <v>151.76715176715174</v>
      </c>
      <c r="E32" s="501">
        <v>151.76715176715174</v>
      </c>
      <c r="F32" s="523">
        <v>11680</v>
      </c>
      <c r="G32" s="660">
        <v>1325.8378378378379</v>
      </c>
      <c r="H32" s="501">
        <v>1325.8378378378379</v>
      </c>
      <c r="I32" s="461">
        <v>98112.000000000015</v>
      </c>
      <c r="J32" s="2"/>
      <c r="K32" s="2"/>
      <c r="L32" s="2"/>
      <c r="M32" s="2"/>
      <c r="N32" s="2"/>
    </row>
    <row r="33" spans="1:14" s="624" customFormat="1" ht="11.25" customHeight="1">
      <c r="A33" s="458" t="s">
        <v>131</v>
      </c>
      <c r="B33" s="499" t="s">
        <v>1405</v>
      </c>
      <c r="C33" s="1157" t="s">
        <v>638</v>
      </c>
      <c r="D33" s="562">
        <v>5104.8951048951039</v>
      </c>
      <c r="E33" s="501">
        <v>5104.8951048951039</v>
      </c>
      <c r="F33" s="523" t="s">
        <v>954</v>
      </c>
      <c r="G33" s="660">
        <v>44596.36363636364</v>
      </c>
      <c r="H33" s="501">
        <v>44596.36363636364</v>
      </c>
      <c r="I33" s="461" t="s">
        <v>954</v>
      </c>
      <c r="J33" s="2"/>
      <c r="K33" s="2"/>
      <c r="L33" s="2"/>
      <c r="M33" s="2"/>
      <c r="N33" s="2"/>
    </row>
    <row r="34" spans="1:14" s="624" customFormat="1" ht="11.25" customHeight="1">
      <c r="A34" s="458" t="s">
        <v>132</v>
      </c>
      <c r="B34" s="499" t="s">
        <v>651</v>
      </c>
      <c r="C34" s="1157" t="s">
        <v>21</v>
      </c>
      <c r="D34" s="562">
        <v>2085.7142857142858</v>
      </c>
      <c r="E34" s="501" t="s">
        <v>954</v>
      </c>
      <c r="F34" s="523">
        <v>2085.7142857142858</v>
      </c>
      <c r="G34" s="660">
        <v>17520.000000000004</v>
      </c>
      <c r="H34" s="501" t="s">
        <v>954</v>
      </c>
      <c r="I34" s="461">
        <v>17520.000000000004</v>
      </c>
      <c r="J34" s="2"/>
      <c r="K34" s="2"/>
      <c r="L34" s="2"/>
      <c r="M34" s="2"/>
      <c r="N34" s="2"/>
    </row>
    <row r="35" spans="1:14" s="624" customFormat="1" ht="11.25" customHeight="1">
      <c r="A35" s="458" t="s">
        <v>133</v>
      </c>
      <c r="B35" s="499" t="s">
        <v>653</v>
      </c>
      <c r="C35" s="1157" t="s">
        <v>638</v>
      </c>
      <c r="D35" s="562" t="s">
        <v>954</v>
      </c>
      <c r="E35" s="501" t="s">
        <v>954</v>
      </c>
      <c r="F35" s="523" t="s">
        <v>954</v>
      </c>
      <c r="G35" s="660" t="s">
        <v>954</v>
      </c>
      <c r="H35" s="501" t="s">
        <v>954</v>
      </c>
      <c r="I35" s="461" t="s">
        <v>954</v>
      </c>
      <c r="J35" s="2"/>
      <c r="K35" s="2"/>
      <c r="L35" s="2"/>
      <c r="M35" s="2"/>
      <c r="N35" s="2"/>
    </row>
    <row r="36" spans="1:14" s="624" customFormat="1" ht="11.25" customHeight="1">
      <c r="A36" s="458" t="s">
        <v>134</v>
      </c>
      <c r="B36" s="499" t="s">
        <v>651</v>
      </c>
      <c r="C36" s="1157" t="s">
        <v>652</v>
      </c>
      <c r="D36" s="562">
        <v>935.89743589743568</v>
      </c>
      <c r="E36" s="501">
        <v>935.89743589743568</v>
      </c>
      <c r="F36" s="523">
        <v>41714.285714285717</v>
      </c>
      <c r="G36" s="660">
        <v>8176</v>
      </c>
      <c r="H36" s="501">
        <v>8176</v>
      </c>
      <c r="I36" s="461">
        <v>350400</v>
      </c>
      <c r="J36" s="2"/>
      <c r="K36" s="2"/>
      <c r="L36" s="2"/>
      <c r="M36" s="2"/>
      <c r="N36" s="2"/>
    </row>
    <row r="37" spans="1:14" s="624" customFormat="1" ht="11.25" customHeight="1">
      <c r="A37" s="458" t="s">
        <v>614</v>
      </c>
      <c r="B37" s="499" t="s">
        <v>1405</v>
      </c>
      <c r="C37" s="1157" t="s">
        <v>638</v>
      </c>
      <c r="D37" s="562">
        <v>561.53846153846166</v>
      </c>
      <c r="E37" s="501">
        <v>561.53846153846166</v>
      </c>
      <c r="F37" s="523">
        <v>1460</v>
      </c>
      <c r="G37" s="660">
        <v>4905.6000000000013</v>
      </c>
      <c r="H37" s="501">
        <v>4905.6000000000013</v>
      </c>
      <c r="I37" s="461">
        <v>12264.000000000002</v>
      </c>
      <c r="J37" s="2"/>
      <c r="K37" s="2"/>
      <c r="L37" s="2"/>
      <c r="M37" s="2"/>
      <c r="N37" s="2"/>
    </row>
    <row r="38" spans="1:14" s="624" customFormat="1" ht="11.25" customHeight="1">
      <c r="A38" s="458" t="s">
        <v>135</v>
      </c>
      <c r="B38" s="499" t="s">
        <v>653</v>
      </c>
      <c r="C38" s="1157" t="s">
        <v>638</v>
      </c>
      <c r="D38" s="562" t="s">
        <v>954</v>
      </c>
      <c r="E38" s="501" t="s">
        <v>954</v>
      </c>
      <c r="F38" s="523" t="s">
        <v>954</v>
      </c>
      <c r="G38" s="660" t="s">
        <v>954</v>
      </c>
      <c r="H38" s="501" t="s">
        <v>954</v>
      </c>
      <c r="I38" s="461" t="s">
        <v>954</v>
      </c>
      <c r="J38" s="2"/>
      <c r="K38" s="2"/>
      <c r="L38" s="2"/>
      <c r="M38" s="2"/>
      <c r="N38" s="2"/>
    </row>
    <row r="39" spans="1:14" s="624" customFormat="1" ht="11.25" customHeight="1">
      <c r="A39" s="458" t="s">
        <v>136</v>
      </c>
      <c r="B39" s="499" t="s">
        <v>651</v>
      </c>
      <c r="C39" s="1157" t="s">
        <v>652</v>
      </c>
      <c r="D39" s="562">
        <v>20857.142857142859</v>
      </c>
      <c r="E39" s="501" t="s">
        <v>954</v>
      </c>
      <c r="F39" s="523">
        <v>20857.142857142859</v>
      </c>
      <c r="G39" s="660">
        <v>175200</v>
      </c>
      <c r="H39" s="501" t="s">
        <v>954</v>
      </c>
      <c r="I39" s="461">
        <v>175200</v>
      </c>
      <c r="J39" s="2"/>
      <c r="K39" s="2"/>
      <c r="L39" s="2"/>
      <c r="M39" s="2"/>
      <c r="N39" s="2"/>
    </row>
    <row r="40" spans="1:14" s="624" customFormat="1" ht="11.25" customHeight="1">
      <c r="A40" s="458" t="s">
        <v>781</v>
      </c>
      <c r="B40" s="499" t="s">
        <v>651</v>
      </c>
      <c r="C40" s="1157" t="s">
        <v>21</v>
      </c>
      <c r="D40" s="562">
        <v>1668571.4285714286</v>
      </c>
      <c r="E40" s="501" t="s">
        <v>954</v>
      </c>
      <c r="F40" s="523">
        <v>1668571.4285714286</v>
      </c>
      <c r="G40" s="660">
        <v>14016000.000000002</v>
      </c>
      <c r="H40" s="501" t="s">
        <v>954</v>
      </c>
      <c r="I40" s="461">
        <v>14016000.000000002</v>
      </c>
      <c r="J40" s="2"/>
      <c r="K40" s="2"/>
      <c r="L40" s="2"/>
      <c r="M40" s="2"/>
      <c r="N40" s="2"/>
    </row>
    <row r="41" spans="1:14" ht="11.25" customHeight="1">
      <c r="A41" s="464" t="s">
        <v>137</v>
      </c>
      <c r="B41" s="499" t="s">
        <v>651</v>
      </c>
      <c r="C41" s="1157" t="s">
        <v>652</v>
      </c>
      <c r="D41" s="562">
        <v>244.1471571906354</v>
      </c>
      <c r="E41" s="501">
        <v>244.1471571906354</v>
      </c>
      <c r="F41" s="523">
        <v>40880</v>
      </c>
      <c r="G41" s="660">
        <v>2132.869565217391</v>
      </c>
      <c r="H41" s="501">
        <v>2132.869565217391</v>
      </c>
      <c r="I41" s="461">
        <v>343392.00000000012</v>
      </c>
    </row>
    <row r="42" spans="1:14" ht="11.25" customHeight="1">
      <c r="A42" s="458" t="s">
        <v>782</v>
      </c>
      <c r="B42" s="499" t="s">
        <v>651</v>
      </c>
      <c r="C42" s="1157" t="s">
        <v>21</v>
      </c>
      <c r="D42" s="562">
        <v>37542.857142857145</v>
      </c>
      <c r="E42" s="501" t="s">
        <v>954</v>
      </c>
      <c r="F42" s="523">
        <v>37542.857142857145</v>
      </c>
      <c r="G42" s="660">
        <v>315360</v>
      </c>
      <c r="H42" s="501" t="s">
        <v>954</v>
      </c>
      <c r="I42" s="461">
        <v>315360</v>
      </c>
    </row>
    <row r="43" spans="1:14" ht="11.25" customHeight="1">
      <c r="A43" s="458" t="s">
        <v>138</v>
      </c>
      <c r="B43" s="499" t="s">
        <v>651</v>
      </c>
      <c r="C43" s="1157" t="s">
        <v>652</v>
      </c>
      <c r="D43" s="562">
        <v>7300</v>
      </c>
      <c r="E43" s="501" t="s">
        <v>954</v>
      </c>
      <c r="F43" s="523">
        <v>7300</v>
      </c>
      <c r="G43" s="660">
        <v>61320.000000000015</v>
      </c>
      <c r="H43" s="501" t="s">
        <v>954</v>
      </c>
      <c r="I43" s="461">
        <v>61320.000000000015</v>
      </c>
    </row>
    <row r="44" spans="1:14" ht="11.25" customHeight="1">
      <c r="A44" s="458" t="s">
        <v>612</v>
      </c>
      <c r="B44" s="499" t="s">
        <v>653</v>
      </c>
      <c r="C44" s="1157" t="s">
        <v>638</v>
      </c>
      <c r="D44" s="562" t="s">
        <v>954</v>
      </c>
      <c r="E44" s="501" t="s">
        <v>954</v>
      </c>
      <c r="F44" s="523" t="s">
        <v>954</v>
      </c>
      <c r="G44" s="660" t="s">
        <v>954</v>
      </c>
      <c r="H44" s="501" t="s">
        <v>954</v>
      </c>
      <c r="I44" s="461" t="s">
        <v>954</v>
      </c>
    </row>
    <row r="45" spans="1:14" ht="11.25" customHeight="1">
      <c r="A45" s="458" t="s">
        <v>779</v>
      </c>
      <c r="B45" s="499" t="s">
        <v>653</v>
      </c>
      <c r="C45" s="1157" t="s">
        <v>638</v>
      </c>
      <c r="D45" s="562" t="s">
        <v>954</v>
      </c>
      <c r="E45" s="501" t="s">
        <v>954</v>
      </c>
      <c r="F45" s="523" t="s">
        <v>954</v>
      </c>
      <c r="G45" s="660" t="s">
        <v>954</v>
      </c>
      <c r="H45" s="501" t="s">
        <v>954</v>
      </c>
      <c r="I45" s="461" t="s">
        <v>954</v>
      </c>
    </row>
    <row r="46" spans="1:14" ht="11.25" customHeight="1">
      <c r="A46" s="458" t="s">
        <v>780</v>
      </c>
      <c r="B46" s="499" t="s">
        <v>653</v>
      </c>
      <c r="C46" s="1157" t="s">
        <v>638</v>
      </c>
      <c r="D46" s="562" t="s">
        <v>954</v>
      </c>
      <c r="E46" s="501" t="s">
        <v>954</v>
      </c>
      <c r="F46" s="523" t="s">
        <v>954</v>
      </c>
      <c r="G46" s="660" t="s">
        <v>954</v>
      </c>
      <c r="H46" s="501" t="s">
        <v>954</v>
      </c>
      <c r="I46" s="461" t="s">
        <v>954</v>
      </c>
    </row>
    <row r="47" spans="1:14" ht="11.25" customHeight="1">
      <c r="A47" s="458" t="s">
        <v>139</v>
      </c>
      <c r="B47" s="499" t="s">
        <v>653</v>
      </c>
      <c r="C47" s="1157" t="s">
        <v>638</v>
      </c>
      <c r="D47" s="562" t="s">
        <v>954</v>
      </c>
      <c r="E47" s="501" t="s">
        <v>954</v>
      </c>
      <c r="F47" s="523" t="s">
        <v>954</v>
      </c>
      <c r="G47" s="660" t="s">
        <v>954</v>
      </c>
      <c r="H47" s="501" t="s">
        <v>954</v>
      </c>
      <c r="I47" s="461" t="s">
        <v>954</v>
      </c>
    </row>
    <row r="48" spans="1:14" ht="11.25" customHeight="1">
      <c r="A48" s="458" t="s">
        <v>140</v>
      </c>
      <c r="B48" s="499" t="s">
        <v>653</v>
      </c>
      <c r="C48" s="1157" t="s">
        <v>638</v>
      </c>
      <c r="D48" s="562" t="s">
        <v>954</v>
      </c>
      <c r="E48" s="501" t="s">
        <v>954</v>
      </c>
      <c r="F48" s="523" t="s">
        <v>954</v>
      </c>
      <c r="G48" s="660" t="s">
        <v>954</v>
      </c>
      <c r="H48" s="501" t="s">
        <v>954</v>
      </c>
      <c r="I48" s="461" t="s">
        <v>954</v>
      </c>
    </row>
    <row r="49" spans="1:9" ht="11.25" customHeight="1">
      <c r="A49" s="458" t="s">
        <v>141</v>
      </c>
      <c r="B49" s="499" t="s">
        <v>653</v>
      </c>
      <c r="C49" s="1157" t="s">
        <v>638</v>
      </c>
      <c r="D49" s="562" t="s">
        <v>954</v>
      </c>
      <c r="E49" s="501" t="s">
        <v>954</v>
      </c>
      <c r="F49" s="523" t="s">
        <v>954</v>
      </c>
      <c r="G49" s="660" t="s">
        <v>954</v>
      </c>
      <c r="H49" s="501" t="s">
        <v>954</v>
      </c>
      <c r="I49" s="461" t="s">
        <v>954</v>
      </c>
    </row>
    <row r="50" spans="1:9" ht="11.25" customHeight="1">
      <c r="A50" s="458" t="s">
        <v>142</v>
      </c>
      <c r="B50" s="499" t="s">
        <v>651</v>
      </c>
      <c r="C50" s="1157" t="s">
        <v>638</v>
      </c>
      <c r="D50" s="562">
        <v>333.71428571428572</v>
      </c>
      <c r="E50" s="501" t="s">
        <v>954</v>
      </c>
      <c r="F50" s="523">
        <v>333.71428571428572</v>
      </c>
      <c r="G50" s="660">
        <v>2803.2000000000007</v>
      </c>
      <c r="H50" s="501" t="s">
        <v>954</v>
      </c>
      <c r="I50" s="461">
        <v>2803.2000000000007</v>
      </c>
    </row>
    <row r="51" spans="1:9" ht="11.25" customHeight="1">
      <c r="A51" s="462" t="s">
        <v>96</v>
      </c>
      <c r="B51" s="499" t="s">
        <v>653</v>
      </c>
      <c r="C51" s="1157" t="s">
        <v>638</v>
      </c>
      <c r="D51" s="562" t="s">
        <v>954</v>
      </c>
      <c r="E51" s="501" t="s">
        <v>954</v>
      </c>
      <c r="F51" s="523" t="s">
        <v>954</v>
      </c>
      <c r="G51" s="660" t="s">
        <v>954</v>
      </c>
      <c r="H51" s="501" t="s">
        <v>954</v>
      </c>
      <c r="I51" s="461" t="s">
        <v>954</v>
      </c>
    </row>
    <row r="52" spans="1:9" ht="11.25" customHeight="1">
      <c r="A52" s="458" t="s">
        <v>97</v>
      </c>
      <c r="B52" s="499" t="s">
        <v>653</v>
      </c>
      <c r="C52" s="1157" t="s">
        <v>652</v>
      </c>
      <c r="D52" s="562" t="s">
        <v>954</v>
      </c>
      <c r="E52" s="501" t="s">
        <v>954</v>
      </c>
      <c r="F52" s="523" t="s">
        <v>954</v>
      </c>
      <c r="G52" s="660" t="s">
        <v>954</v>
      </c>
      <c r="H52" s="501" t="s">
        <v>954</v>
      </c>
      <c r="I52" s="461" t="s">
        <v>954</v>
      </c>
    </row>
    <row r="53" spans="1:9" ht="11.25" customHeight="1">
      <c r="A53" s="458" t="s">
        <v>143</v>
      </c>
      <c r="B53" s="499" t="s">
        <v>653</v>
      </c>
      <c r="C53" s="1157" t="s">
        <v>638</v>
      </c>
      <c r="D53" s="562" t="s">
        <v>954</v>
      </c>
      <c r="E53" s="501" t="s">
        <v>954</v>
      </c>
      <c r="F53" s="523" t="s">
        <v>954</v>
      </c>
      <c r="G53" s="660" t="s">
        <v>954</v>
      </c>
      <c r="H53" s="501" t="s">
        <v>954</v>
      </c>
      <c r="I53" s="461" t="s">
        <v>954</v>
      </c>
    </row>
    <row r="54" spans="1:9" ht="11.25" customHeight="1">
      <c r="A54" s="458" t="s">
        <v>381</v>
      </c>
      <c r="B54" s="499" t="s">
        <v>651</v>
      </c>
      <c r="C54" s="1157" t="s">
        <v>652</v>
      </c>
      <c r="D54" s="562">
        <v>0.33796296296296285</v>
      </c>
      <c r="E54" s="501">
        <v>0.33796296296296285</v>
      </c>
      <c r="F54" s="523">
        <v>83.428571428571431</v>
      </c>
      <c r="G54" s="660">
        <v>8.1759999999999984</v>
      </c>
      <c r="H54" s="501">
        <v>8.1759999999999984</v>
      </c>
      <c r="I54" s="461">
        <v>700.80000000000018</v>
      </c>
    </row>
    <row r="55" spans="1:9" ht="11.25" customHeight="1">
      <c r="A55" s="458" t="s">
        <v>144</v>
      </c>
      <c r="B55" s="499" t="s">
        <v>651</v>
      </c>
      <c r="C55" s="1157" t="s">
        <v>638</v>
      </c>
      <c r="D55" s="562">
        <v>29200</v>
      </c>
      <c r="E55" s="501" t="s">
        <v>954</v>
      </c>
      <c r="F55" s="523">
        <v>29200</v>
      </c>
      <c r="G55" s="660">
        <v>245280.00000000006</v>
      </c>
      <c r="H55" s="501" t="s">
        <v>954</v>
      </c>
      <c r="I55" s="461">
        <v>245280.00000000006</v>
      </c>
    </row>
    <row r="56" spans="1:9" ht="11.25" customHeight="1">
      <c r="A56" s="458" t="s">
        <v>487</v>
      </c>
      <c r="B56" s="499" t="s">
        <v>651</v>
      </c>
      <c r="C56" s="1157" t="s">
        <v>638</v>
      </c>
      <c r="D56" s="562">
        <v>9.3589743589743577</v>
      </c>
      <c r="E56" s="501">
        <v>9.3589743589743577</v>
      </c>
      <c r="F56" s="523">
        <v>3754.2857142857142</v>
      </c>
      <c r="G56" s="660">
        <v>81.759999999999991</v>
      </c>
      <c r="H56" s="501">
        <v>81.759999999999991</v>
      </c>
      <c r="I56" s="461">
        <v>31536.000000000004</v>
      </c>
    </row>
    <row r="57" spans="1:9" ht="11.25" customHeight="1">
      <c r="A57" s="458" t="s">
        <v>145</v>
      </c>
      <c r="B57" s="499" t="s">
        <v>651</v>
      </c>
      <c r="C57" s="1157" t="s">
        <v>652</v>
      </c>
      <c r="D57" s="562">
        <v>83428.571428571435</v>
      </c>
      <c r="E57" s="501" t="s">
        <v>954</v>
      </c>
      <c r="F57" s="523">
        <v>83428.571428571435</v>
      </c>
      <c r="G57" s="660">
        <v>700800</v>
      </c>
      <c r="H57" s="501" t="s">
        <v>954</v>
      </c>
      <c r="I57" s="461">
        <v>700800</v>
      </c>
    </row>
    <row r="58" spans="1:9" ht="11.25" customHeight="1">
      <c r="A58" s="458" t="s">
        <v>225</v>
      </c>
      <c r="B58" s="499" t="s">
        <v>651</v>
      </c>
      <c r="C58" s="1157" t="s">
        <v>652</v>
      </c>
      <c r="D58" s="562">
        <v>50057.142857142855</v>
      </c>
      <c r="E58" s="501" t="s">
        <v>954</v>
      </c>
      <c r="F58" s="523">
        <v>50057.142857142855</v>
      </c>
      <c r="G58" s="660">
        <v>420480.00000000006</v>
      </c>
      <c r="H58" s="501" t="s">
        <v>954</v>
      </c>
      <c r="I58" s="461">
        <v>420480.00000000006</v>
      </c>
    </row>
    <row r="59" spans="1:9" ht="11.25" customHeight="1">
      <c r="A59" s="458" t="s">
        <v>226</v>
      </c>
      <c r="B59" s="499" t="s">
        <v>651</v>
      </c>
      <c r="C59" s="1157" t="s">
        <v>638</v>
      </c>
      <c r="D59" s="562">
        <v>510.48951048951039</v>
      </c>
      <c r="E59" s="501">
        <v>510.48951048951039</v>
      </c>
      <c r="F59" s="523">
        <v>333714.28571428574</v>
      </c>
      <c r="G59" s="660">
        <v>4459.636363636364</v>
      </c>
      <c r="H59" s="501">
        <v>4459.636363636364</v>
      </c>
      <c r="I59" s="461">
        <v>2803200</v>
      </c>
    </row>
    <row r="60" spans="1:9" ht="11.25" customHeight="1">
      <c r="A60" s="458" t="s">
        <v>227</v>
      </c>
      <c r="B60" s="499" t="s">
        <v>653</v>
      </c>
      <c r="C60" s="1157" t="s">
        <v>638</v>
      </c>
      <c r="D60" s="562" t="s">
        <v>954</v>
      </c>
      <c r="E60" s="501" t="s">
        <v>954</v>
      </c>
      <c r="F60" s="523" t="s">
        <v>954</v>
      </c>
      <c r="G60" s="660" t="s">
        <v>954</v>
      </c>
      <c r="H60" s="501" t="s">
        <v>954</v>
      </c>
      <c r="I60" s="461" t="s">
        <v>954</v>
      </c>
    </row>
    <row r="61" spans="1:9" ht="11.25" customHeight="1">
      <c r="A61" s="458" t="s">
        <v>361</v>
      </c>
      <c r="B61" s="499" t="s">
        <v>653</v>
      </c>
      <c r="C61" s="1157" t="s">
        <v>638</v>
      </c>
      <c r="D61" s="562" t="s">
        <v>954</v>
      </c>
      <c r="E61" s="501" t="s">
        <v>954</v>
      </c>
      <c r="F61" s="523" t="s">
        <v>954</v>
      </c>
      <c r="G61" s="660" t="s">
        <v>954</v>
      </c>
      <c r="H61" s="501" t="s">
        <v>954</v>
      </c>
      <c r="I61" s="461" t="s">
        <v>954</v>
      </c>
    </row>
    <row r="62" spans="1:9" ht="11.25" customHeight="1">
      <c r="A62" s="458" t="s">
        <v>362</v>
      </c>
      <c r="B62" s="499" t="s">
        <v>1405</v>
      </c>
      <c r="C62" s="1157" t="s">
        <v>638</v>
      </c>
      <c r="D62" s="562">
        <v>57.890563045202207</v>
      </c>
      <c r="E62" s="501">
        <v>57.890563045202207</v>
      </c>
      <c r="F62" s="523" t="s">
        <v>954</v>
      </c>
      <c r="G62" s="660">
        <v>505.73195876288656</v>
      </c>
      <c r="H62" s="501">
        <v>505.73195876288656</v>
      </c>
      <c r="I62" s="461" t="s">
        <v>954</v>
      </c>
    </row>
    <row r="63" spans="1:9" ht="11.25" customHeight="1">
      <c r="A63" s="458" t="s">
        <v>363</v>
      </c>
      <c r="B63" s="499" t="s">
        <v>653</v>
      </c>
      <c r="C63" s="1157" t="s">
        <v>638</v>
      </c>
      <c r="D63" s="562" t="s">
        <v>954</v>
      </c>
      <c r="E63" s="501" t="s">
        <v>954</v>
      </c>
      <c r="F63" s="523" t="s">
        <v>954</v>
      </c>
      <c r="G63" s="660" t="s">
        <v>954</v>
      </c>
      <c r="H63" s="501" t="s">
        <v>954</v>
      </c>
      <c r="I63" s="461" t="s">
        <v>954</v>
      </c>
    </row>
    <row r="64" spans="1:9" ht="11.25" customHeight="1">
      <c r="A64" s="458" t="s">
        <v>234</v>
      </c>
      <c r="B64" s="499" t="s">
        <v>651</v>
      </c>
      <c r="C64" s="1157" t="s">
        <v>652</v>
      </c>
      <c r="D64" s="562">
        <v>3509.6153846153838</v>
      </c>
      <c r="E64" s="501">
        <v>3509.6153846153838</v>
      </c>
      <c r="F64" s="523">
        <v>292000.00000000006</v>
      </c>
      <c r="G64" s="660">
        <v>30660</v>
      </c>
      <c r="H64" s="501">
        <v>30660</v>
      </c>
      <c r="I64" s="461">
        <v>2452800.0000000005</v>
      </c>
    </row>
    <row r="65" spans="1:9" ht="11.25" customHeight="1">
      <c r="A65" s="458" t="s">
        <v>235</v>
      </c>
      <c r="B65" s="499" t="s">
        <v>651</v>
      </c>
      <c r="C65" s="1157" t="s">
        <v>652</v>
      </c>
      <c r="D65" s="562">
        <v>215.97633136094674</v>
      </c>
      <c r="E65" s="501">
        <v>215.97633136094674</v>
      </c>
      <c r="F65" s="523">
        <v>2920</v>
      </c>
      <c r="G65" s="660">
        <v>1886.7692307692309</v>
      </c>
      <c r="H65" s="501">
        <v>1886.7692307692309</v>
      </c>
      <c r="I65" s="461">
        <v>24528.000000000004</v>
      </c>
    </row>
    <row r="66" spans="1:9" ht="11.25" customHeight="1">
      <c r="A66" s="458" t="s">
        <v>294</v>
      </c>
      <c r="B66" s="499" t="s">
        <v>651</v>
      </c>
      <c r="C66" s="1157" t="s">
        <v>652</v>
      </c>
      <c r="D66" s="562">
        <v>83428.571428571435</v>
      </c>
      <c r="E66" s="501" t="s">
        <v>954</v>
      </c>
      <c r="F66" s="523">
        <v>83428.571428571435</v>
      </c>
      <c r="G66" s="660">
        <v>700800</v>
      </c>
      <c r="H66" s="501" t="s">
        <v>954</v>
      </c>
      <c r="I66" s="461">
        <v>700800</v>
      </c>
    </row>
    <row r="67" spans="1:9" ht="11.25" customHeight="1">
      <c r="A67" s="458" t="s">
        <v>295</v>
      </c>
      <c r="B67" s="499" t="s">
        <v>651</v>
      </c>
      <c r="C67" s="1157" t="s">
        <v>652</v>
      </c>
      <c r="D67" s="562">
        <v>16685.714285714286</v>
      </c>
      <c r="E67" s="501" t="s">
        <v>954</v>
      </c>
      <c r="F67" s="523">
        <v>16685.714285714286</v>
      </c>
      <c r="G67" s="660">
        <v>140160.00000000003</v>
      </c>
      <c r="H67" s="501" t="s">
        <v>954</v>
      </c>
      <c r="I67" s="461">
        <v>140160.00000000003</v>
      </c>
    </row>
    <row r="68" spans="1:9" ht="11.25" customHeight="1">
      <c r="A68" s="458" t="s">
        <v>228</v>
      </c>
      <c r="B68" s="499" t="s">
        <v>651</v>
      </c>
      <c r="C68" s="1157" t="s">
        <v>652</v>
      </c>
      <c r="D68" s="562">
        <v>16685.714285714286</v>
      </c>
      <c r="E68" s="501" t="s">
        <v>954</v>
      </c>
      <c r="F68" s="523">
        <v>16685.714285714286</v>
      </c>
      <c r="G68" s="660">
        <v>140160.00000000003</v>
      </c>
      <c r="H68" s="501" t="s">
        <v>954</v>
      </c>
      <c r="I68" s="461">
        <v>140160.00000000003</v>
      </c>
    </row>
    <row r="69" spans="1:9" ht="11.25" customHeight="1">
      <c r="A69" s="458" t="s">
        <v>942</v>
      </c>
      <c r="B69" s="499" t="s">
        <v>653</v>
      </c>
      <c r="C69" s="1157" t="s">
        <v>638</v>
      </c>
      <c r="D69" s="562" t="s">
        <v>954</v>
      </c>
      <c r="E69" s="501" t="s">
        <v>954</v>
      </c>
      <c r="F69" s="523" t="s">
        <v>954</v>
      </c>
      <c r="G69" s="660" t="s">
        <v>954</v>
      </c>
      <c r="H69" s="501" t="s">
        <v>954</v>
      </c>
      <c r="I69" s="461" t="s">
        <v>954</v>
      </c>
    </row>
    <row r="70" spans="1:9" ht="11.25" customHeight="1">
      <c r="A70" s="458" t="s">
        <v>98</v>
      </c>
      <c r="B70" s="499" t="s">
        <v>653</v>
      </c>
      <c r="C70" s="1157" t="s">
        <v>638</v>
      </c>
      <c r="D70" s="562" t="s">
        <v>954</v>
      </c>
      <c r="E70" s="501" t="s">
        <v>954</v>
      </c>
      <c r="F70" s="523" t="s">
        <v>954</v>
      </c>
      <c r="G70" s="660" t="s">
        <v>954</v>
      </c>
      <c r="H70" s="501" t="s">
        <v>954</v>
      </c>
      <c r="I70" s="461" t="s">
        <v>954</v>
      </c>
    </row>
    <row r="71" spans="1:9" ht="11.25" customHeight="1">
      <c r="A71" s="458" t="s">
        <v>943</v>
      </c>
      <c r="B71" s="499" t="s">
        <v>651</v>
      </c>
      <c r="C71" s="1157" t="s">
        <v>652</v>
      </c>
      <c r="D71" s="562">
        <v>1517.6715176715174</v>
      </c>
      <c r="E71" s="501">
        <v>1517.6715176715174</v>
      </c>
      <c r="F71" s="523">
        <v>1668.5714285714287</v>
      </c>
      <c r="G71" s="660">
        <v>13258.378378378378</v>
      </c>
      <c r="H71" s="501">
        <v>13258.378378378378</v>
      </c>
      <c r="I71" s="461">
        <v>14016.000000000002</v>
      </c>
    </row>
    <row r="72" spans="1:9" ht="11.25" customHeight="1">
      <c r="A72" s="458" t="s">
        <v>296</v>
      </c>
      <c r="B72" s="499" t="s">
        <v>651</v>
      </c>
      <c r="C72" s="1157" t="s">
        <v>652</v>
      </c>
      <c r="D72" s="562">
        <v>1403.8461538461536</v>
      </c>
      <c r="E72" s="501">
        <v>1403.8461538461536</v>
      </c>
      <c r="F72" s="523">
        <v>8342.8571428571431</v>
      </c>
      <c r="G72" s="660">
        <v>12264</v>
      </c>
      <c r="H72" s="501">
        <v>12264</v>
      </c>
      <c r="I72" s="461">
        <v>70080.000000000015</v>
      </c>
    </row>
    <row r="73" spans="1:9" ht="11.25" customHeight="1">
      <c r="A73" s="458" t="s">
        <v>944</v>
      </c>
      <c r="B73" s="499" t="s">
        <v>653</v>
      </c>
      <c r="C73" s="1157" t="s">
        <v>638</v>
      </c>
      <c r="D73" s="562" t="s">
        <v>954</v>
      </c>
      <c r="E73" s="501" t="s">
        <v>954</v>
      </c>
      <c r="F73" s="523" t="s">
        <v>954</v>
      </c>
      <c r="G73" s="660" t="s">
        <v>954</v>
      </c>
      <c r="H73" s="501" t="s">
        <v>954</v>
      </c>
      <c r="I73" s="461" t="s">
        <v>954</v>
      </c>
    </row>
    <row r="74" spans="1:9" ht="11.25" customHeight="1">
      <c r="A74" s="458" t="s">
        <v>945</v>
      </c>
      <c r="B74" s="499" t="s">
        <v>653</v>
      </c>
      <c r="C74" s="1157" t="s">
        <v>638</v>
      </c>
      <c r="D74" s="562" t="s">
        <v>954</v>
      </c>
      <c r="E74" s="501" t="s">
        <v>954</v>
      </c>
      <c r="F74" s="523" t="s">
        <v>954</v>
      </c>
      <c r="G74" s="660" t="s">
        <v>954</v>
      </c>
      <c r="H74" s="501" t="s">
        <v>954</v>
      </c>
      <c r="I74" s="461" t="s">
        <v>954</v>
      </c>
    </row>
    <row r="75" spans="1:9" ht="11.25" customHeight="1">
      <c r="A75" s="458" t="s">
        <v>947</v>
      </c>
      <c r="B75" s="499" t="s">
        <v>653</v>
      </c>
      <c r="C75" s="1157" t="s">
        <v>638</v>
      </c>
      <c r="D75" s="562" t="s">
        <v>954</v>
      </c>
      <c r="E75" s="501" t="s">
        <v>954</v>
      </c>
      <c r="F75" s="523" t="s">
        <v>954</v>
      </c>
      <c r="G75" s="660" t="s">
        <v>954</v>
      </c>
      <c r="H75" s="501" t="s">
        <v>954</v>
      </c>
      <c r="I75" s="461" t="s">
        <v>954</v>
      </c>
    </row>
    <row r="76" spans="1:9" ht="11.25" customHeight="1">
      <c r="A76" s="458" t="s">
        <v>946</v>
      </c>
      <c r="B76" s="499" t="s">
        <v>653</v>
      </c>
      <c r="C76" s="1157" t="s">
        <v>638</v>
      </c>
      <c r="D76" s="562" t="s">
        <v>954</v>
      </c>
      <c r="E76" s="501" t="s">
        <v>954</v>
      </c>
      <c r="F76" s="523" t="s">
        <v>954</v>
      </c>
      <c r="G76" s="660" t="s">
        <v>954</v>
      </c>
      <c r="H76" s="501" t="s">
        <v>954</v>
      </c>
      <c r="I76" s="461" t="s">
        <v>954</v>
      </c>
    </row>
    <row r="77" spans="1:9" ht="11.25" customHeight="1">
      <c r="A77" s="462" t="s">
        <v>99</v>
      </c>
      <c r="B77" s="499" t="s">
        <v>653</v>
      </c>
      <c r="C77" s="1157" t="s">
        <v>638</v>
      </c>
      <c r="D77" s="562" t="s">
        <v>954</v>
      </c>
      <c r="E77" s="501" t="s">
        <v>954</v>
      </c>
      <c r="F77" s="523" t="s">
        <v>954</v>
      </c>
      <c r="G77" s="660" t="s">
        <v>954</v>
      </c>
      <c r="H77" s="501" t="s">
        <v>954</v>
      </c>
      <c r="I77" s="461" t="s">
        <v>954</v>
      </c>
    </row>
    <row r="78" spans="1:9" ht="11.25" customHeight="1">
      <c r="A78" s="458" t="s">
        <v>297</v>
      </c>
      <c r="B78" s="499" t="s">
        <v>653</v>
      </c>
      <c r="C78" s="1157" t="s">
        <v>638</v>
      </c>
      <c r="D78" s="562" t="s">
        <v>954</v>
      </c>
      <c r="E78" s="501" t="s">
        <v>954</v>
      </c>
      <c r="F78" s="523" t="s">
        <v>954</v>
      </c>
      <c r="G78" s="660" t="s">
        <v>954</v>
      </c>
      <c r="H78" s="501" t="s">
        <v>954</v>
      </c>
      <c r="I78" s="461" t="s">
        <v>954</v>
      </c>
    </row>
    <row r="79" spans="1:9" ht="11.25" customHeight="1">
      <c r="A79" s="462" t="s">
        <v>100</v>
      </c>
      <c r="B79" s="499" t="s">
        <v>653</v>
      </c>
      <c r="C79" s="1157" t="s">
        <v>638</v>
      </c>
      <c r="D79" s="562" t="s">
        <v>954</v>
      </c>
      <c r="E79" s="501" t="s">
        <v>954</v>
      </c>
      <c r="F79" s="523" t="s">
        <v>954</v>
      </c>
      <c r="G79" s="660" t="s">
        <v>954</v>
      </c>
      <c r="H79" s="501" t="s">
        <v>954</v>
      </c>
      <c r="I79" s="461" t="s">
        <v>954</v>
      </c>
    </row>
    <row r="80" spans="1:9" ht="11.25" customHeight="1">
      <c r="A80" s="462" t="s">
        <v>101</v>
      </c>
      <c r="B80" s="499" t="s">
        <v>653</v>
      </c>
      <c r="C80" s="1157" t="s">
        <v>638</v>
      </c>
      <c r="D80" s="562" t="s">
        <v>954</v>
      </c>
      <c r="E80" s="501" t="s">
        <v>954</v>
      </c>
      <c r="F80" s="523" t="s">
        <v>954</v>
      </c>
      <c r="G80" s="660" t="s">
        <v>954</v>
      </c>
      <c r="H80" s="501" t="s">
        <v>954</v>
      </c>
      <c r="I80" s="461" t="s">
        <v>954</v>
      </c>
    </row>
    <row r="81" spans="1:9" ht="11.25" customHeight="1">
      <c r="A81" s="458" t="s">
        <v>382</v>
      </c>
      <c r="B81" s="499" t="s">
        <v>651</v>
      </c>
      <c r="C81" s="1157" t="s">
        <v>652</v>
      </c>
      <c r="D81" s="562">
        <v>1123.0769230769229</v>
      </c>
      <c r="E81" s="501">
        <v>1123.0769230769229</v>
      </c>
      <c r="F81" s="523">
        <v>12514.285714285714</v>
      </c>
      <c r="G81" s="660">
        <v>9811.1999999999989</v>
      </c>
      <c r="H81" s="501">
        <v>9811.1999999999989</v>
      </c>
      <c r="I81" s="461">
        <v>105120.00000000001</v>
      </c>
    </row>
    <row r="82" spans="1:9" ht="11.25" customHeight="1">
      <c r="A82" s="458" t="s">
        <v>594</v>
      </c>
      <c r="B82" s="499" t="s">
        <v>1405</v>
      </c>
      <c r="C82" s="1157" t="s">
        <v>638</v>
      </c>
      <c r="D82" s="562">
        <v>1.4777327935222672E-2</v>
      </c>
      <c r="E82" s="501">
        <v>1.4777327935222672E-2</v>
      </c>
      <c r="F82" s="523">
        <v>8.3428571428571435E-2</v>
      </c>
      <c r="G82" s="660">
        <v>0.12909473684210529</v>
      </c>
      <c r="H82" s="501">
        <v>0.12909473684210529</v>
      </c>
      <c r="I82" s="461">
        <v>0.70080000000000009</v>
      </c>
    </row>
    <row r="83" spans="1:9" ht="11.25" customHeight="1">
      <c r="A83" s="458" t="s">
        <v>102</v>
      </c>
      <c r="B83" s="499" t="s">
        <v>653</v>
      </c>
      <c r="C83" s="1157" t="s">
        <v>638</v>
      </c>
      <c r="D83" s="562" t="s">
        <v>954</v>
      </c>
      <c r="E83" s="501" t="s">
        <v>954</v>
      </c>
      <c r="F83" s="523" t="s">
        <v>954</v>
      </c>
      <c r="G83" s="660" t="s">
        <v>954</v>
      </c>
      <c r="H83" s="501" t="s">
        <v>954</v>
      </c>
      <c r="I83" s="461" t="s">
        <v>954</v>
      </c>
    </row>
    <row r="84" spans="1:9" ht="11.25" customHeight="1">
      <c r="A84" s="458" t="s">
        <v>370</v>
      </c>
      <c r="B84" s="499" t="s">
        <v>1405</v>
      </c>
      <c r="C84" s="1157" t="s">
        <v>638</v>
      </c>
      <c r="D84" s="562" t="s">
        <v>954</v>
      </c>
      <c r="E84" s="501" t="s">
        <v>954</v>
      </c>
      <c r="F84" s="523" t="s">
        <v>954</v>
      </c>
      <c r="G84" s="660" t="s">
        <v>954</v>
      </c>
      <c r="H84" s="501" t="s">
        <v>954</v>
      </c>
      <c r="I84" s="461" t="s">
        <v>954</v>
      </c>
    </row>
    <row r="85" spans="1:9" ht="11.25" customHeight="1">
      <c r="A85" s="458" t="s">
        <v>337</v>
      </c>
      <c r="B85" s="499" t="s">
        <v>653</v>
      </c>
      <c r="C85" s="1157" t="s">
        <v>638</v>
      </c>
      <c r="D85" s="562" t="s">
        <v>954</v>
      </c>
      <c r="E85" s="501" t="s">
        <v>954</v>
      </c>
      <c r="F85" s="523" t="s">
        <v>954</v>
      </c>
      <c r="G85" s="660" t="s">
        <v>954</v>
      </c>
      <c r="H85" s="501" t="s">
        <v>954</v>
      </c>
      <c r="I85" s="461" t="s">
        <v>954</v>
      </c>
    </row>
    <row r="86" spans="1:9" ht="11.25" customHeight="1">
      <c r="A86" s="458" t="s">
        <v>28</v>
      </c>
      <c r="B86" s="499" t="s">
        <v>651</v>
      </c>
      <c r="C86" s="1157" t="s">
        <v>652</v>
      </c>
      <c r="D86" s="562" t="s">
        <v>954</v>
      </c>
      <c r="E86" s="501" t="s">
        <v>954</v>
      </c>
      <c r="F86" s="523" t="s">
        <v>954</v>
      </c>
      <c r="G86" s="660" t="s">
        <v>954</v>
      </c>
      <c r="H86" s="501" t="s">
        <v>954</v>
      </c>
      <c r="I86" s="461" t="s">
        <v>954</v>
      </c>
    </row>
    <row r="87" spans="1:9" ht="11.25" customHeight="1">
      <c r="A87" s="458" t="s">
        <v>338</v>
      </c>
      <c r="B87" s="499" t="s">
        <v>651</v>
      </c>
      <c r="C87" s="1157" t="s">
        <v>652</v>
      </c>
      <c r="D87" s="562">
        <v>22461.538461538465</v>
      </c>
      <c r="E87" s="501">
        <v>22461.538461538465</v>
      </c>
      <c r="F87" s="523">
        <v>417142.85714285716</v>
      </c>
      <c r="G87" s="660">
        <v>196224.00000000003</v>
      </c>
      <c r="H87" s="501">
        <v>196224.00000000003</v>
      </c>
      <c r="I87" s="461">
        <v>3504000.0000000005</v>
      </c>
    </row>
    <row r="88" spans="1:9" ht="11.25" customHeight="1">
      <c r="A88" s="458" t="s">
        <v>339</v>
      </c>
      <c r="B88" s="499" t="s">
        <v>653</v>
      </c>
      <c r="C88" s="1157" t="s">
        <v>638</v>
      </c>
      <c r="D88" s="562" t="s">
        <v>954</v>
      </c>
      <c r="E88" s="501" t="s">
        <v>954</v>
      </c>
      <c r="F88" s="523" t="s">
        <v>954</v>
      </c>
      <c r="G88" s="660" t="s">
        <v>954</v>
      </c>
      <c r="H88" s="501" t="s">
        <v>954</v>
      </c>
      <c r="I88" s="461" t="s">
        <v>954</v>
      </c>
    </row>
    <row r="89" spans="1:9" ht="11.25" customHeight="1">
      <c r="A89" s="458" t="s">
        <v>340</v>
      </c>
      <c r="B89" s="499" t="s">
        <v>651</v>
      </c>
      <c r="C89" s="1157" t="s">
        <v>638</v>
      </c>
      <c r="D89" s="562">
        <v>58400</v>
      </c>
      <c r="E89" s="501" t="s">
        <v>954</v>
      </c>
      <c r="F89" s="523">
        <v>58400</v>
      </c>
      <c r="G89" s="660">
        <v>490560.00000000012</v>
      </c>
      <c r="H89" s="501" t="s">
        <v>954</v>
      </c>
      <c r="I89" s="461">
        <v>490560.00000000012</v>
      </c>
    </row>
    <row r="90" spans="1:9" ht="11.25" customHeight="1">
      <c r="A90" s="458" t="s">
        <v>103</v>
      </c>
      <c r="B90" s="499" t="s">
        <v>653</v>
      </c>
      <c r="C90" s="1157" t="s">
        <v>638</v>
      </c>
      <c r="D90" s="562" t="s">
        <v>954</v>
      </c>
      <c r="E90" s="501" t="s">
        <v>954</v>
      </c>
      <c r="F90" s="523" t="s">
        <v>954</v>
      </c>
      <c r="G90" s="660" t="s">
        <v>954</v>
      </c>
      <c r="H90" s="501" t="s">
        <v>954</v>
      </c>
      <c r="I90" s="461" t="s">
        <v>954</v>
      </c>
    </row>
    <row r="91" spans="1:9" ht="11.25" customHeight="1">
      <c r="A91" s="458" t="s">
        <v>341</v>
      </c>
      <c r="B91" s="499" t="s">
        <v>1405</v>
      </c>
      <c r="C91" s="1157" t="s">
        <v>638</v>
      </c>
      <c r="D91" s="562">
        <v>43.195266272189357</v>
      </c>
      <c r="E91" s="501">
        <v>43.195266272189357</v>
      </c>
      <c r="F91" s="523" t="s">
        <v>954</v>
      </c>
      <c r="G91" s="660">
        <v>377.35384615384635</v>
      </c>
      <c r="H91" s="501">
        <v>377.35384615384635</v>
      </c>
      <c r="I91" s="461" t="s">
        <v>954</v>
      </c>
    </row>
    <row r="92" spans="1:9" ht="11.25" customHeight="1">
      <c r="A92" s="458" t="s">
        <v>342</v>
      </c>
      <c r="B92" s="499" t="s">
        <v>1405</v>
      </c>
      <c r="C92" s="1157" t="s">
        <v>638</v>
      </c>
      <c r="D92" s="562">
        <v>21.597633136094679</v>
      </c>
      <c r="E92" s="501">
        <v>21.597633136094679</v>
      </c>
      <c r="F92" s="523" t="s">
        <v>954</v>
      </c>
      <c r="G92" s="660">
        <v>188.67692307692317</v>
      </c>
      <c r="H92" s="501">
        <v>188.67692307692317</v>
      </c>
      <c r="I92" s="461" t="s">
        <v>954</v>
      </c>
    </row>
    <row r="93" spans="1:9" ht="11.25" customHeight="1">
      <c r="A93" s="458" t="s">
        <v>371</v>
      </c>
      <c r="B93" s="499" t="s">
        <v>1405</v>
      </c>
      <c r="C93" s="1157" t="s">
        <v>638</v>
      </c>
      <c r="D93" s="562">
        <v>12.20735785953177</v>
      </c>
      <c r="E93" s="501">
        <v>12.20735785953177</v>
      </c>
      <c r="F93" s="523" t="s">
        <v>954</v>
      </c>
      <c r="G93" s="660">
        <v>106.64347826086956</v>
      </c>
      <c r="H93" s="501">
        <v>106.64347826086956</v>
      </c>
      <c r="I93" s="461" t="s">
        <v>954</v>
      </c>
    </row>
    <row r="94" spans="1:9" ht="11.25" customHeight="1">
      <c r="A94" s="458" t="s">
        <v>343</v>
      </c>
      <c r="B94" s="499" t="s">
        <v>1405</v>
      </c>
      <c r="C94" s="1157" t="s">
        <v>638</v>
      </c>
      <c r="D94" s="562">
        <v>255.2447552447552</v>
      </c>
      <c r="E94" s="501">
        <v>255.2447552447552</v>
      </c>
      <c r="F94" s="523" t="s">
        <v>954</v>
      </c>
      <c r="G94" s="660">
        <v>2229.818181818182</v>
      </c>
      <c r="H94" s="501">
        <v>2229.818181818182</v>
      </c>
      <c r="I94" s="461" t="s">
        <v>954</v>
      </c>
    </row>
    <row r="95" spans="1:9" ht="11.25" customHeight="1">
      <c r="A95" s="458" t="s">
        <v>364</v>
      </c>
      <c r="B95" s="499" t="s">
        <v>653</v>
      </c>
      <c r="C95" s="1157" t="s">
        <v>638</v>
      </c>
      <c r="D95" s="562" t="s">
        <v>954</v>
      </c>
      <c r="E95" s="501" t="s">
        <v>954</v>
      </c>
      <c r="F95" s="523" t="s">
        <v>954</v>
      </c>
      <c r="G95" s="660" t="s">
        <v>954</v>
      </c>
      <c r="H95" s="501" t="s">
        <v>954</v>
      </c>
      <c r="I95" s="461" t="s">
        <v>954</v>
      </c>
    </row>
    <row r="96" spans="1:9" ht="11.25" customHeight="1">
      <c r="A96" s="458" t="s">
        <v>344</v>
      </c>
      <c r="B96" s="499" t="s">
        <v>1405</v>
      </c>
      <c r="C96" s="1157" t="s">
        <v>638</v>
      </c>
      <c r="D96" s="562">
        <v>510.48951048951039</v>
      </c>
      <c r="E96" s="501">
        <v>510.48951048951039</v>
      </c>
      <c r="F96" s="523">
        <v>12514.285714285714</v>
      </c>
      <c r="G96" s="660">
        <v>4459.636363636364</v>
      </c>
      <c r="H96" s="501">
        <v>4459.636363636364</v>
      </c>
      <c r="I96" s="461">
        <v>105120.00000000001</v>
      </c>
    </row>
    <row r="97" spans="1:9" ht="11.25" customHeight="1">
      <c r="A97" s="458" t="s">
        <v>104</v>
      </c>
      <c r="B97" s="499" t="s">
        <v>653</v>
      </c>
      <c r="C97" s="1157" t="s">
        <v>638</v>
      </c>
      <c r="D97" s="562" t="s">
        <v>954</v>
      </c>
      <c r="E97" s="501" t="s">
        <v>954</v>
      </c>
      <c r="F97" s="523" t="s">
        <v>954</v>
      </c>
      <c r="G97" s="660" t="s">
        <v>954</v>
      </c>
      <c r="H97" s="501" t="s">
        <v>954</v>
      </c>
      <c r="I97" s="461" t="s">
        <v>954</v>
      </c>
    </row>
    <row r="98" spans="1:9" ht="11.25" customHeight="1">
      <c r="A98" s="458" t="s">
        <v>345</v>
      </c>
      <c r="B98" s="499" t="s">
        <v>653</v>
      </c>
      <c r="C98" s="1157" t="s">
        <v>638</v>
      </c>
      <c r="D98" s="562" t="s">
        <v>954</v>
      </c>
      <c r="E98" s="501" t="s">
        <v>954</v>
      </c>
      <c r="F98" s="523" t="s">
        <v>954</v>
      </c>
      <c r="G98" s="660" t="s">
        <v>954</v>
      </c>
      <c r="H98" s="501" t="s">
        <v>954</v>
      </c>
      <c r="I98" s="461" t="s">
        <v>954</v>
      </c>
    </row>
    <row r="99" spans="1:9" ht="11.25" customHeight="1">
      <c r="A99" s="458" t="s">
        <v>105</v>
      </c>
      <c r="B99" s="499" t="s">
        <v>653</v>
      </c>
      <c r="C99" s="1157" t="s">
        <v>652</v>
      </c>
      <c r="D99" s="562" t="s">
        <v>954</v>
      </c>
      <c r="E99" s="501" t="s">
        <v>954</v>
      </c>
      <c r="F99" s="523" t="s">
        <v>954</v>
      </c>
      <c r="G99" s="660" t="s">
        <v>954</v>
      </c>
      <c r="H99" s="501" t="s">
        <v>954</v>
      </c>
      <c r="I99" s="461" t="s">
        <v>954</v>
      </c>
    </row>
    <row r="100" spans="1:9" ht="11.25" customHeight="1">
      <c r="A100" s="458" t="s">
        <v>346</v>
      </c>
      <c r="B100" s="499" t="s">
        <v>653</v>
      </c>
      <c r="C100" s="1157" t="s">
        <v>638</v>
      </c>
      <c r="D100" s="562" t="s">
        <v>954</v>
      </c>
      <c r="E100" s="501" t="s">
        <v>954</v>
      </c>
      <c r="F100" s="523" t="s">
        <v>954</v>
      </c>
      <c r="G100" s="660" t="s">
        <v>954</v>
      </c>
      <c r="H100" s="501" t="s">
        <v>954</v>
      </c>
      <c r="I100" s="461" t="s">
        <v>954</v>
      </c>
    </row>
    <row r="101" spans="1:9" ht="11.25" customHeight="1">
      <c r="A101" s="458" t="s">
        <v>347</v>
      </c>
      <c r="B101" s="499" t="s">
        <v>653</v>
      </c>
      <c r="C101" s="1157" t="s">
        <v>638</v>
      </c>
      <c r="D101" s="562" t="s">
        <v>954</v>
      </c>
      <c r="E101" s="501" t="s">
        <v>954</v>
      </c>
      <c r="F101" s="523" t="s">
        <v>954</v>
      </c>
      <c r="G101" s="660" t="s">
        <v>954</v>
      </c>
      <c r="H101" s="501" t="s">
        <v>954</v>
      </c>
      <c r="I101" s="461" t="s">
        <v>954</v>
      </c>
    </row>
    <row r="102" spans="1:9" ht="11.25" customHeight="1">
      <c r="A102" s="458" t="s">
        <v>348</v>
      </c>
      <c r="B102" s="499" t="s">
        <v>653</v>
      </c>
      <c r="C102" s="1157" t="s">
        <v>638</v>
      </c>
      <c r="D102" s="562" t="s">
        <v>954</v>
      </c>
      <c r="E102" s="501" t="s">
        <v>954</v>
      </c>
      <c r="F102" s="523" t="s">
        <v>954</v>
      </c>
      <c r="G102" s="660" t="s">
        <v>954</v>
      </c>
      <c r="H102" s="501" t="s">
        <v>954</v>
      </c>
      <c r="I102" s="461" t="s">
        <v>954</v>
      </c>
    </row>
    <row r="103" spans="1:9" ht="11.25" customHeight="1">
      <c r="A103" s="458" t="s">
        <v>350</v>
      </c>
      <c r="B103" s="499" t="s">
        <v>651</v>
      </c>
      <c r="C103" s="1157" t="s">
        <v>652</v>
      </c>
      <c r="D103" s="562">
        <v>2085714.2857142857</v>
      </c>
      <c r="E103" s="501" t="s">
        <v>954</v>
      </c>
      <c r="F103" s="523">
        <v>2085714.2857142857</v>
      </c>
      <c r="G103" s="660">
        <v>17520000</v>
      </c>
      <c r="H103" s="501" t="s">
        <v>954</v>
      </c>
      <c r="I103" s="461">
        <v>17520000</v>
      </c>
    </row>
    <row r="104" spans="1:9" ht="11.25" customHeight="1">
      <c r="A104" s="458" t="s">
        <v>351</v>
      </c>
      <c r="B104" s="499" t="s">
        <v>651</v>
      </c>
      <c r="C104" s="1157" t="s">
        <v>652</v>
      </c>
      <c r="D104" s="562">
        <v>1251428.5714285714</v>
      </c>
      <c r="E104" s="501" t="s">
        <v>954</v>
      </c>
      <c r="F104" s="523">
        <v>1251428.5714285714</v>
      </c>
      <c r="G104" s="660">
        <v>10512000.000000002</v>
      </c>
      <c r="H104" s="501" t="s">
        <v>954</v>
      </c>
      <c r="I104" s="461">
        <v>10512000.000000002</v>
      </c>
    </row>
    <row r="105" spans="1:9" ht="11.25" customHeight="1">
      <c r="A105" s="458" t="s">
        <v>352</v>
      </c>
      <c r="B105" s="499" t="s">
        <v>653</v>
      </c>
      <c r="C105" s="1157" t="s">
        <v>638</v>
      </c>
      <c r="D105" s="562" t="s">
        <v>954</v>
      </c>
      <c r="E105" s="501" t="s">
        <v>954</v>
      </c>
      <c r="F105" s="523" t="s">
        <v>954</v>
      </c>
      <c r="G105" s="660" t="s">
        <v>954</v>
      </c>
      <c r="H105" s="501" t="s">
        <v>954</v>
      </c>
      <c r="I105" s="461" t="s">
        <v>954</v>
      </c>
    </row>
    <row r="106" spans="1:9" ht="11.25" customHeight="1">
      <c r="A106" s="458" t="s">
        <v>353</v>
      </c>
      <c r="B106" s="499" t="s">
        <v>651</v>
      </c>
      <c r="C106" s="1157" t="s">
        <v>652</v>
      </c>
      <c r="D106" s="562">
        <v>21597.633136094671</v>
      </c>
      <c r="E106" s="501">
        <v>21597.633136094671</v>
      </c>
      <c r="F106" s="523">
        <v>1251428.5714285714</v>
      </c>
      <c r="G106" s="660">
        <v>188676.92307692309</v>
      </c>
      <c r="H106" s="501">
        <v>188676.92307692309</v>
      </c>
      <c r="I106" s="461">
        <v>10512000.000000002</v>
      </c>
    </row>
    <row r="107" spans="1:9" ht="11.25" customHeight="1">
      <c r="A107" s="458" t="s">
        <v>349</v>
      </c>
      <c r="B107" s="499" t="s">
        <v>651</v>
      </c>
      <c r="C107" s="1157" t="s">
        <v>652</v>
      </c>
      <c r="D107" s="562">
        <v>202777.77777777775</v>
      </c>
      <c r="E107" s="501">
        <v>202777.77777777775</v>
      </c>
      <c r="F107" s="523">
        <v>250285.71428571426</v>
      </c>
      <c r="G107" s="660">
        <v>2102400</v>
      </c>
      <c r="H107" s="501">
        <v>4905600</v>
      </c>
      <c r="I107" s="461">
        <v>2102400</v>
      </c>
    </row>
    <row r="108" spans="1:9" ht="11.25" customHeight="1">
      <c r="A108" s="458" t="s">
        <v>590</v>
      </c>
      <c r="B108" s="499" t="s">
        <v>651</v>
      </c>
      <c r="C108" s="1157" t="s">
        <v>638</v>
      </c>
      <c r="D108" s="562">
        <v>102200.00000000001</v>
      </c>
      <c r="E108" s="501" t="s">
        <v>954</v>
      </c>
      <c r="F108" s="523">
        <v>102200.00000000001</v>
      </c>
      <c r="G108" s="660">
        <v>858480.00000000023</v>
      </c>
      <c r="H108" s="501" t="s">
        <v>954</v>
      </c>
      <c r="I108" s="461">
        <v>858480.00000000023</v>
      </c>
    </row>
    <row r="109" spans="1:9" ht="11.25" customHeight="1">
      <c r="A109" s="458" t="s">
        <v>591</v>
      </c>
      <c r="B109" s="499" t="s">
        <v>651</v>
      </c>
      <c r="C109" s="1157" t="s">
        <v>638</v>
      </c>
      <c r="D109" s="562">
        <v>5840</v>
      </c>
      <c r="E109" s="501" t="s">
        <v>954</v>
      </c>
      <c r="F109" s="523">
        <v>5840</v>
      </c>
      <c r="G109" s="660">
        <v>49056.000000000007</v>
      </c>
      <c r="H109" s="501" t="s">
        <v>954</v>
      </c>
      <c r="I109" s="461">
        <v>49056.000000000007</v>
      </c>
    </row>
    <row r="110" spans="1:9" ht="11.25" customHeight="1">
      <c r="A110" s="458" t="s">
        <v>465</v>
      </c>
      <c r="B110" s="499" t="s">
        <v>653</v>
      </c>
      <c r="C110" s="1157" t="s">
        <v>638</v>
      </c>
      <c r="D110" s="562" t="s">
        <v>954</v>
      </c>
      <c r="E110" s="501" t="s">
        <v>954</v>
      </c>
      <c r="F110" s="523" t="s">
        <v>954</v>
      </c>
      <c r="G110" s="660" t="s">
        <v>954</v>
      </c>
      <c r="H110" s="501" t="s">
        <v>954</v>
      </c>
      <c r="I110" s="461" t="s">
        <v>954</v>
      </c>
    </row>
    <row r="111" spans="1:9" ht="11.25" customHeight="1">
      <c r="A111" s="458" t="s">
        <v>466</v>
      </c>
      <c r="B111" s="499" t="s">
        <v>651</v>
      </c>
      <c r="C111" s="1157" t="s">
        <v>638</v>
      </c>
      <c r="D111" s="562">
        <v>1251.4285714285713</v>
      </c>
      <c r="E111" s="501">
        <v>1651.5837104072402</v>
      </c>
      <c r="F111" s="523">
        <v>1251.4285714285713</v>
      </c>
      <c r="G111" s="660">
        <v>10512.000000000002</v>
      </c>
      <c r="H111" s="501">
        <v>14428.235294117654</v>
      </c>
      <c r="I111" s="461">
        <v>10512.000000000002</v>
      </c>
    </row>
    <row r="112" spans="1:9" ht="11.25" customHeight="1">
      <c r="A112" s="458" t="s">
        <v>812</v>
      </c>
      <c r="B112" s="499" t="s">
        <v>653</v>
      </c>
      <c r="C112" s="1157" t="s">
        <v>638</v>
      </c>
      <c r="D112" s="562" t="s">
        <v>954</v>
      </c>
      <c r="E112" s="501" t="s">
        <v>954</v>
      </c>
      <c r="F112" s="523" t="s">
        <v>954</v>
      </c>
      <c r="G112" s="660" t="s">
        <v>954</v>
      </c>
      <c r="H112" s="501" t="s">
        <v>954</v>
      </c>
      <c r="I112" s="461" t="s">
        <v>954</v>
      </c>
    </row>
    <row r="113" spans="1:9" ht="11.25" customHeight="1">
      <c r="A113" s="462" t="s">
        <v>106</v>
      </c>
      <c r="B113" s="499" t="s">
        <v>651</v>
      </c>
      <c r="C113" s="1157" t="s">
        <v>652</v>
      </c>
      <c r="D113" s="562">
        <v>140.38461538461536</v>
      </c>
      <c r="E113" s="501">
        <v>140.38461538461536</v>
      </c>
      <c r="F113" s="523">
        <v>3754.2857142857142</v>
      </c>
      <c r="G113" s="660">
        <v>1226.3999999999999</v>
      </c>
      <c r="H113" s="501">
        <v>1226.3999999999999</v>
      </c>
      <c r="I113" s="461">
        <v>31536.000000000004</v>
      </c>
    </row>
    <row r="114" spans="1:9" ht="11.25" customHeight="1">
      <c r="A114" s="462" t="s">
        <v>107</v>
      </c>
      <c r="B114" s="499" t="s">
        <v>653</v>
      </c>
      <c r="C114" s="1157" t="s">
        <v>652</v>
      </c>
      <c r="D114" s="562" t="s">
        <v>954</v>
      </c>
      <c r="E114" s="501" t="s">
        <v>954</v>
      </c>
      <c r="F114" s="523" t="s">
        <v>954</v>
      </c>
      <c r="G114" s="660" t="s">
        <v>954</v>
      </c>
      <c r="H114" s="501" t="s">
        <v>954</v>
      </c>
      <c r="I114" s="461" t="s">
        <v>954</v>
      </c>
    </row>
    <row r="115" spans="1:9" ht="11.25" customHeight="1">
      <c r="A115" s="462" t="s">
        <v>108</v>
      </c>
      <c r="B115" s="499" t="s">
        <v>651</v>
      </c>
      <c r="C115" s="1157" t="s">
        <v>638</v>
      </c>
      <c r="D115" s="562">
        <v>1314</v>
      </c>
      <c r="E115" s="501" t="s">
        <v>954</v>
      </c>
      <c r="F115" s="523">
        <v>1314</v>
      </c>
      <c r="G115" s="660">
        <v>11037.6</v>
      </c>
      <c r="H115" s="501" t="s">
        <v>954</v>
      </c>
      <c r="I115" s="461">
        <v>11037.6</v>
      </c>
    </row>
    <row r="116" spans="1:9" ht="11.25" customHeight="1">
      <c r="A116" s="462" t="s">
        <v>109</v>
      </c>
      <c r="B116" s="499" t="s">
        <v>653</v>
      </c>
      <c r="C116" s="1157" t="s">
        <v>638</v>
      </c>
      <c r="D116" s="562" t="s">
        <v>954</v>
      </c>
      <c r="E116" s="501" t="s">
        <v>954</v>
      </c>
      <c r="F116" s="523" t="s">
        <v>954</v>
      </c>
      <c r="G116" s="660" t="s">
        <v>954</v>
      </c>
      <c r="H116" s="501" t="s">
        <v>954</v>
      </c>
      <c r="I116" s="461" t="s">
        <v>954</v>
      </c>
    </row>
    <row r="117" spans="1:9" ht="11.25" customHeight="1">
      <c r="A117" s="462" t="s">
        <v>110</v>
      </c>
      <c r="B117" s="499" t="s">
        <v>653</v>
      </c>
      <c r="C117" s="1157" t="s">
        <v>638</v>
      </c>
      <c r="D117" s="562" t="s">
        <v>954</v>
      </c>
      <c r="E117" s="501" t="s">
        <v>954</v>
      </c>
      <c r="F117" s="523" t="s">
        <v>954</v>
      </c>
      <c r="G117" s="660" t="s">
        <v>954</v>
      </c>
      <c r="H117" s="501" t="s">
        <v>954</v>
      </c>
      <c r="I117" s="461" t="s">
        <v>954</v>
      </c>
    </row>
    <row r="118" spans="1:9" ht="11.25" customHeight="1">
      <c r="A118" s="458" t="s">
        <v>467</v>
      </c>
      <c r="B118" s="499" t="s">
        <v>653</v>
      </c>
      <c r="C118" s="1157" t="s">
        <v>638</v>
      </c>
      <c r="D118" s="562" t="s">
        <v>954</v>
      </c>
      <c r="E118" s="501" t="s">
        <v>954</v>
      </c>
      <c r="F118" s="523" t="s">
        <v>954</v>
      </c>
      <c r="G118" s="660" t="s">
        <v>954</v>
      </c>
      <c r="H118" s="501" t="s">
        <v>954</v>
      </c>
      <c r="I118" s="461" t="s">
        <v>954</v>
      </c>
    </row>
    <row r="119" spans="1:9" ht="11.25" customHeight="1">
      <c r="A119" s="462" t="s">
        <v>111</v>
      </c>
      <c r="B119" s="499" t="s">
        <v>653</v>
      </c>
      <c r="C119" s="1157" t="s">
        <v>638</v>
      </c>
      <c r="D119" s="562" t="s">
        <v>954</v>
      </c>
      <c r="E119" s="501" t="s">
        <v>954</v>
      </c>
      <c r="F119" s="523" t="s">
        <v>954</v>
      </c>
      <c r="G119" s="660" t="s">
        <v>954</v>
      </c>
      <c r="H119" s="501" t="s">
        <v>954</v>
      </c>
      <c r="I119" s="461" t="s">
        <v>954</v>
      </c>
    </row>
    <row r="120" spans="1:9" ht="11.25" customHeight="1">
      <c r="A120" s="458" t="s">
        <v>231</v>
      </c>
      <c r="B120" s="499" t="s">
        <v>653</v>
      </c>
      <c r="C120" s="1157" t="s">
        <v>638</v>
      </c>
      <c r="D120" s="562" t="s">
        <v>954</v>
      </c>
      <c r="E120" s="501" t="s">
        <v>954</v>
      </c>
      <c r="F120" s="523" t="s">
        <v>954</v>
      </c>
      <c r="G120" s="660" t="s">
        <v>954</v>
      </c>
      <c r="H120" s="501" t="s">
        <v>954</v>
      </c>
      <c r="I120" s="461" t="s">
        <v>954</v>
      </c>
    </row>
    <row r="121" spans="1:9" ht="11.25" customHeight="1">
      <c r="A121" s="458" t="s">
        <v>468</v>
      </c>
      <c r="B121" s="499" t="s">
        <v>651</v>
      </c>
      <c r="C121" s="1157" t="s">
        <v>638</v>
      </c>
      <c r="D121" s="562">
        <v>58400</v>
      </c>
      <c r="E121" s="501" t="s">
        <v>954</v>
      </c>
      <c r="F121" s="523">
        <v>58400</v>
      </c>
      <c r="G121" s="660">
        <v>490560.00000000012</v>
      </c>
      <c r="H121" s="501" t="s">
        <v>954</v>
      </c>
      <c r="I121" s="461">
        <v>490560.00000000012</v>
      </c>
    </row>
    <row r="122" spans="1:9" ht="11.25" customHeight="1">
      <c r="A122" s="458" t="s">
        <v>469</v>
      </c>
      <c r="B122" s="499" t="s">
        <v>653</v>
      </c>
      <c r="C122" s="1157" t="s">
        <v>638</v>
      </c>
      <c r="D122" s="562" t="s">
        <v>954</v>
      </c>
      <c r="E122" s="501" t="s">
        <v>954</v>
      </c>
      <c r="F122" s="523" t="s">
        <v>954</v>
      </c>
      <c r="G122" s="660" t="s">
        <v>954</v>
      </c>
      <c r="H122" s="501" t="s">
        <v>954</v>
      </c>
      <c r="I122" s="461" t="s">
        <v>954</v>
      </c>
    </row>
    <row r="123" spans="1:9" ht="11.25" customHeight="1">
      <c r="A123" s="458" t="s">
        <v>365</v>
      </c>
      <c r="B123" s="499" t="s">
        <v>1405</v>
      </c>
      <c r="C123" s="1157" t="s">
        <v>638</v>
      </c>
      <c r="D123" s="562">
        <v>98.515519568151191</v>
      </c>
      <c r="E123" s="501">
        <v>98.515519568151191</v>
      </c>
      <c r="F123" s="523" t="s">
        <v>954</v>
      </c>
      <c r="G123" s="660">
        <v>860.63157894736878</v>
      </c>
      <c r="H123" s="501">
        <v>860.63157894736878</v>
      </c>
      <c r="I123" s="461" t="s">
        <v>954</v>
      </c>
    </row>
    <row r="124" spans="1:9" ht="11.25" customHeight="1">
      <c r="A124" s="458" t="s">
        <v>112</v>
      </c>
      <c r="B124" s="499" t="s">
        <v>653</v>
      </c>
      <c r="C124" s="1157" t="s">
        <v>652</v>
      </c>
      <c r="D124" s="562" t="s">
        <v>954</v>
      </c>
      <c r="E124" s="501" t="s">
        <v>954</v>
      </c>
      <c r="F124" s="523" t="s">
        <v>954</v>
      </c>
      <c r="G124" s="660" t="s">
        <v>954</v>
      </c>
      <c r="H124" s="501" t="s">
        <v>954</v>
      </c>
      <c r="I124" s="461" t="s">
        <v>954</v>
      </c>
    </row>
    <row r="125" spans="1:9" ht="11.25" customHeight="1">
      <c r="A125" s="458" t="s">
        <v>470</v>
      </c>
      <c r="B125" s="499" t="s">
        <v>651</v>
      </c>
      <c r="C125" s="1157" t="s">
        <v>638</v>
      </c>
      <c r="D125" s="562">
        <v>43799.999999999993</v>
      </c>
      <c r="E125" s="501" t="s">
        <v>954</v>
      </c>
      <c r="F125" s="523">
        <v>43799.999999999993</v>
      </c>
      <c r="G125" s="660">
        <v>367920</v>
      </c>
      <c r="H125" s="501" t="s">
        <v>954</v>
      </c>
      <c r="I125" s="461">
        <v>367920</v>
      </c>
    </row>
    <row r="126" spans="1:9" ht="11.25" customHeight="1">
      <c r="A126" s="458" t="s">
        <v>471</v>
      </c>
      <c r="B126" s="499" t="s">
        <v>653</v>
      </c>
      <c r="C126" s="1157" t="s">
        <v>638</v>
      </c>
      <c r="D126" s="562" t="s">
        <v>954</v>
      </c>
      <c r="E126" s="501" t="s">
        <v>954</v>
      </c>
      <c r="F126" s="523" t="s">
        <v>954</v>
      </c>
      <c r="G126" s="660" t="s">
        <v>954</v>
      </c>
      <c r="H126" s="501" t="s">
        <v>954</v>
      </c>
      <c r="I126" s="461" t="s">
        <v>954</v>
      </c>
    </row>
    <row r="127" spans="1:9" ht="11.25" customHeight="1">
      <c r="A127" s="458" t="s">
        <v>813</v>
      </c>
      <c r="B127" s="499" t="s">
        <v>653</v>
      </c>
      <c r="C127" s="1157" t="s">
        <v>638</v>
      </c>
      <c r="D127" s="562" t="s">
        <v>954</v>
      </c>
      <c r="E127" s="501" t="s">
        <v>954</v>
      </c>
      <c r="F127" s="523" t="s">
        <v>954</v>
      </c>
      <c r="G127" s="660" t="s">
        <v>954</v>
      </c>
      <c r="H127" s="501" t="s">
        <v>954</v>
      </c>
      <c r="I127" s="461" t="s">
        <v>954</v>
      </c>
    </row>
    <row r="128" spans="1:9" ht="11.25" customHeight="1">
      <c r="A128" s="458" t="s">
        <v>113</v>
      </c>
      <c r="B128" s="499" t="s">
        <v>653</v>
      </c>
      <c r="C128" s="1157" t="s">
        <v>638</v>
      </c>
      <c r="D128" s="562" t="s">
        <v>954</v>
      </c>
      <c r="E128" s="501" t="s">
        <v>954</v>
      </c>
      <c r="F128" s="523" t="s">
        <v>954</v>
      </c>
      <c r="G128" s="660" t="s">
        <v>954</v>
      </c>
      <c r="H128" s="501" t="s">
        <v>954</v>
      </c>
      <c r="I128" s="461" t="s">
        <v>954</v>
      </c>
    </row>
    <row r="129" spans="1:9" ht="11.25" customHeight="1">
      <c r="A129" s="458" t="s">
        <v>472</v>
      </c>
      <c r="B129" s="499" t="s">
        <v>651</v>
      </c>
      <c r="C129" s="1157" t="s">
        <v>652</v>
      </c>
      <c r="D129" s="562">
        <v>417142.85714285716</v>
      </c>
      <c r="E129" s="501" t="s">
        <v>954</v>
      </c>
      <c r="F129" s="523">
        <v>417142.85714285716</v>
      </c>
      <c r="G129" s="660">
        <v>3504000.0000000005</v>
      </c>
      <c r="H129" s="501" t="s">
        <v>954</v>
      </c>
      <c r="I129" s="461">
        <v>3504000.0000000005</v>
      </c>
    </row>
    <row r="130" spans="1:9" ht="11.25" customHeight="1">
      <c r="A130" s="458" t="s">
        <v>114</v>
      </c>
      <c r="B130" s="499" t="s">
        <v>653</v>
      </c>
      <c r="C130" s="1157" t="s">
        <v>638</v>
      </c>
      <c r="D130" s="562" t="s">
        <v>954</v>
      </c>
      <c r="E130" s="501" t="s">
        <v>954</v>
      </c>
      <c r="F130" s="523" t="s">
        <v>954</v>
      </c>
      <c r="G130" s="660" t="s">
        <v>954</v>
      </c>
      <c r="H130" s="501" t="s">
        <v>954</v>
      </c>
      <c r="I130" s="461" t="s">
        <v>954</v>
      </c>
    </row>
    <row r="131" spans="1:9" ht="11.25" customHeight="1">
      <c r="A131" s="458" t="s">
        <v>19</v>
      </c>
      <c r="B131" s="499" t="s">
        <v>651</v>
      </c>
      <c r="C131" s="1157" t="s">
        <v>652</v>
      </c>
      <c r="D131" s="562">
        <v>2085714.2857142857</v>
      </c>
      <c r="E131" s="501" t="s">
        <v>954</v>
      </c>
      <c r="F131" s="523">
        <v>2085714.2857142857</v>
      </c>
      <c r="G131" s="660">
        <v>17520000</v>
      </c>
      <c r="H131" s="501" t="s">
        <v>954</v>
      </c>
      <c r="I131" s="461">
        <v>17520000</v>
      </c>
    </row>
    <row r="132" spans="1:9" ht="11.25" customHeight="1">
      <c r="A132" s="458" t="s">
        <v>473</v>
      </c>
      <c r="B132" s="499" t="s">
        <v>651</v>
      </c>
      <c r="C132" s="1157" t="s">
        <v>652</v>
      </c>
      <c r="D132" s="562">
        <v>758.83575883575872</v>
      </c>
      <c r="E132" s="501">
        <v>758.83575883575872</v>
      </c>
      <c r="F132" s="523">
        <v>43799.999999999993</v>
      </c>
      <c r="G132" s="660">
        <v>6629.1891891891892</v>
      </c>
      <c r="H132" s="501">
        <v>6629.1891891891892</v>
      </c>
      <c r="I132" s="461">
        <v>367920</v>
      </c>
    </row>
    <row r="133" spans="1:9" ht="11.25" customHeight="1">
      <c r="A133" s="458" t="s">
        <v>474</v>
      </c>
      <c r="B133" s="499" t="s">
        <v>651</v>
      </c>
      <c r="C133" s="1157" t="s">
        <v>652</v>
      </c>
      <c r="D133" s="562">
        <v>96.816976127320928</v>
      </c>
      <c r="E133" s="501">
        <v>96.816976127320928</v>
      </c>
      <c r="F133" s="523" t="s">
        <v>954</v>
      </c>
      <c r="G133" s="660">
        <v>845.79310344827582</v>
      </c>
      <c r="H133" s="501">
        <v>845.79310344827582</v>
      </c>
      <c r="I133" s="461" t="s">
        <v>954</v>
      </c>
    </row>
    <row r="134" spans="1:9" ht="11.25" customHeight="1">
      <c r="A134" s="458" t="s">
        <v>475</v>
      </c>
      <c r="B134" s="499" t="s">
        <v>651</v>
      </c>
      <c r="C134" s="1157" t="s">
        <v>652</v>
      </c>
      <c r="D134" s="562">
        <v>920.55485498108419</v>
      </c>
      <c r="E134" s="501">
        <v>920.55485498108419</v>
      </c>
      <c r="F134" s="523">
        <v>16685.714285714286</v>
      </c>
      <c r="G134" s="660">
        <v>8041.9672131147536</v>
      </c>
      <c r="H134" s="501">
        <v>8041.9672131147536</v>
      </c>
      <c r="I134" s="461">
        <v>140160.00000000003</v>
      </c>
    </row>
    <row r="135" spans="1:9" ht="11.25" customHeight="1">
      <c r="A135" s="458" t="s">
        <v>115</v>
      </c>
      <c r="B135" s="499" t="s">
        <v>653</v>
      </c>
      <c r="C135" s="1157" t="s">
        <v>638</v>
      </c>
      <c r="D135" s="562" t="s">
        <v>954</v>
      </c>
      <c r="E135" s="501" t="s">
        <v>954</v>
      </c>
      <c r="F135" s="523" t="s">
        <v>954</v>
      </c>
      <c r="G135" s="660" t="s">
        <v>954</v>
      </c>
      <c r="H135" s="501" t="s">
        <v>954</v>
      </c>
      <c r="I135" s="461" t="s">
        <v>954</v>
      </c>
    </row>
    <row r="136" spans="1:9" ht="11.25" customHeight="1">
      <c r="A136" s="462" t="s">
        <v>116</v>
      </c>
      <c r="B136" s="499" t="s">
        <v>653</v>
      </c>
      <c r="C136" s="1157" t="s">
        <v>638</v>
      </c>
      <c r="D136" s="562" t="s">
        <v>954</v>
      </c>
      <c r="E136" s="501" t="s">
        <v>954</v>
      </c>
      <c r="F136" s="523" t="s">
        <v>954</v>
      </c>
      <c r="G136" s="660" t="s">
        <v>954</v>
      </c>
      <c r="H136" s="501" t="s">
        <v>954</v>
      </c>
      <c r="I136" s="461" t="s">
        <v>954</v>
      </c>
    </row>
    <row r="137" spans="1:9" ht="11.25" customHeight="1">
      <c r="A137" s="458" t="s">
        <v>476</v>
      </c>
      <c r="B137" s="499" t="s">
        <v>653</v>
      </c>
      <c r="C137" s="1157" t="s">
        <v>638</v>
      </c>
      <c r="D137" s="562" t="s">
        <v>954</v>
      </c>
      <c r="E137" s="501" t="s">
        <v>954</v>
      </c>
      <c r="F137" s="523" t="s">
        <v>954</v>
      </c>
      <c r="G137" s="660" t="s">
        <v>954</v>
      </c>
      <c r="H137" s="501" t="s">
        <v>954</v>
      </c>
      <c r="I137" s="461" t="s">
        <v>954</v>
      </c>
    </row>
    <row r="138" spans="1:9" ht="11.25" customHeight="1">
      <c r="A138" s="458" t="s">
        <v>366</v>
      </c>
      <c r="B138" s="499" t="s">
        <v>651</v>
      </c>
      <c r="C138" s="1157" t="s">
        <v>652</v>
      </c>
      <c r="D138" s="562">
        <v>2085714.2857142857</v>
      </c>
      <c r="E138" s="501" t="s">
        <v>954</v>
      </c>
      <c r="F138" s="523">
        <v>2085714.2857142857</v>
      </c>
      <c r="G138" s="660">
        <v>17520000</v>
      </c>
      <c r="H138" s="501" t="s">
        <v>954</v>
      </c>
      <c r="I138" s="461">
        <v>17520000</v>
      </c>
    </row>
    <row r="139" spans="1:9" ht="11.25" customHeight="1">
      <c r="A139" s="458" t="s">
        <v>20</v>
      </c>
      <c r="B139" s="499" t="s">
        <v>653</v>
      </c>
      <c r="C139" s="1157" t="s">
        <v>638</v>
      </c>
      <c r="D139" s="562" t="s">
        <v>954</v>
      </c>
      <c r="E139" s="501" t="s">
        <v>954</v>
      </c>
      <c r="F139" s="523" t="s">
        <v>954</v>
      </c>
      <c r="G139" s="660" t="s">
        <v>954</v>
      </c>
      <c r="H139" s="501" t="s">
        <v>954</v>
      </c>
      <c r="I139" s="461" t="s">
        <v>954</v>
      </c>
    </row>
    <row r="140" spans="1:9" ht="11.25" customHeight="1">
      <c r="A140" s="458" t="s">
        <v>57</v>
      </c>
      <c r="B140" s="499" t="s">
        <v>651</v>
      </c>
      <c r="C140" s="1157" t="s">
        <v>652</v>
      </c>
      <c r="D140" s="562">
        <v>398371.42857142858</v>
      </c>
      <c r="E140" s="501" t="s">
        <v>954</v>
      </c>
      <c r="F140" s="523">
        <v>398371.42857142858</v>
      </c>
      <c r="G140" s="660">
        <v>3346320.0000000005</v>
      </c>
      <c r="H140" s="501" t="s">
        <v>954</v>
      </c>
      <c r="I140" s="461">
        <v>3346320.0000000005</v>
      </c>
    </row>
    <row r="141" spans="1:9" ht="11.25" customHeight="1">
      <c r="A141" s="458" t="s">
        <v>56</v>
      </c>
      <c r="B141" s="499" t="s">
        <v>651</v>
      </c>
      <c r="C141" s="1157" t="s">
        <v>652</v>
      </c>
      <c r="D141" s="562">
        <v>256542.85714285713</v>
      </c>
      <c r="E141" s="501" t="s">
        <v>954</v>
      </c>
      <c r="F141" s="523">
        <v>256542.85714285713</v>
      </c>
      <c r="G141" s="660">
        <v>2154960</v>
      </c>
      <c r="H141" s="501" t="s">
        <v>954</v>
      </c>
      <c r="I141" s="461">
        <v>2154960</v>
      </c>
    </row>
    <row r="142" spans="1:9" ht="11.25" customHeight="1">
      <c r="A142" s="458" t="s">
        <v>777</v>
      </c>
      <c r="B142" s="499" t="s">
        <v>1405</v>
      </c>
      <c r="C142" s="1157" t="s">
        <v>652</v>
      </c>
      <c r="D142" s="562">
        <v>256542.85714285713</v>
      </c>
      <c r="E142" s="501" t="s">
        <v>954</v>
      </c>
      <c r="F142" s="523">
        <v>256542.85714285713</v>
      </c>
      <c r="G142" s="660">
        <v>2154960</v>
      </c>
      <c r="H142" s="501" t="s">
        <v>954</v>
      </c>
      <c r="I142" s="461">
        <v>2154960</v>
      </c>
    </row>
    <row r="143" spans="1:9" ht="11.25" customHeight="1">
      <c r="A143" s="458" t="s">
        <v>814</v>
      </c>
      <c r="B143" s="499" t="s">
        <v>651</v>
      </c>
      <c r="C143" s="1157" t="s">
        <v>638</v>
      </c>
      <c r="D143" s="562">
        <v>834.28571428571433</v>
      </c>
      <c r="E143" s="501" t="s">
        <v>954</v>
      </c>
      <c r="F143" s="523">
        <v>834.28571428571433</v>
      </c>
      <c r="G143" s="660">
        <v>7008.0000000000009</v>
      </c>
      <c r="H143" s="501" t="s">
        <v>954</v>
      </c>
      <c r="I143" s="461">
        <v>7008.0000000000009</v>
      </c>
    </row>
    <row r="144" spans="1:9" ht="11.25" customHeight="1">
      <c r="A144" s="458" t="s">
        <v>815</v>
      </c>
      <c r="B144" s="499" t="s">
        <v>651</v>
      </c>
      <c r="C144" s="1157" t="s">
        <v>652</v>
      </c>
      <c r="D144" s="562">
        <v>2085714.2857142857</v>
      </c>
      <c r="E144" s="501" t="s">
        <v>954</v>
      </c>
      <c r="F144" s="523">
        <v>2085714.2857142857</v>
      </c>
      <c r="G144" s="660">
        <v>17520000</v>
      </c>
      <c r="H144" s="501" t="s">
        <v>954</v>
      </c>
      <c r="I144" s="461">
        <v>17520000</v>
      </c>
    </row>
    <row r="145" spans="1:9" ht="11.25" customHeight="1">
      <c r="A145" s="458" t="s">
        <v>477</v>
      </c>
      <c r="B145" s="499" t="s">
        <v>651</v>
      </c>
      <c r="C145" s="1157" t="s">
        <v>652</v>
      </c>
      <c r="D145" s="562">
        <v>83.428571428571431</v>
      </c>
      <c r="E145" s="501">
        <v>350.9615384615384</v>
      </c>
      <c r="F145" s="523">
        <v>83.428571428571431</v>
      </c>
      <c r="G145" s="660">
        <v>700.80000000000018</v>
      </c>
      <c r="H145" s="501">
        <v>3066</v>
      </c>
      <c r="I145" s="461">
        <v>700.80000000000018</v>
      </c>
    </row>
    <row r="146" spans="1:9" ht="11.25" customHeight="1">
      <c r="A146" s="458" t="s">
        <v>478</v>
      </c>
      <c r="B146" s="499" t="s">
        <v>651</v>
      </c>
      <c r="C146" s="1157" t="s">
        <v>652</v>
      </c>
      <c r="D146" s="562">
        <v>834.28571428571433</v>
      </c>
      <c r="E146" s="501">
        <v>960</v>
      </c>
      <c r="F146" s="523">
        <v>834.28571428571433</v>
      </c>
      <c r="G146" s="660">
        <v>7008.0000000000009</v>
      </c>
      <c r="H146" s="501">
        <v>11964.878048780489</v>
      </c>
      <c r="I146" s="461">
        <v>7008.0000000000009</v>
      </c>
    </row>
    <row r="147" spans="1:9" ht="11.25" customHeight="1">
      <c r="A147" s="458" t="s">
        <v>479</v>
      </c>
      <c r="B147" s="499" t="s">
        <v>653</v>
      </c>
      <c r="C147" s="1157" t="s">
        <v>638</v>
      </c>
      <c r="D147" s="562" t="s">
        <v>954</v>
      </c>
      <c r="E147" s="501" t="s">
        <v>954</v>
      </c>
      <c r="F147" s="523" t="s">
        <v>954</v>
      </c>
      <c r="G147" s="660" t="s">
        <v>954</v>
      </c>
      <c r="H147" s="501" t="s">
        <v>954</v>
      </c>
      <c r="I147" s="461" t="s">
        <v>954</v>
      </c>
    </row>
    <row r="148" spans="1:9" ht="11.25" customHeight="1">
      <c r="A148" s="458" t="s">
        <v>480</v>
      </c>
      <c r="B148" s="499" t="s">
        <v>653</v>
      </c>
      <c r="C148" s="1157" t="s">
        <v>638</v>
      </c>
      <c r="D148" s="562" t="s">
        <v>954</v>
      </c>
      <c r="E148" s="501" t="s">
        <v>954</v>
      </c>
      <c r="F148" s="523" t="s">
        <v>954</v>
      </c>
      <c r="G148" s="660" t="s">
        <v>954</v>
      </c>
      <c r="H148" s="501" t="s">
        <v>954</v>
      </c>
      <c r="I148" s="461" t="s">
        <v>954</v>
      </c>
    </row>
    <row r="149" spans="1:9" ht="11.25" customHeight="1">
      <c r="A149" s="462" t="s">
        <v>117</v>
      </c>
      <c r="B149" s="499" t="s">
        <v>653</v>
      </c>
      <c r="C149" s="1157" t="s">
        <v>638</v>
      </c>
      <c r="D149" s="562" t="s">
        <v>954</v>
      </c>
      <c r="E149" s="501" t="s">
        <v>954</v>
      </c>
      <c r="F149" s="523" t="s">
        <v>954</v>
      </c>
      <c r="G149" s="660" t="s">
        <v>954</v>
      </c>
      <c r="H149" s="501" t="s">
        <v>954</v>
      </c>
      <c r="I149" s="461" t="s">
        <v>954</v>
      </c>
    </row>
    <row r="150" spans="1:9" ht="11.25" customHeight="1">
      <c r="A150" s="458" t="s">
        <v>118</v>
      </c>
      <c r="B150" s="499" t="s">
        <v>653</v>
      </c>
      <c r="C150" s="1157" t="s">
        <v>638</v>
      </c>
      <c r="D150" s="562" t="s">
        <v>954</v>
      </c>
      <c r="E150" s="501" t="s">
        <v>954</v>
      </c>
      <c r="F150" s="523" t="s">
        <v>954</v>
      </c>
      <c r="G150" s="660" t="s">
        <v>954</v>
      </c>
      <c r="H150" s="501" t="s">
        <v>954</v>
      </c>
      <c r="I150" s="461" t="s">
        <v>954</v>
      </c>
    </row>
    <row r="151" spans="1:9" ht="11.25" customHeight="1">
      <c r="A151" s="458" t="s">
        <v>119</v>
      </c>
      <c r="B151" s="499" t="s">
        <v>651</v>
      </c>
      <c r="C151" s="1157" t="s">
        <v>652</v>
      </c>
      <c r="D151" s="562">
        <v>125.14285714285714</v>
      </c>
      <c r="E151" s="501" t="s">
        <v>954</v>
      </c>
      <c r="F151" s="523">
        <v>125.14285714285714</v>
      </c>
      <c r="G151" s="660">
        <v>1051.2</v>
      </c>
      <c r="H151" s="501" t="s">
        <v>954</v>
      </c>
      <c r="I151" s="461">
        <v>1051.2</v>
      </c>
    </row>
    <row r="152" spans="1:9" ht="11.25" customHeight="1">
      <c r="A152" s="458" t="s">
        <v>120</v>
      </c>
      <c r="B152" s="499" t="s">
        <v>651</v>
      </c>
      <c r="C152" s="1157" t="s">
        <v>652</v>
      </c>
      <c r="D152" s="562">
        <v>125.14285714285714</v>
      </c>
      <c r="E152" s="501" t="s">
        <v>954</v>
      </c>
      <c r="F152" s="523">
        <v>125.14285714285714</v>
      </c>
      <c r="G152" s="660">
        <v>1051.2</v>
      </c>
      <c r="H152" s="501" t="s">
        <v>954</v>
      </c>
      <c r="I152" s="461">
        <v>1051.2</v>
      </c>
    </row>
    <row r="153" spans="1:9" ht="11.25" customHeight="1">
      <c r="A153" s="458" t="s">
        <v>602</v>
      </c>
      <c r="B153" s="499" t="s">
        <v>1405</v>
      </c>
      <c r="C153" s="1157" t="s">
        <v>638</v>
      </c>
      <c r="D153" s="562" t="s">
        <v>954</v>
      </c>
      <c r="E153" s="501" t="s">
        <v>954</v>
      </c>
      <c r="F153" s="523" t="s">
        <v>954</v>
      </c>
      <c r="G153" s="660" t="s">
        <v>954</v>
      </c>
      <c r="H153" s="501" t="s">
        <v>954</v>
      </c>
      <c r="I153" s="461" t="s">
        <v>954</v>
      </c>
    </row>
    <row r="154" spans="1:9" ht="11.25" customHeight="1">
      <c r="A154" s="462" t="s">
        <v>939</v>
      </c>
      <c r="B154" s="499" t="s">
        <v>653</v>
      </c>
      <c r="C154" s="1157" t="s">
        <v>638</v>
      </c>
      <c r="D154" s="562" t="s">
        <v>954</v>
      </c>
      <c r="E154" s="501" t="s">
        <v>954</v>
      </c>
      <c r="F154" s="523" t="s">
        <v>954</v>
      </c>
      <c r="G154" s="660" t="s">
        <v>954</v>
      </c>
      <c r="H154" s="501" t="s">
        <v>954</v>
      </c>
      <c r="I154" s="461" t="s">
        <v>954</v>
      </c>
    </row>
    <row r="155" spans="1:9" ht="11.25" customHeight="1">
      <c r="A155" s="462" t="s">
        <v>603</v>
      </c>
      <c r="B155" s="499" t="s">
        <v>653</v>
      </c>
      <c r="C155" s="1157" t="s">
        <v>638</v>
      </c>
      <c r="D155" s="562" t="s">
        <v>954</v>
      </c>
      <c r="E155" s="501" t="s">
        <v>954</v>
      </c>
      <c r="F155" s="523" t="s">
        <v>954</v>
      </c>
      <c r="G155" s="660" t="s">
        <v>954</v>
      </c>
      <c r="H155" s="501" t="s">
        <v>954</v>
      </c>
      <c r="I155" s="461" t="s">
        <v>954</v>
      </c>
    </row>
    <row r="156" spans="1:9" ht="11.25" customHeight="1">
      <c r="A156" s="462" t="s">
        <v>605</v>
      </c>
      <c r="B156" s="499" t="s">
        <v>653</v>
      </c>
      <c r="C156" s="1157" t="s">
        <v>638</v>
      </c>
      <c r="D156" s="562" t="s">
        <v>954</v>
      </c>
      <c r="E156" s="501" t="s">
        <v>954</v>
      </c>
      <c r="F156" s="523" t="s">
        <v>954</v>
      </c>
      <c r="G156" s="660" t="s">
        <v>954</v>
      </c>
      <c r="H156" s="501" t="s">
        <v>954</v>
      </c>
      <c r="I156" s="461" t="s">
        <v>954</v>
      </c>
    </row>
    <row r="157" spans="1:9" ht="11.25" customHeight="1">
      <c r="A157" s="458" t="s">
        <v>481</v>
      </c>
      <c r="B157" s="499" t="s">
        <v>653</v>
      </c>
      <c r="C157" s="1157" t="s">
        <v>638</v>
      </c>
      <c r="D157" s="562" t="s">
        <v>954</v>
      </c>
      <c r="E157" s="501" t="s">
        <v>954</v>
      </c>
      <c r="F157" s="523" t="s">
        <v>954</v>
      </c>
      <c r="G157" s="660" t="s">
        <v>954</v>
      </c>
      <c r="H157" s="501" t="s">
        <v>954</v>
      </c>
      <c r="I157" s="461" t="s">
        <v>954</v>
      </c>
    </row>
    <row r="158" spans="1:9" ht="11.25" customHeight="1">
      <c r="A158" s="458" t="s">
        <v>482</v>
      </c>
      <c r="B158" s="499" t="s">
        <v>651</v>
      </c>
      <c r="C158" s="1157" t="s">
        <v>21</v>
      </c>
      <c r="D158" s="562">
        <v>340</v>
      </c>
      <c r="E158" s="501">
        <v>340</v>
      </c>
      <c r="F158" s="523">
        <v>41714.285714285717</v>
      </c>
      <c r="G158" s="660">
        <v>11149.09090909091</v>
      </c>
      <c r="H158" s="501">
        <v>11149.09090909091</v>
      </c>
      <c r="I158" s="461">
        <v>350400</v>
      </c>
    </row>
    <row r="159" spans="1:9" ht="11.25" customHeight="1">
      <c r="A159" s="458" t="s">
        <v>483</v>
      </c>
      <c r="B159" s="499" t="s">
        <v>651</v>
      </c>
      <c r="C159" s="1157" t="s">
        <v>652</v>
      </c>
      <c r="D159" s="562">
        <v>41714.285714285717</v>
      </c>
      <c r="E159" s="501" t="s">
        <v>954</v>
      </c>
      <c r="F159" s="523">
        <v>41714.285714285717</v>
      </c>
      <c r="G159" s="660">
        <v>350400</v>
      </c>
      <c r="H159" s="501" t="s">
        <v>954</v>
      </c>
      <c r="I159" s="461">
        <v>350400</v>
      </c>
    </row>
    <row r="160" spans="1:9" ht="11.25" customHeight="1" thickBot="1">
      <c r="A160" s="516" t="s">
        <v>484</v>
      </c>
      <c r="B160" s="625" t="s">
        <v>653</v>
      </c>
      <c r="C160" s="1158" t="s">
        <v>638</v>
      </c>
      <c r="D160" s="572" t="s">
        <v>954</v>
      </c>
      <c r="E160" s="627" t="s">
        <v>954</v>
      </c>
      <c r="F160" s="525" t="s">
        <v>954</v>
      </c>
      <c r="G160" s="661" t="s">
        <v>954</v>
      </c>
      <c r="H160" s="627" t="s">
        <v>954</v>
      </c>
      <c r="I160" s="469" t="s">
        <v>954</v>
      </c>
    </row>
    <row r="161" spans="1:9" ht="11.25" customHeight="1" thickTop="1">
      <c r="A161" s="474" t="s">
        <v>488</v>
      </c>
      <c r="I161" s="476"/>
    </row>
    <row r="162" spans="1:9" ht="11.25" customHeight="1">
      <c r="A162" s="479" t="s">
        <v>574</v>
      </c>
      <c r="B162" s="510"/>
      <c r="C162" s="588"/>
      <c r="D162" s="629"/>
      <c r="E162" s="629"/>
      <c r="F162" s="629"/>
      <c r="G162" s="629"/>
      <c r="I162" s="476"/>
    </row>
    <row r="163" spans="1:9" ht="11.25" customHeight="1">
      <c r="A163" s="479" t="s">
        <v>218</v>
      </c>
      <c r="B163" s="510"/>
      <c r="C163" s="588"/>
      <c r="D163" s="629"/>
      <c r="E163" s="629"/>
      <c r="F163" s="629"/>
      <c r="G163" s="629"/>
      <c r="I163" s="476"/>
    </row>
    <row r="164" spans="1:9" ht="11.25" customHeight="1">
      <c r="A164" s="479" t="s">
        <v>546</v>
      </c>
      <c r="B164" s="510"/>
      <c r="C164" s="588"/>
      <c r="D164" s="629"/>
      <c r="E164" s="629"/>
      <c r="F164" s="629"/>
      <c r="G164" s="629"/>
      <c r="I164" s="476"/>
    </row>
    <row r="165" spans="1:9" ht="11.25" customHeight="1">
      <c r="A165" s="4" t="s">
        <v>915</v>
      </c>
      <c r="B165"/>
      <c r="C165"/>
      <c r="D165"/>
      <c r="E165" s="440"/>
      <c r="F165" s="629"/>
      <c r="G165" s="629"/>
      <c r="I165" s="476"/>
    </row>
    <row r="166" spans="1:9" ht="11.25" customHeight="1">
      <c r="A166" s="474"/>
      <c r="B166" s="510"/>
      <c r="C166" s="588"/>
      <c r="D166" s="629"/>
      <c r="E166" s="629"/>
      <c r="F166" s="629"/>
      <c r="G166" s="629"/>
      <c r="I166" s="476"/>
    </row>
    <row r="167" spans="1:9" ht="11.25" customHeight="1">
      <c r="A167" s="482" t="s">
        <v>219</v>
      </c>
      <c r="B167" s="510"/>
      <c r="C167" s="588"/>
      <c r="D167" s="629"/>
      <c r="E167" s="629"/>
      <c r="F167" s="629"/>
      <c r="G167" s="629"/>
      <c r="I167" s="476"/>
    </row>
    <row r="168" spans="1:9" ht="11.25" customHeight="1">
      <c r="A168" s="479" t="s">
        <v>949</v>
      </c>
      <c r="B168" s="1"/>
      <c r="C168" s="588"/>
      <c r="D168" s="629"/>
      <c r="E168" s="629"/>
      <c r="F168" s="629"/>
      <c r="G168" s="629"/>
      <c r="I168" s="476"/>
    </row>
    <row r="169" spans="1:9" ht="11.25" customHeight="1">
      <c r="A169" s="479" t="s">
        <v>933</v>
      </c>
      <c r="B169" s="1"/>
      <c r="C169" s="588"/>
      <c r="D169" s="629"/>
      <c r="E169" s="629"/>
      <c r="F169" s="629"/>
      <c r="G169" s="629"/>
      <c r="I169" s="476"/>
    </row>
    <row r="170" spans="1:9" ht="11.25" customHeight="1">
      <c r="A170" s="479" t="s">
        <v>220</v>
      </c>
      <c r="B170" s="1"/>
      <c r="C170" s="588"/>
      <c r="D170" s="629"/>
      <c r="E170" s="629"/>
      <c r="F170" s="629"/>
      <c r="G170" s="629"/>
      <c r="I170" s="476"/>
    </row>
    <row r="171" spans="1:9" ht="11.25" customHeight="1">
      <c r="A171" s="631" t="s">
        <v>697</v>
      </c>
      <c r="B171" s="632"/>
      <c r="C171" s="588"/>
      <c r="D171" s="629"/>
      <c r="E171" s="629"/>
      <c r="F171" s="629"/>
      <c r="G171" s="629"/>
      <c r="I171" s="476"/>
    </row>
    <row r="172" spans="1:9" ht="11.25" customHeight="1">
      <c r="A172" s="631" t="s">
        <v>1043</v>
      </c>
      <c r="B172" s="632"/>
      <c r="C172" s="588"/>
      <c r="D172" s="629"/>
      <c r="E172" s="629"/>
      <c r="F172" s="629"/>
      <c r="G172" s="629"/>
      <c r="I172" s="476"/>
    </row>
    <row r="173" spans="1:9" ht="11.25" customHeight="1">
      <c r="A173" s="631" t="s">
        <v>795</v>
      </c>
      <c r="B173" s="632"/>
      <c r="C173" s="588"/>
      <c r="D173" s="629"/>
      <c r="E173" s="629"/>
      <c r="F173" s="629"/>
      <c r="G173" s="629"/>
      <c r="I173" s="476"/>
    </row>
    <row r="174" spans="1:9" ht="11.25" customHeight="1">
      <c r="A174" s="479" t="s">
        <v>1070</v>
      </c>
      <c r="B174" s="632"/>
      <c r="C174" s="588"/>
      <c r="D174" s="629"/>
      <c r="E174" s="629"/>
      <c r="F174" s="629"/>
      <c r="G174" s="629"/>
      <c r="I174" s="476"/>
    </row>
    <row r="175" spans="1:9" ht="11.25" customHeight="1">
      <c r="A175" s="631" t="s">
        <v>0</v>
      </c>
      <c r="B175" s="632"/>
      <c r="C175" s="588"/>
      <c r="D175" s="629"/>
      <c r="E175" s="629"/>
      <c r="F175" s="629"/>
      <c r="G175" s="629"/>
      <c r="I175" s="476"/>
    </row>
    <row r="176" spans="1:9" ht="11.25" customHeight="1">
      <c r="A176" s="631" t="s">
        <v>1</v>
      </c>
      <c r="B176" s="632"/>
      <c r="C176" s="588"/>
      <c r="D176" s="629"/>
      <c r="E176" s="629"/>
      <c r="F176" s="629"/>
      <c r="G176" s="629"/>
      <c r="I176" s="476"/>
    </row>
    <row r="177" spans="1:9" ht="11.25" customHeight="1">
      <c r="A177" s="662" t="s">
        <v>759</v>
      </c>
      <c r="B177" s="632"/>
      <c r="C177" s="588"/>
      <c r="D177" s="629"/>
      <c r="E177" s="629"/>
      <c r="F177" s="629"/>
      <c r="G177" s="629"/>
      <c r="I177" s="476"/>
    </row>
    <row r="178" spans="1:9" ht="11.25" customHeight="1" thickBot="1">
      <c r="A178" s="662" t="s">
        <v>847</v>
      </c>
      <c r="B178" s="632"/>
      <c r="C178" s="588"/>
      <c r="D178" s="629"/>
      <c r="E178" s="629"/>
      <c r="F178" s="629"/>
      <c r="G178" s="629"/>
      <c r="H178" s="663"/>
      <c r="I178" s="664"/>
    </row>
    <row r="179" spans="1:9" ht="11.25" customHeight="1" thickTop="1">
      <c r="A179" s="665"/>
      <c r="B179" s="628"/>
      <c r="C179" s="666"/>
      <c r="D179" s="667"/>
      <c r="E179" s="667"/>
      <c r="F179" s="667"/>
      <c r="G179" s="667"/>
    </row>
    <row r="180" spans="1:9">
      <c r="A180" s="3"/>
      <c r="B180" s="3"/>
      <c r="C180" s="2"/>
      <c r="D180" s="629"/>
      <c r="E180" s="629"/>
      <c r="F180" s="629"/>
      <c r="G180" s="629"/>
    </row>
    <row r="181" spans="1:9">
      <c r="A181" s="2"/>
      <c r="B181" s="2"/>
      <c r="C181" s="2"/>
      <c r="D181" s="629"/>
      <c r="E181" s="629"/>
      <c r="F181" s="629"/>
      <c r="G181" s="629"/>
    </row>
    <row r="182" spans="1:9">
      <c r="A182" s="2"/>
      <c r="B182" s="2"/>
      <c r="C182" s="2"/>
      <c r="D182" s="629"/>
      <c r="E182" s="629"/>
      <c r="F182" s="629"/>
      <c r="G182" s="629"/>
    </row>
    <row r="183" spans="1:9">
      <c r="A183" s="2"/>
      <c r="B183" s="2"/>
      <c r="C183" s="2"/>
      <c r="D183" s="629"/>
      <c r="E183" s="629"/>
      <c r="F183" s="629"/>
      <c r="G183" s="629"/>
    </row>
    <row r="184" spans="1:9">
      <c r="A184" s="2"/>
      <c r="B184" s="2"/>
      <c r="C184" s="2"/>
      <c r="D184" s="629"/>
      <c r="E184" s="629"/>
      <c r="F184" s="629"/>
      <c r="G184" s="629"/>
    </row>
    <row r="185" spans="1:9">
      <c r="A185" s="2"/>
      <c r="B185" s="2"/>
      <c r="C185" s="2"/>
      <c r="D185" s="629"/>
      <c r="E185" s="629"/>
      <c r="F185" s="629"/>
      <c r="G185" s="629"/>
    </row>
    <row r="186" spans="1:9">
      <c r="A186" s="2"/>
      <c r="B186" s="2"/>
      <c r="C186" s="2"/>
      <c r="D186" s="629"/>
      <c r="E186" s="629"/>
      <c r="F186" s="629"/>
      <c r="G186" s="629"/>
    </row>
    <row r="187" spans="1:9">
      <c r="A187" s="2"/>
      <c r="B187" s="2"/>
      <c r="C187" s="2"/>
      <c r="D187" s="629"/>
      <c r="E187" s="629"/>
      <c r="F187" s="629"/>
      <c r="G187" s="629"/>
    </row>
    <row r="188" spans="1:9">
      <c r="A188" s="2"/>
      <c r="B188" s="2"/>
      <c r="C188" s="2"/>
      <c r="D188" s="629"/>
      <c r="E188" s="629"/>
      <c r="F188" s="629"/>
      <c r="G188" s="629"/>
    </row>
    <row r="189" spans="1:9">
      <c r="A189" s="2"/>
      <c r="B189" s="2"/>
      <c r="C189" s="2"/>
      <c r="D189" s="629"/>
      <c r="E189" s="629"/>
      <c r="F189" s="629"/>
      <c r="G189" s="629"/>
    </row>
    <row r="190" spans="1:9">
      <c r="A190" s="2"/>
      <c r="B190" s="2"/>
      <c r="C190" s="2"/>
      <c r="D190" s="629"/>
      <c r="E190" s="629"/>
      <c r="F190" s="629"/>
      <c r="G190" s="629"/>
    </row>
    <row r="191" spans="1:9">
      <c r="A191" s="2"/>
      <c r="B191" s="2"/>
      <c r="C191" s="2"/>
      <c r="D191" s="629"/>
      <c r="E191" s="629"/>
      <c r="F191" s="629"/>
      <c r="G191" s="629"/>
    </row>
    <row r="192" spans="1:9">
      <c r="A192" s="2"/>
      <c r="B192" s="2"/>
      <c r="C192" s="2"/>
      <c r="D192" s="629"/>
      <c r="E192" s="629"/>
      <c r="F192" s="629"/>
      <c r="G192" s="629"/>
    </row>
    <row r="193" spans="1:7">
      <c r="A193" s="2"/>
      <c r="B193" s="2"/>
      <c r="C193" s="2"/>
      <c r="D193" s="629"/>
      <c r="E193" s="629"/>
      <c r="F193" s="629"/>
      <c r="G193" s="629"/>
    </row>
    <row r="194" spans="1:7">
      <c r="A194" s="2"/>
      <c r="B194" s="2"/>
      <c r="C194" s="2"/>
      <c r="D194" s="629"/>
      <c r="E194" s="629"/>
      <c r="F194" s="629"/>
      <c r="G194" s="629"/>
    </row>
    <row r="195" spans="1:7">
      <c r="A195" s="2"/>
      <c r="B195" s="2"/>
      <c r="C195" s="2"/>
      <c r="D195" s="629"/>
      <c r="E195" s="629"/>
      <c r="F195" s="629"/>
      <c r="G195" s="629"/>
    </row>
    <row r="196" spans="1:7">
      <c r="A196" s="2"/>
      <c r="B196" s="2"/>
      <c r="C196" s="2"/>
      <c r="D196" s="629"/>
      <c r="E196" s="629"/>
      <c r="F196" s="629"/>
      <c r="G196" s="629"/>
    </row>
    <row r="197" spans="1:7">
      <c r="A197" s="2"/>
      <c r="B197" s="2"/>
      <c r="C197" s="2"/>
      <c r="D197" s="629"/>
      <c r="E197" s="629"/>
      <c r="F197" s="629"/>
      <c r="G197" s="629"/>
    </row>
    <row r="198" spans="1:7">
      <c r="A198" s="2"/>
      <c r="B198" s="2"/>
      <c r="C198" s="2"/>
      <c r="D198" s="629"/>
      <c r="E198" s="629"/>
      <c r="F198" s="629"/>
      <c r="G198" s="629"/>
    </row>
    <row r="199" spans="1:7">
      <c r="A199" s="2"/>
      <c r="B199" s="2"/>
      <c r="C199" s="2"/>
      <c r="D199" s="629"/>
      <c r="E199" s="629"/>
      <c r="F199" s="629"/>
      <c r="G199" s="629"/>
    </row>
    <row r="200" spans="1:7">
      <c r="A200" s="2"/>
      <c r="B200" s="2"/>
      <c r="C200" s="2"/>
      <c r="D200" s="629"/>
      <c r="E200" s="629"/>
      <c r="F200" s="629"/>
      <c r="G200" s="629"/>
    </row>
    <row r="201" spans="1:7">
      <c r="A201" s="2"/>
      <c r="B201" s="2"/>
      <c r="C201" s="2"/>
      <c r="D201" s="629"/>
      <c r="E201" s="629"/>
      <c r="F201" s="629"/>
      <c r="G201" s="629"/>
    </row>
    <row r="202" spans="1:7">
      <c r="A202" s="2"/>
      <c r="B202" s="2"/>
      <c r="C202" s="2"/>
      <c r="D202" s="629"/>
      <c r="E202" s="629"/>
      <c r="F202" s="629"/>
      <c r="G202" s="629"/>
    </row>
    <row r="203" spans="1:7">
      <c r="A203" s="2"/>
      <c r="B203" s="2"/>
      <c r="C203" s="2"/>
      <c r="D203" s="629"/>
      <c r="E203" s="629"/>
      <c r="F203" s="629"/>
      <c r="G203" s="629"/>
    </row>
    <row r="204" spans="1:7">
      <c r="A204" s="2"/>
      <c r="B204" s="2"/>
      <c r="C204" s="2"/>
      <c r="D204" s="629"/>
      <c r="E204" s="629"/>
      <c r="F204" s="629"/>
      <c r="G204" s="629"/>
    </row>
    <row r="205" spans="1:7">
      <c r="A205" s="2"/>
      <c r="B205" s="2"/>
      <c r="C205" s="2"/>
      <c r="D205" s="629"/>
      <c r="E205" s="629"/>
      <c r="F205" s="629"/>
      <c r="G205" s="629"/>
    </row>
    <row r="206" spans="1:7">
      <c r="A206" s="2"/>
      <c r="B206" s="2"/>
      <c r="C206" s="2"/>
      <c r="D206" s="629"/>
      <c r="E206" s="629"/>
      <c r="F206" s="629"/>
      <c r="G206" s="629"/>
    </row>
    <row r="207" spans="1:7">
      <c r="A207" s="2"/>
      <c r="B207" s="2"/>
      <c r="C207" s="2"/>
      <c r="D207" s="629"/>
      <c r="E207" s="629"/>
      <c r="F207" s="629"/>
      <c r="G207" s="629"/>
    </row>
    <row r="208" spans="1:7">
      <c r="A208" s="2"/>
      <c r="B208" s="2"/>
      <c r="C208" s="2"/>
      <c r="D208" s="629"/>
      <c r="E208" s="629"/>
      <c r="F208" s="629"/>
      <c r="G208" s="629"/>
    </row>
    <row r="209" spans="1:7">
      <c r="A209" s="2"/>
      <c r="B209" s="2"/>
      <c r="C209" s="2"/>
      <c r="D209" s="629"/>
      <c r="E209" s="629"/>
      <c r="F209" s="629"/>
      <c r="G209" s="629"/>
    </row>
    <row r="210" spans="1:7">
      <c r="A210" s="2"/>
      <c r="B210" s="2"/>
      <c r="C210" s="2"/>
      <c r="D210" s="629"/>
      <c r="E210" s="629"/>
      <c r="F210" s="629"/>
      <c r="G210" s="629"/>
    </row>
    <row r="211" spans="1:7">
      <c r="A211" s="2"/>
      <c r="B211" s="2"/>
      <c r="C211" s="2"/>
      <c r="D211" s="629"/>
      <c r="E211" s="629"/>
      <c r="F211" s="629"/>
      <c r="G211" s="629"/>
    </row>
    <row r="212" spans="1:7">
      <c r="A212" s="2"/>
      <c r="B212" s="2"/>
      <c r="C212" s="2"/>
      <c r="D212" s="629"/>
      <c r="E212" s="629"/>
      <c r="F212" s="629"/>
      <c r="G212" s="629"/>
    </row>
    <row r="213" spans="1:7">
      <c r="A213" s="2"/>
      <c r="B213" s="2"/>
      <c r="C213" s="2"/>
      <c r="D213" s="629"/>
      <c r="E213" s="629"/>
      <c r="F213" s="629"/>
      <c r="G213" s="629"/>
    </row>
    <row r="214" spans="1:7">
      <c r="A214" s="2"/>
      <c r="B214" s="2"/>
      <c r="C214" s="2"/>
      <c r="D214" s="629"/>
      <c r="E214" s="629"/>
      <c r="F214" s="629"/>
      <c r="G214" s="629"/>
    </row>
    <row r="215" spans="1:7">
      <c r="A215" s="2"/>
      <c r="B215" s="2"/>
      <c r="C215" s="2"/>
      <c r="D215" s="629"/>
      <c r="E215" s="629"/>
      <c r="F215" s="629"/>
      <c r="G215" s="629"/>
    </row>
    <row r="216" spans="1:7">
      <c r="A216" s="2"/>
      <c r="B216" s="2"/>
      <c r="C216" s="2"/>
      <c r="D216" s="629"/>
      <c r="E216" s="629"/>
      <c r="F216" s="629"/>
      <c r="G216" s="629"/>
    </row>
    <row r="217" spans="1:7">
      <c r="A217" s="2"/>
      <c r="B217" s="2"/>
      <c r="C217" s="2"/>
      <c r="D217" s="629"/>
      <c r="E217" s="629"/>
      <c r="F217" s="629"/>
      <c r="G217" s="629"/>
    </row>
    <row r="218" spans="1:7">
      <c r="A218" s="2"/>
      <c r="B218" s="2"/>
      <c r="C218" s="2"/>
      <c r="D218" s="629"/>
      <c r="E218" s="629"/>
      <c r="F218" s="629"/>
      <c r="G218" s="629"/>
    </row>
    <row r="219" spans="1:7">
      <c r="A219" s="2"/>
      <c r="B219" s="2"/>
      <c r="C219" s="2"/>
      <c r="D219" s="629"/>
      <c r="E219" s="629"/>
      <c r="F219" s="629"/>
      <c r="G219" s="629"/>
    </row>
    <row r="220" spans="1:7">
      <c r="A220" s="2"/>
      <c r="B220" s="2"/>
      <c r="C220" s="2"/>
      <c r="D220" s="629"/>
      <c r="E220" s="629"/>
      <c r="F220" s="629"/>
      <c r="G220" s="629"/>
    </row>
    <row r="221" spans="1:7">
      <c r="A221" s="2"/>
      <c r="B221" s="2"/>
      <c r="C221" s="2"/>
      <c r="D221" s="629"/>
      <c r="E221" s="629"/>
      <c r="F221" s="629"/>
      <c r="G221" s="629"/>
    </row>
    <row r="222" spans="1:7">
      <c r="A222" s="2"/>
      <c r="B222" s="2"/>
      <c r="C222" s="2"/>
      <c r="D222" s="629"/>
      <c r="E222" s="629"/>
      <c r="F222" s="629"/>
      <c r="G222" s="629"/>
    </row>
    <row r="223" spans="1:7">
      <c r="A223" s="2"/>
      <c r="B223" s="2"/>
      <c r="C223" s="2"/>
      <c r="D223" s="629"/>
      <c r="E223" s="629"/>
      <c r="F223" s="629"/>
      <c r="G223" s="629"/>
    </row>
    <row r="224" spans="1:7">
      <c r="A224" s="2"/>
      <c r="B224" s="2"/>
      <c r="C224" s="2"/>
      <c r="D224" s="629"/>
      <c r="E224" s="629"/>
      <c r="F224" s="629"/>
      <c r="G224" s="629"/>
    </row>
    <row r="225" spans="1:7">
      <c r="A225" s="2"/>
      <c r="B225" s="2"/>
      <c r="C225" s="2"/>
      <c r="D225" s="629"/>
      <c r="E225" s="629"/>
      <c r="F225" s="629"/>
      <c r="G225" s="629"/>
    </row>
    <row r="226" spans="1:7">
      <c r="A226" s="2"/>
      <c r="B226" s="2"/>
      <c r="C226" s="2"/>
      <c r="D226" s="629"/>
      <c r="E226" s="629"/>
      <c r="F226" s="629"/>
      <c r="G226" s="629"/>
    </row>
    <row r="227" spans="1:7">
      <c r="A227" s="2"/>
      <c r="B227" s="2"/>
      <c r="C227" s="2"/>
      <c r="D227" s="629"/>
      <c r="E227" s="629"/>
      <c r="F227" s="629"/>
      <c r="G227" s="629"/>
    </row>
    <row r="228" spans="1:7">
      <c r="A228" s="2"/>
      <c r="B228" s="2"/>
      <c r="C228" s="2"/>
      <c r="D228" s="629"/>
      <c r="E228" s="629"/>
      <c r="F228" s="629"/>
      <c r="G228" s="629"/>
    </row>
    <row r="229" spans="1:7">
      <c r="A229" s="2"/>
      <c r="B229" s="2"/>
      <c r="C229" s="2"/>
      <c r="D229" s="629"/>
      <c r="E229" s="629"/>
      <c r="F229" s="629"/>
      <c r="G229" s="629"/>
    </row>
    <row r="230" spans="1:7">
      <c r="A230" s="2"/>
      <c r="B230" s="2"/>
      <c r="C230" s="2"/>
      <c r="D230" s="629"/>
      <c r="E230" s="629"/>
      <c r="F230" s="629"/>
      <c r="G230" s="629"/>
    </row>
    <row r="231" spans="1:7">
      <c r="A231" s="2"/>
      <c r="B231" s="2"/>
      <c r="C231" s="2"/>
      <c r="D231" s="629"/>
      <c r="E231" s="629"/>
      <c r="F231" s="629"/>
      <c r="G231" s="629"/>
    </row>
    <row r="232" spans="1:7">
      <c r="A232" s="2"/>
      <c r="B232" s="2"/>
      <c r="C232" s="2"/>
      <c r="D232" s="629"/>
      <c r="E232" s="629"/>
      <c r="F232" s="629"/>
      <c r="G232" s="629"/>
    </row>
    <row r="233" spans="1:7">
      <c r="A233" s="2"/>
      <c r="B233" s="2"/>
      <c r="C233" s="2"/>
      <c r="D233" s="629"/>
      <c r="E233" s="629"/>
      <c r="F233" s="629"/>
      <c r="G233" s="629"/>
    </row>
    <row r="234" spans="1:7">
      <c r="A234" s="2"/>
      <c r="B234" s="2"/>
      <c r="C234" s="2"/>
      <c r="D234" s="629"/>
      <c r="E234" s="629"/>
      <c r="F234" s="629"/>
      <c r="G234" s="629"/>
    </row>
    <row r="235" spans="1:7">
      <c r="A235" s="2"/>
      <c r="B235" s="2"/>
      <c r="C235" s="2"/>
      <c r="D235" s="629"/>
      <c r="E235" s="629"/>
      <c r="F235" s="629"/>
      <c r="G235" s="629"/>
    </row>
    <row r="236" spans="1:7">
      <c r="A236" s="2"/>
      <c r="B236" s="2"/>
      <c r="C236" s="2"/>
      <c r="D236" s="629"/>
      <c r="E236" s="629"/>
      <c r="F236" s="629"/>
      <c r="G236" s="629"/>
    </row>
    <row r="237" spans="1:7">
      <c r="A237" s="2"/>
      <c r="B237" s="2"/>
      <c r="C237" s="2"/>
      <c r="D237" s="629"/>
      <c r="E237" s="629"/>
      <c r="F237" s="629"/>
      <c r="G237" s="629"/>
    </row>
    <row r="238" spans="1:7">
      <c r="A238" s="2"/>
      <c r="B238" s="2"/>
      <c r="C238" s="2"/>
      <c r="D238" s="629"/>
      <c r="E238" s="629"/>
      <c r="F238" s="629"/>
      <c r="G238" s="629"/>
    </row>
    <row r="239" spans="1:7">
      <c r="A239" s="2"/>
      <c r="B239" s="2"/>
      <c r="C239" s="2"/>
      <c r="D239" s="629"/>
      <c r="E239" s="629"/>
      <c r="F239" s="629"/>
      <c r="G239" s="629"/>
    </row>
    <row r="240" spans="1:7">
      <c r="A240" s="2"/>
      <c r="B240" s="2"/>
      <c r="C240" s="2"/>
      <c r="D240" s="629"/>
      <c r="E240" s="629"/>
      <c r="F240" s="629"/>
      <c r="G240" s="629"/>
    </row>
    <row r="241" spans="1:7">
      <c r="A241" s="2"/>
      <c r="B241" s="2"/>
      <c r="C241" s="2"/>
      <c r="D241" s="629"/>
      <c r="E241" s="629"/>
      <c r="F241" s="629"/>
      <c r="G241" s="629"/>
    </row>
    <row r="242" spans="1:7">
      <c r="A242" s="2"/>
      <c r="B242" s="2"/>
      <c r="C242" s="2"/>
      <c r="D242" s="629"/>
      <c r="E242" s="629"/>
      <c r="F242" s="629"/>
      <c r="G242" s="629"/>
    </row>
    <row r="243" spans="1:7">
      <c r="A243" s="2"/>
      <c r="B243" s="2"/>
      <c r="C243" s="2"/>
      <c r="D243" s="629"/>
      <c r="E243" s="629"/>
      <c r="F243" s="629"/>
      <c r="G243" s="629"/>
    </row>
    <row r="244" spans="1:7">
      <c r="A244" s="2"/>
      <c r="B244" s="2"/>
      <c r="C244" s="2"/>
      <c r="D244" s="629"/>
      <c r="E244" s="629"/>
      <c r="F244" s="629"/>
      <c r="G244" s="629"/>
    </row>
    <row r="245" spans="1:7">
      <c r="A245" s="2"/>
      <c r="B245" s="2"/>
      <c r="C245" s="2"/>
      <c r="D245" s="629"/>
      <c r="E245" s="629"/>
      <c r="F245" s="629"/>
      <c r="G245" s="629"/>
    </row>
    <row r="246" spans="1:7">
      <c r="A246" s="2"/>
      <c r="B246" s="2"/>
      <c r="C246" s="2"/>
      <c r="D246" s="629"/>
      <c r="E246" s="629"/>
      <c r="F246" s="629"/>
      <c r="G246" s="629"/>
    </row>
    <row r="247" spans="1:7">
      <c r="A247" s="2"/>
      <c r="B247" s="2"/>
      <c r="C247" s="2"/>
      <c r="D247" s="629"/>
      <c r="E247" s="629"/>
      <c r="F247" s="629"/>
      <c r="G247" s="629"/>
    </row>
    <row r="248" spans="1:7">
      <c r="A248" s="2"/>
      <c r="B248" s="2"/>
      <c r="C248" s="2"/>
      <c r="D248" s="629"/>
      <c r="E248" s="629"/>
      <c r="F248" s="629"/>
      <c r="G248" s="629"/>
    </row>
    <row r="249" spans="1:7">
      <c r="A249" s="2"/>
      <c r="B249" s="2"/>
      <c r="C249" s="2"/>
      <c r="D249" s="629"/>
      <c r="E249" s="629"/>
      <c r="F249" s="629"/>
      <c r="G249" s="629"/>
    </row>
    <row r="250" spans="1:7">
      <c r="A250" s="2"/>
      <c r="B250" s="2"/>
      <c r="C250" s="2"/>
      <c r="D250" s="629"/>
      <c r="E250" s="629"/>
      <c r="F250" s="629"/>
      <c r="G250" s="629"/>
    </row>
    <row r="251" spans="1:7">
      <c r="A251" s="2"/>
      <c r="B251" s="2"/>
      <c r="C251" s="2"/>
      <c r="D251" s="629"/>
      <c r="E251" s="629"/>
      <c r="F251" s="629"/>
      <c r="G251" s="629"/>
    </row>
    <row r="252" spans="1:7">
      <c r="A252" s="2"/>
      <c r="B252" s="2"/>
      <c r="C252" s="2"/>
      <c r="D252" s="629"/>
      <c r="E252" s="629"/>
      <c r="F252" s="629"/>
      <c r="G252" s="629"/>
    </row>
    <row r="253" spans="1:7">
      <c r="A253" s="2"/>
      <c r="B253" s="2"/>
      <c r="C253" s="2"/>
      <c r="D253" s="629"/>
      <c r="E253" s="629"/>
      <c r="F253" s="629"/>
      <c r="G253" s="629"/>
    </row>
    <row r="254" spans="1:7">
      <c r="A254" s="2"/>
      <c r="B254" s="2"/>
      <c r="C254" s="2"/>
      <c r="D254" s="629"/>
      <c r="E254" s="629"/>
      <c r="F254" s="629"/>
      <c r="G254" s="629"/>
    </row>
    <row r="255" spans="1:7">
      <c r="A255" s="2"/>
      <c r="B255" s="2"/>
      <c r="C255" s="2"/>
      <c r="D255" s="629"/>
      <c r="E255" s="629"/>
      <c r="F255" s="629"/>
      <c r="G255" s="629"/>
    </row>
    <row r="256" spans="1:7">
      <c r="A256" s="2"/>
      <c r="B256" s="2"/>
      <c r="C256" s="2"/>
      <c r="D256" s="629"/>
      <c r="E256" s="629"/>
      <c r="F256" s="629"/>
      <c r="G256" s="629"/>
    </row>
    <row r="257" spans="7:7">
      <c r="G257" s="481"/>
    </row>
    <row r="258" spans="7:7">
      <c r="G258" s="481"/>
    </row>
    <row r="259" spans="7:7">
      <c r="G259" s="481"/>
    </row>
    <row r="260" spans="7:7">
      <c r="G260" s="481"/>
    </row>
    <row r="261" spans="7:7">
      <c r="G261" s="481"/>
    </row>
    <row r="262" spans="7:7">
      <c r="G262" s="481"/>
    </row>
    <row r="263" spans="7:7">
      <c r="G263" s="481"/>
    </row>
    <row r="264" spans="7:7">
      <c r="G264" s="481"/>
    </row>
    <row r="265" spans="7:7">
      <c r="G265" s="481"/>
    </row>
    <row r="266" spans="7:7">
      <c r="G266" s="481"/>
    </row>
    <row r="267" spans="7:7">
      <c r="G267" s="481"/>
    </row>
    <row r="268" spans="7:7">
      <c r="G268" s="481"/>
    </row>
    <row r="269" spans="7:7">
      <c r="G269" s="481"/>
    </row>
    <row r="270" spans="7:7">
      <c r="G270" s="481"/>
    </row>
    <row r="271" spans="7:7">
      <c r="G271" s="481"/>
    </row>
    <row r="272" spans="7:7">
      <c r="G272" s="481"/>
    </row>
    <row r="273" spans="7:7">
      <c r="G273" s="481"/>
    </row>
    <row r="274" spans="7:7">
      <c r="G274" s="481"/>
    </row>
    <row r="275" spans="7:7">
      <c r="G275" s="481"/>
    </row>
    <row r="276" spans="7:7">
      <c r="G276" s="481"/>
    </row>
    <row r="277" spans="7:7">
      <c r="G277" s="481"/>
    </row>
    <row r="278" spans="7:7">
      <c r="G278" s="481"/>
    </row>
    <row r="279" spans="7:7">
      <c r="G279" s="481"/>
    </row>
    <row r="280" spans="7:7">
      <c r="G280" s="481"/>
    </row>
    <row r="281" spans="7:7">
      <c r="G281" s="481"/>
    </row>
    <row r="282" spans="7:7">
      <c r="G282" s="481"/>
    </row>
    <row r="283" spans="7:7">
      <c r="G283" s="481"/>
    </row>
    <row r="284" spans="7:7">
      <c r="G284" s="481"/>
    </row>
    <row r="285" spans="7:7">
      <c r="G285" s="481"/>
    </row>
    <row r="286" spans="7:7">
      <c r="G286" s="481"/>
    </row>
    <row r="287" spans="7:7">
      <c r="G287" s="481"/>
    </row>
    <row r="288" spans="7:7">
      <c r="G288" s="481"/>
    </row>
    <row r="289" spans="7:7">
      <c r="G289" s="481"/>
    </row>
    <row r="290" spans="7:7">
      <c r="G290" s="481"/>
    </row>
    <row r="291" spans="7:7">
      <c r="G291" s="481"/>
    </row>
    <row r="292" spans="7:7">
      <c r="G292" s="481"/>
    </row>
    <row r="293" spans="7:7">
      <c r="G293" s="481"/>
    </row>
    <row r="294" spans="7:7">
      <c r="G294" s="481"/>
    </row>
    <row r="295" spans="7:7">
      <c r="G295" s="481"/>
    </row>
    <row r="296" spans="7:7">
      <c r="G296" s="481"/>
    </row>
    <row r="297" spans="7:7">
      <c r="G297" s="481"/>
    </row>
    <row r="298" spans="7:7">
      <c r="G298" s="481"/>
    </row>
    <row r="299" spans="7:7">
      <c r="G299" s="481"/>
    </row>
    <row r="300" spans="7:7">
      <c r="G300" s="481"/>
    </row>
    <row r="301" spans="7:7">
      <c r="G301" s="481"/>
    </row>
    <row r="302" spans="7:7">
      <c r="G302" s="481"/>
    </row>
    <row r="303" spans="7:7">
      <c r="G303" s="481"/>
    </row>
    <row r="304" spans="7:7">
      <c r="G304" s="481"/>
    </row>
    <row r="305" spans="7:7">
      <c r="G305" s="481"/>
    </row>
    <row r="306" spans="7:7">
      <c r="G306" s="481"/>
    </row>
    <row r="307" spans="7:7">
      <c r="G307" s="481"/>
    </row>
    <row r="308" spans="7:7">
      <c r="G308" s="481"/>
    </row>
    <row r="309" spans="7:7">
      <c r="G309" s="481"/>
    </row>
    <row r="310" spans="7:7">
      <c r="G310" s="481"/>
    </row>
    <row r="311" spans="7:7">
      <c r="G311" s="481"/>
    </row>
    <row r="312" spans="7:7">
      <c r="G312" s="481"/>
    </row>
    <row r="313" spans="7:7">
      <c r="G313" s="481"/>
    </row>
    <row r="314" spans="7:7">
      <c r="G314" s="481"/>
    </row>
    <row r="315" spans="7:7">
      <c r="G315" s="481"/>
    </row>
    <row r="316" spans="7:7">
      <c r="G316" s="481"/>
    </row>
    <row r="317" spans="7:7">
      <c r="G317" s="481"/>
    </row>
    <row r="318" spans="7:7">
      <c r="G318" s="481"/>
    </row>
    <row r="319" spans="7:7">
      <c r="G319" s="481"/>
    </row>
    <row r="320" spans="7:7">
      <c r="G320" s="481"/>
    </row>
    <row r="321" spans="7:7">
      <c r="G321" s="481"/>
    </row>
    <row r="322" spans="7:7">
      <c r="G322" s="481"/>
    </row>
    <row r="323" spans="7:7">
      <c r="G323" s="481"/>
    </row>
    <row r="324" spans="7:7">
      <c r="G324" s="481"/>
    </row>
    <row r="325" spans="7:7">
      <c r="G325" s="481"/>
    </row>
    <row r="326" spans="7:7">
      <c r="G326" s="481"/>
    </row>
    <row r="327" spans="7:7">
      <c r="G327" s="481"/>
    </row>
    <row r="328" spans="7:7">
      <c r="G328" s="481"/>
    </row>
    <row r="329" spans="7:7">
      <c r="G329" s="481"/>
    </row>
    <row r="330" spans="7:7">
      <c r="G330" s="481"/>
    </row>
    <row r="331" spans="7:7">
      <c r="G331" s="481"/>
    </row>
    <row r="332" spans="7:7">
      <c r="G332" s="481"/>
    </row>
    <row r="333" spans="7:7">
      <c r="G333" s="481"/>
    </row>
    <row r="334" spans="7:7">
      <c r="G334" s="481"/>
    </row>
    <row r="335" spans="7:7">
      <c r="G335" s="481"/>
    </row>
    <row r="336" spans="7:7">
      <c r="G336" s="481"/>
    </row>
    <row r="337" spans="7:7">
      <c r="G337" s="481"/>
    </row>
    <row r="338" spans="7:7">
      <c r="G338" s="481"/>
    </row>
    <row r="339" spans="7:7">
      <c r="G339" s="481"/>
    </row>
    <row r="340" spans="7:7">
      <c r="G340" s="481"/>
    </row>
    <row r="341" spans="7:7">
      <c r="G341" s="481"/>
    </row>
    <row r="342" spans="7:7">
      <c r="G342" s="481"/>
    </row>
    <row r="343" spans="7:7">
      <c r="G343" s="481"/>
    </row>
    <row r="344" spans="7:7">
      <c r="G344" s="481"/>
    </row>
    <row r="345" spans="7:7">
      <c r="G345" s="481"/>
    </row>
    <row r="346" spans="7:7">
      <c r="G346" s="481"/>
    </row>
    <row r="347" spans="7:7">
      <c r="G347" s="481"/>
    </row>
    <row r="348" spans="7:7">
      <c r="G348" s="481"/>
    </row>
    <row r="349" spans="7:7">
      <c r="G349" s="481"/>
    </row>
    <row r="350" spans="7:7">
      <c r="G350" s="481"/>
    </row>
    <row r="351" spans="7:7">
      <c r="G351" s="481"/>
    </row>
    <row r="352" spans="7:7">
      <c r="G352" s="481"/>
    </row>
    <row r="353" spans="7:7">
      <c r="G353" s="481"/>
    </row>
    <row r="354" spans="7:7">
      <c r="G354" s="481"/>
    </row>
    <row r="355" spans="7:7">
      <c r="G355" s="481"/>
    </row>
    <row r="356" spans="7:7">
      <c r="G356" s="481"/>
    </row>
    <row r="357" spans="7:7">
      <c r="G357" s="481"/>
    </row>
    <row r="358" spans="7:7">
      <c r="G358" s="481"/>
    </row>
    <row r="359" spans="7:7">
      <c r="G359" s="481"/>
    </row>
    <row r="360" spans="7:7">
      <c r="G360" s="481"/>
    </row>
    <row r="361" spans="7:7">
      <c r="G361" s="481"/>
    </row>
    <row r="362" spans="7:7">
      <c r="G362" s="481"/>
    </row>
    <row r="363" spans="7:7">
      <c r="G363" s="481"/>
    </row>
    <row r="364" spans="7:7">
      <c r="G364" s="481"/>
    </row>
    <row r="365" spans="7:7">
      <c r="G365" s="481"/>
    </row>
    <row r="366" spans="7:7">
      <c r="G366" s="481"/>
    </row>
    <row r="367" spans="7:7">
      <c r="G367" s="481"/>
    </row>
    <row r="368" spans="7:7">
      <c r="G368" s="481"/>
    </row>
    <row r="369" spans="7:7">
      <c r="G369" s="481"/>
    </row>
    <row r="370" spans="7:7">
      <c r="G370" s="481"/>
    </row>
    <row r="371" spans="7:7">
      <c r="G371" s="481"/>
    </row>
    <row r="372" spans="7:7">
      <c r="G372" s="481"/>
    </row>
    <row r="373" spans="7:7">
      <c r="G373" s="481"/>
    </row>
    <row r="374" spans="7:7">
      <c r="G374" s="481"/>
    </row>
    <row r="375" spans="7:7">
      <c r="G375" s="481"/>
    </row>
    <row r="376" spans="7:7">
      <c r="G376" s="481"/>
    </row>
    <row r="377" spans="7:7">
      <c r="G377" s="481"/>
    </row>
    <row r="378" spans="7:7">
      <c r="G378" s="481"/>
    </row>
    <row r="379" spans="7:7">
      <c r="G379" s="481"/>
    </row>
    <row r="380" spans="7:7">
      <c r="G380" s="481"/>
    </row>
    <row r="381" spans="7:7">
      <c r="G381" s="481"/>
    </row>
    <row r="382" spans="7:7">
      <c r="G382" s="481"/>
    </row>
    <row r="383" spans="7:7">
      <c r="G383" s="481"/>
    </row>
    <row r="384" spans="7:7">
      <c r="G384" s="481"/>
    </row>
    <row r="385" spans="7:7">
      <c r="G385" s="481"/>
    </row>
    <row r="386" spans="7:7">
      <c r="G386" s="481"/>
    </row>
    <row r="387" spans="7:7">
      <c r="G387" s="481"/>
    </row>
    <row r="388" spans="7:7">
      <c r="G388" s="481"/>
    </row>
    <row r="389" spans="7:7">
      <c r="G389" s="481"/>
    </row>
    <row r="390" spans="7:7">
      <c r="G390" s="481"/>
    </row>
    <row r="391" spans="7:7">
      <c r="G391" s="481"/>
    </row>
    <row r="392" spans="7:7">
      <c r="G392" s="481"/>
    </row>
    <row r="393" spans="7:7">
      <c r="G393" s="481"/>
    </row>
    <row r="394" spans="7:7">
      <c r="G394" s="481"/>
    </row>
    <row r="395" spans="7:7">
      <c r="G395" s="481"/>
    </row>
    <row r="396" spans="7:7">
      <c r="G396" s="481"/>
    </row>
    <row r="397" spans="7:7">
      <c r="G397" s="481"/>
    </row>
    <row r="398" spans="7:7">
      <c r="G398" s="481"/>
    </row>
    <row r="399" spans="7:7">
      <c r="G399" s="481"/>
    </row>
    <row r="400" spans="7:7">
      <c r="G400" s="481"/>
    </row>
    <row r="401" spans="7:7">
      <c r="G401" s="481"/>
    </row>
    <row r="402" spans="7:7">
      <c r="G402" s="481"/>
    </row>
    <row r="403" spans="7:7">
      <c r="G403" s="481"/>
    </row>
    <row r="404" spans="7:7">
      <c r="G404" s="481"/>
    </row>
    <row r="405" spans="7:7">
      <c r="G405" s="481"/>
    </row>
    <row r="406" spans="7:7">
      <c r="G406" s="481"/>
    </row>
    <row r="407" spans="7:7">
      <c r="G407" s="481"/>
    </row>
    <row r="408" spans="7:7">
      <c r="G408" s="481"/>
    </row>
    <row r="409" spans="7:7">
      <c r="G409" s="481"/>
    </row>
    <row r="410" spans="7:7">
      <c r="G410" s="481"/>
    </row>
    <row r="411" spans="7:7">
      <c r="G411" s="481"/>
    </row>
    <row r="412" spans="7:7">
      <c r="G412" s="481"/>
    </row>
    <row r="413" spans="7:7">
      <c r="G413" s="481"/>
    </row>
    <row r="414" spans="7:7">
      <c r="G414" s="481"/>
    </row>
    <row r="415" spans="7:7">
      <c r="G415" s="481"/>
    </row>
    <row r="416" spans="7:7">
      <c r="G416" s="481"/>
    </row>
    <row r="417" spans="7:7">
      <c r="G417" s="481"/>
    </row>
    <row r="418" spans="7:7">
      <c r="G418" s="481"/>
    </row>
    <row r="419" spans="7:7">
      <c r="G419" s="481"/>
    </row>
    <row r="420" spans="7:7">
      <c r="G420" s="481"/>
    </row>
    <row r="421" spans="7:7">
      <c r="G421" s="481"/>
    </row>
    <row r="422" spans="7:7">
      <c r="G422" s="481"/>
    </row>
    <row r="423" spans="7:7">
      <c r="G423" s="481"/>
    </row>
    <row r="424" spans="7:7">
      <c r="G424" s="481"/>
    </row>
    <row r="425" spans="7:7">
      <c r="G425" s="481"/>
    </row>
    <row r="426" spans="7:7">
      <c r="G426" s="481"/>
    </row>
    <row r="427" spans="7:7">
      <c r="G427" s="481"/>
    </row>
    <row r="428" spans="7:7">
      <c r="G428" s="481"/>
    </row>
  </sheetData>
  <sheetProtection algorithmName="SHA-512" hashValue="wufbFe7joafRzjBHJEqkKI+SrbiYn9z7ciVR6dHs76eCBFi+LnwIqD964rVlp0IYKvR0g04nOtH9FA87rWDrMg==" saltValue="2Dxl+GajNi6UaM1hlQigBA==" spinCount="100000" sheet="1" objects="1" scenarios="1"/>
  <mergeCells count="3">
    <mergeCell ref="B5:C5"/>
    <mergeCell ref="B6:C6"/>
    <mergeCell ref="D3:F3"/>
  </mergeCells>
  <phoneticPr fontId="0" type="noConversion"/>
  <printOptions horizontalCentered="1"/>
  <pageMargins left="0.17" right="0.16" top="0.53" bottom="1" header="0.5" footer="0.5"/>
  <pageSetup scale="81" fitToHeight="4" orientation="landscape" r:id="rId1"/>
  <headerFooter alignWithMargins="0">
    <oddFooter>&amp;LHawai'i DOH
Spring 2024&amp;C&amp;8Page &amp;P of &amp;N&amp;R&amp;A</oddFooter>
  </headerFooter>
  <rowBreaks count="1" manualBreakCount="1">
    <brk id="157"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29"/>
    <pageSetUpPr fitToPage="1"/>
  </sheetPr>
  <dimension ref="A1:O250"/>
  <sheetViews>
    <sheetView zoomScale="90" zoomScaleNormal="90" workbookViewId="0">
      <pane ySplit="2190" topLeftCell="A8" activePane="bottomLeft"/>
      <selection activeCell="B7" sqref="B7"/>
      <selection pane="bottomLeft" activeCell="A27" sqref="A27"/>
    </sheetView>
  </sheetViews>
  <sheetFormatPr defaultColWidth="9.1328125" defaultRowHeight="12.75"/>
  <cols>
    <col min="1" max="1" width="40.86328125" style="518" customWidth="1"/>
    <col min="2" max="3" width="3.73046875" style="518" customWidth="1"/>
    <col min="4" max="4" width="9.73046875" style="475" customWidth="1"/>
    <col min="5" max="5" width="11.86328125" style="475" customWidth="1"/>
    <col min="6" max="6" width="10.73046875" style="475" customWidth="1"/>
    <col min="7" max="7" width="11.73046875" style="475" customWidth="1"/>
    <col min="8" max="8" width="15.265625" style="475" customWidth="1"/>
    <col min="9" max="9" width="10.73046875" style="475" customWidth="1"/>
    <col min="10" max="10" width="11.73046875" style="475" customWidth="1"/>
    <col min="11" max="11" width="15.265625" style="475" customWidth="1"/>
    <col min="12" max="12" width="11.73046875" style="518" customWidth="1"/>
    <col min="13" max="14" width="9.1328125" style="2"/>
    <col min="15" max="16384" width="9.1328125" style="3"/>
  </cols>
  <sheetData>
    <row r="1" spans="1:15" ht="30">
      <c r="A1" s="6" t="s">
        <v>147</v>
      </c>
      <c r="B1" s="596"/>
      <c r="C1" s="531"/>
      <c r="D1" s="639"/>
      <c r="E1" s="444"/>
      <c r="F1" s="444"/>
      <c r="G1" s="444"/>
      <c r="H1" s="444"/>
      <c r="I1" s="444"/>
      <c r="J1" s="444"/>
      <c r="K1" s="444"/>
      <c r="L1" s="443"/>
    </row>
    <row r="2" spans="1:15" ht="13.15" thickBot="1"/>
    <row r="3" spans="1:15" ht="13.5" thickTop="1" thickBot="1">
      <c r="A3" s="617"/>
      <c r="B3" s="628"/>
      <c r="C3" s="628"/>
      <c r="D3" s="668" t="s">
        <v>848</v>
      </c>
      <c r="E3" s="669"/>
      <c r="F3" s="669"/>
      <c r="G3" s="669"/>
      <c r="H3" s="669"/>
      <c r="I3" s="669"/>
      <c r="J3" s="669"/>
      <c r="K3" s="669"/>
      <c r="L3" s="1423" t="s">
        <v>1030</v>
      </c>
    </row>
    <row r="4" spans="1:15" ht="13.15" thickBot="1">
      <c r="A4" s="670"/>
      <c r="B4" s="671"/>
      <c r="C4" s="672"/>
      <c r="D4" s="673" t="s">
        <v>241</v>
      </c>
      <c r="E4" s="674" t="s">
        <v>247</v>
      </c>
      <c r="F4" s="675" t="s">
        <v>916</v>
      </c>
      <c r="G4" s="676"/>
      <c r="H4" s="677"/>
      <c r="I4" s="678" t="s">
        <v>917</v>
      </c>
      <c r="J4" s="676"/>
      <c r="K4" s="679"/>
      <c r="L4" s="1424"/>
    </row>
    <row r="5" spans="1:15" ht="11.25" customHeight="1" thickBot="1">
      <c r="A5" s="644"/>
      <c r="D5" s="680" t="s">
        <v>625</v>
      </c>
      <c r="E5" s="681" t="s">
        <v>242</v>
      </c>
      <c r="F5" s="540" t="s">
        <v>236</v>
      </c>
      <c r="G5" s="595" t="s">
        <v>934</v>
      </c>
      <c r="H5" s="674" t="s">
        <v>934</v>
      </c>
      <c r="I5" s="540" t="s">
        <v>236</v>
      </c>
      <c r="J5" s="673" t="s">
        <v>934</v>
      </c>
      <c r="K5" s="595" t="s">
        <v>934</v>
      </c>
      <c r="L5" s="1424"/>
    </row>
    <row r="6" spans="1:15">
      <c r="A6" s="644"/>
      <c r="B6" s="1425" t="s">
        <v>633</v>
      </c>
      <c r="C6" s="1426"/>
      <c r="D6" s="680" t="s">
        <v>243</v>
      </c>
      <c r="E6" s="681" t="s">
        <v>244</v>
      </c>
      <c r="F6" s="682" t="s">
        <v>859</v>
      </c>
      <c r="G6" s="595" t="s">
        <v>679</v>
      </c>
      <c r="H6" s="681" t="s">
        <v>745</v>
      </c>
      <c r="I6" s="682" t="s">
        <v>191</v>
      </c>
      <c r="J6" s="680" t="s">
        <v>679</v>
      </c>
      <c r="K6" s="595" t="s">
        <v>745</v>
      </c>
      <c r="L6" s="1424"/>
    </row>
    <row r="7" spans="1:15" ht="14.25" customHeight="1" thickBot="1">
      <c r="A7" s="655" t="s">
        <v>232</v>
      </c>
      <c r="B7" s="1418" t="s">
        <v>643</v>
      </c>
      <c r="C7" s="1427"/>
      <c r="D7" s="683" t="s">
        <v>376</v>
      </c>
      <c r="E7" s="684" t="s">
        <v>240</v>
      </c>
      <c r="F7" s="685" t="s">
        <v>240</v>
      </c>
      <c r="G7" s="686" t="s">
        <v>240</v>
      </c>
      <c r="H7" s="684" t="s">
        <v>240</v>
      </c>
      <c r="I7" s="685" t="s">
        <v>240</v>
      </c>
      <c r="J7" s="683" t="s">
        <v>240</v>
      </c>
      <c r="K7" s="686" t="s">
        <v>240</v>
      </c>
      <c r="L7" s="687" t="s">
        <v>240</v>
      </c>
    </row>
    <row r="8" spans="1:15" ht="11.25" customHeight="1">
      <c r="A8" s="454" t="s">
        <v>548</v>
      </c>
      <c r="B8" s="495" t="s">
        <v>651</v>
      </c>
      <c r="C8" s="496" t="s">
        <v>638</v>
      </c>
      <c r="D8" s="497" t="s">
        <v>954</v>
      </c>
      <c r="E8" s="560">
        <v>210</v>
      </c>
      <c r="F8" s="558">
        <v>43.8</v>
      </c>
      <c r="G8" s="497" t="s">
        <v>954</v>
      </c>
      <c r="H8" s="497">
        <v>43.8</v>
      </c>
      <c r="I8" s="497">
        <v>183.96</v>
      </c>
      <c r="J8" s="497" t="s">
        <v>954</v>
      </c>
      <c r="K8" s="497">
        <v>183.96</v>
      </c>
      <c r="L8" s="688">
        <v>513</v>
      </c>
      <c r="N8" s="629"/>
      <c r="O8" s="481"/>
    </row>
    <row r="9" spans="1:15" ht="11.25" customHeight="1">
      <c r="A9" s="458" t="s">
        <v>549</v>
      </c>
      <c r="B9" s="499" t="s">
        <v>651</v>
      </c>
      <c r="C9" s="500" t="s">
        <v>638</v>
      </c>
      <c r="D9" s="501" t="s">
        <v>954</v>
      </c>
      <c r="E9" s="566">
        <v>160</v>
      </c>
      <c r="F9" s="564">
        <v>33.371428571428574</v>
      </c>
      <c r="G9" s="501" t="s">
        <v>954</v>
      </c>
      <c r="H9" s="501">
        <v>33.371428571428574</v>
      </c>
      <c r="I9" s="501">
        <v>140.16000000000003</v>
      </c>
      <c r="J9" s="501" t="s">
        <v>954</v>
      </c>
      <c r="K9" s="501">
        <v>140.16000000000003</v>
      </c>
      <c r="L9" s="689" t="s">
        <v>367</v>
      </c>
      <c r="N9" s="629"/>
      <c r="O9" s="481"/>
    </row>
    <row r="10" spans="1:15" ht="11.25" customHeight="1">
      <c r="A10" s="458" t="s">
        <v>550</v>
      </c>
      <c r="B10" s="499" t="s">
        <v>651</v>
      </c>
      <c r="C10" s="500" t="s">
        <v>652</v>
      </c>
      <c r="D10" s="501" t="s">
        <v>954</v>
      </c>
      <c r="E10" s="566">
        <v>3150</v>
      </c>
      <c r="F10" s="564">
        <v>657</v>
      </c>
      <c r="G10" s="501" t="s">
        <v>954</v>
      </c>
      <c r="H10" s="501">
        <v>657</v>
      </c>
      <c r="I10" s="501">
        <v>2759.4000000000005</v>
      </c>
      <c r="J10" s="501" t="s">
        <v>954</v>
      </c>
      <c r="K10" s="501">
        <v>2759.4000000000005</v>
      </c>
      <c r="L10" s="689">
        <v>30862</v>
      </c>
      <c r="N10" s="629"/>
      <c r="O10" s="481"/>
    </row>
    <row r="11" spans="1:15" ht="11.25" customHeight="1">
      <c r="A11" s="458" t="s">
        <v>551</v>
      </c>
      <c r="B11" s="499" t="s">
        <v>1405</v>
      </c>
      <c r="C11" s="500" t="s">
        <v>638</v>
      </c>
      <c r="D11" s="501">
        <v>4.8999999999999998E-3</v>
      </c>
      <c r="E11" s="566" t="s">
        <v>954</v>
      </c>
      <c r="F11" s="564">
        <v>5.7299843014128736E-2</v>
      </c>
      <c r="G11" s="501">
        <v>5.7299843014128736E-2</v>
      </c>
      <c r="H11" s="501" t="s">
        <v>954</v>
      </c>
      <c r="I11" s="501">
        <v>0.25028571428571433</v>
      </c>
      <c r="J11" s="501">
        <v>0.25028571428571433</v>
      </c>
      <c r="K11" s="501" t="s">
        <v>954</v>
      </c>
      <c r="L11" s="689">
        <v>263</v>
      </c>
      <c r="N11" s="629"/>
      <c r="O11" s="481"/>
    </row>
    <row r="12" spans="1:15" ht="11.25" customHeight="1">
      <c r="A12" s="458" t="s">
        <v>161</v>
      </c>
      <c r="B12" s="499" t="s">
        <v>653</v>
      </c>
      <c r="C12" s="500" t="s">
        <v>638</v>
      </c>
      <c r="D12" s="501" t="s">
        <v>954</v>
      </c>
      <c r="E12" s="566" t="s">
        <v>954</v>
      </c>
      <c r="F12" s="564" t="s">
        <v>954</v>
      </c>
      <c r="G12" s="501" t="s">
        <v>954</v>
      </c>
      <c r="H12" s="501" t="s">
        <v>954</v>
      </c>
      <c r="I12" s="501" t="s">
        <v>954</v>
      </c>
      <c r="J12" s="501" t="s">
        <v>954</v>
      </c>
      <c r="K12" s="501" t="s">
        <v>954</v>
      </c>
      <c r="L12" s="689" t="s">
        <v>367</v>
      </c>
      <c r="N12" s="629"/>
      <c r="O12" s="481"/>
    </row>
    <row r="13" spans="1:15" ht="11.25" customHeight="1">
      <c r="A13" s="462" t="s">
        <v>162</v>
      </c>
      <c r="B13" s="499" t="s">
        <v>653</v>
      </c>
      <c r="C13" s="500" t="s">
        <v>638</v>
      </c>
      <c r="D13" s="501" t="s">
        <v>954</v>
      </c>
      <c r="E13" s="566" t="s">
        <v>954</v>
      </c>
      <c r="F13" s="564" t="s">
        <v>954</v>
      </c>
      <c r="G13" s="501" t="s">
        <v>954</v>
      </c>
      <c r="H13" s="501" t="s">
        <v>954</v>
      </c>
      <c r="I13" s="501" t="s">
        <v>954</v>
      </c>
      <c r="J13" s="501" t="s">
        <v>954</v>
      </c>
      <c r="K13" s="501" t="s">
        <v>954</v>
      </c>
      <c r="L13" s="689" t="s">
        <v>367</v>
      </c>
      <c r="N13" s="629"/>
      <c r="O13" s="481"/>
    </row>
    <row r="14" spans="1:15" ht="11.25" customHeight="1">
      <c r="A14" s="462" t="s">
        <v>94</v>
      </c>
      <c r="B14" s="499" t="s">
        <v>653</v>
      </c>
      <c r="C14" s="500" t="s">
        <v>638</v>
      </c>
      <c r="D14" s="501" t="s">
        <v>954</v>
      </c>
      <c r="E14" s="566" t="s">
        <v>954</v>
      </c>
      <c r="F14" s="564" t="s">
        <v>954</v>
      </c>
      <c r="G14" s="501" t="s">
        <v>954</v>
      </c>
      <c r="H14" s="501" t="s">
        <v>954</v>
      </c>
      <c r="I14" s="501" t="s">
        <v>954</v>
      </c>
      <c r="J14" s="501" t="s">
        <v>954</v>
      </c>
      <c r="K14" s="501" t="s">
        <v>954</v>
      </c>
      <c r="L14" s="689" t="s">
        <v>367</v>
      </c>
      <c r="N14" s="629"/>
      <c r="O14" s="481"/>
    </row>
    <row r="15" spans="1:15" ht="11.25" customHeight="1">
      <c r="A15" s="458" t="s">
        <v>552</v>
      </c>
      <c r="B15" s="499" t="s">
        <v>651</v>
      </c>
      <c r="C15" s="500" t="s">
        <v>638</v>
      </c>
      <c r="D15" s="501" t="s">
        <v>954</v>
      </c>
      <c r="E15" s="566">
        <v>1100</v>
      </c>
      <c r="F15" s="564">
        <v>229.42857142857142</v>
      </c>
      <c r="G15" s="501" t="s">
        <v>954</v>
      </c>
      <c r="H15" s="501">
        <v>229.42857142857142</v>
      </c>
      <c r="I15" s="501">
        <v>963.60000000000014</v>
      </c>
      <c r="J15" s="501" t="s">
        <v>954</v>
      </c>
      <c r="K15" s="501">
        <v>963.60000000000014</v>
      </c>
      <c r="L15" s="689" t="s">
        <v>367</v>
      </c>
      <c r="N15" s="629"/>
      <c r="O15" s="481"/>
    </row>
    <row r="16" spans="1:15" ht="11.25" customHeight="1">
      <c r="A16" s="458" t="s">
        <v>553</v>
      </c>
      <c r="B16" s="499" t="s">
        <v>653</v>
      </c>
      <c r="C16" s="500" t="s">
        <v>638</v>
      </c>
      <c r="D16" s="501" t="s">
        <v>954</v>
      </c>
      <c r="E16" s="566" t="s">
        <v>954</v>
      </c>
      <c r="F16" s="564" t="s">
        <v>954</v>
      </c>
      <c r="G16" s="501" t="s">
        <v>954</v>
      </c>
      <c r="H16" s="501" t="s">
        <v>954</v>
      </c>
      <c r="I16" s="501" t="s">
        <v>954</v>
      </c>
      <c r="J16" s="501" t="s">
        <v>954</v>
      </c>
      <c r="K16" s="501" t="s">
        <v>954</v>
      </c>
      <c r="L16" s="689" t="s">
        <v>367</v>
      </c>
      <c r="N16" s="629"/>
      <c r="O16" s="481"/>
    </row>
    <row r="17" spans="1:15" ht="11.25" customHeight="1">
      <c r="A17" s="458" t="s">
        <v>686</v>
      </c>
      <c r="B17" s="499" t="s">
        <v>653</v>
      </c>
      <c r="C17" s="500" t="s">
        <v>638</v>
      </c>
      <c r="D17" s="501" t="s">
        <v>954</v>
      </c>
      <c r="E17" s="566" t="s">
        <v>954</v>
      </c>
      <c r="F17" s="564" t="s">
        <v>954</v>
      </c>
      <c r="G17" s="501" t="s">
        <v>954</v>
      </c>
      <c r="H17" s="501" t="s">
        <v>954</v>
      </c>
      <c r="I17" s="501" t="s">
        <v>954</v>
      </c>
      <c r="J17" s="501" t="s">
        <v>954</v>
      </c>
      <c r="K17" s="501" t="s">
        <v>954</v>
      </c>
      <c r="L17" s="689" t="s">
        <v>367</v>
      </c>
      <c r="N17" s="629"/>
      <c r="O17" s="481"/>
    </row>
    <row r="18" spans="1:15" ht="11.25" customHeight="1">
      <c r="A18" s="458" t="s">
        <v>95</v>
      </c>
      <c r="B18" s="499" t="s">
        <v>653</v>
      </c>
      <c r="C18" s="500" t="s">
        <v>638</v>
      </c>
      <c r="D18" s="501" t="s">
        <v>954</v>
      </c>
      <c r="E18" s="566" t="s">
        <v>954</v>
      </c>
      <c r="F18" s="564" t="s">
        <v>954</v>
      </c>
      <c r="G18" s="501" t="s">
        <v>954</v>
      </c>
      <c r="H18" s="501" t="s">
        <v>954</v>
      </c>
      <c r="I18" s="501" t="s">
        <v>954</v>
      </c>
      <c r="J18" s="501" t="s">
        <v>954</v>
      </c>
      <c r="K18" s="501" t="s">
        <v>954</v>
      </c>
      <c r="L18" s="689" t="s">
        <v>367</v>
      </c>
      <c r="N18" s="629"/>
      <c r="O18" s="481"/>
    </row>
    <row r="19" spans="1:15" ht="11.25" customHeight="1">
      <c r="A19" s="458" t="s">
        <v>687</v>
      </c>
      <c r="B19" s="499" t="s">
        <v>653</v>
      </c>
      <c r="C19" s="500" t="s">
        <v>638</v>
      </c>
      <c r="D19" s="501" t="s">
        <v>954</v>
      </c>
      <c r="E19" s="566" t="s">
        <v>954</v>
      </c>
      <c r="F19" s="564" t="s">
        <v>954</v>
      </c>
      <c r="G19" s="501" t="s">
        <v>954</v>
      </c>
      <c r="H19" s="501" t="s">
        <v>954</v>
      </c>
      <c r="I19" s="501" t="s">
        <v>954</v>
      </c>
      <c r="J19" s="501" t="s">
        <v>954</v>
      </c>
      <c r="K19" s="501" t="s">
        <v>954</v>
      </c>
      <c r="L19" s="689" t="s">
        <v>367</v>
      </c>
      <c r="N19" s="629"/>
      <c r="O19" s="481"/>
    </row>
    <row r="20" spans="1:15" ht="11.25" customHeight="1">
      <c r="A20" s="458" t="s">
        <v>1156</v>
      </c>
      <c r="B20" s="499" t="s">
        <v>653</v>
      </c>
      <c r="C20" s="500" t="s">
        <v>638</v>
      </c>
      <c r="D20" s="501" t="s">
        <v>954</v>
      </c>
      <c r="E20" s="566" t="s">
        <v>954</v>
      </c>
      <c r="F20" s="564" t="s">
        <v>954</v>
      </c>
      <c r="G20" s="501" t="s">
        <v>954</v>
      </c>
      <c r="H20" s="501" t="s">
        <v>954</v>
      </c>
      <c r="I20" s="501" t="s">
        <v>954</v>
      </c>
      <c r="J20" s="501" t="s">
        <v>954</v>
      </c>
      <c r="K20" s="501" t="s">
        <v>954</v>
      </c>
      <c r="L20" s="689" t="s">
        <v>367</v>
      </c>
      <c r="N20" s="629"/>
      <c r="O20" s="481"/>
    </row>
    <row r="21" spans="1:15" ht="11.25" customHeight="1">
      <c r="A21" s="458" t="s">
        <v>688</v>
      </c>
      <c r="B21" s="499" t="s">
        <v>651</v>
      </c>
      <c r="C21" s="500" t="s">
        <v>652</v>
      </c>
      <c r="D21" s="501">
        <v>7.7999999999999999E-6</v>
      </c>
      <c r="E21" s="566">
        <v>30</v>
      </c>
      <c r="F21" s="564">
        <v>0.35996055226824453</v>
      </c>
      <c r="G21" s="501">
        <v>0.35996055226824453</v>
      </c>
      <c r="H21" s="501">
        <v>6.2571428571428571</v>
      </c>
      <c r="I21" s="501">
        <v>1.5723076923076924</v>
      </c>
      <c r="J21" s="501">
        <v>1.5723076923076924</v>
      </c>
      <c r="K21" s="501">
        <v>26.280000000000005</v>
      </c>
      <c r="L21" s="689">
        <v>4890</v>
      </c>
      <c r="N21" s="629"/>
      <c r="O21" s="481"/>
    </row>
    <row r="22" spans="1:15" ht="11.25" customHeight="1">
      <c r="A22" s="458" t="s">
        <v>689</v>
      </c>
      <c r="B22" s="499" t="s">
        <v>1405</v>
      </c>
      <c r="C22" s="500" t="s">
        <v>638</v>
      </c>
      <c r="D22" s="501">
        <v>6.0000000000000002E-5</v>
      </c>
      <c r="E22" s="566" t="s">
        <v>954</v>
      </c>
      <c r="F22" s="564">
        <v>0.16898148148148154</v>
      </c>
      <c r="G22" s="501">
        <v>0.16898148148148154</v>
      </c>
      <c r="H22" s="501" t="s">
        <v>954</v>
      </c>
      <c r="I22" s="501">
        <v>2.0440000000000009</v>
      </c>
      <c r="J22" s="501">
        <v>2.0440000000000009</v>
      </c>
      <c r="K22" s="501" t="s">
        <v>954</v>
      </c>
      <c r="L22" s="689" t="s">
        <v>367</v>
      </c>
      <c r="N22" s="629"/>
      <c r="O22" s="481"/>
    </row>
    <row r="23" spans="1:15" ht="11.25" customHeight="1">
      <c r="A23" s="458" t="s">
        <v>690</v>
      </c>
      <c r="B23" s="499" t="s">
        <v>653</v>
      </c>
      <c r="C23" s="500" t="s">
        <v>638</v>
      </c>
      <c r="D23" s="501" t="s">
        <v>954</v>
      </c>
      <c r="E23" s="566" t="s">
        <v>954</v>
      </c>
      <c r="F23" s="564" t="s">
        <v>954</v>
      </c>
      <c r="G23" s="501" t="s">
        <v>954</v>
      </c>
      <c r="H23" s="501" t="s">
        <v>954</v>
      </c>
      <c r="I23" s="501" t="s">
        <v>954</v>
      </c>
      <c r="J23" s="501" t="s">
        <v>954</v>
      </c>
      <c r="K23" s="501" t="s">
        <v>954</v>
      </c>
      <c r="L23" s="689" t="s">
        <v>367</v>
      </c>
      <c r="N23" s="629"/>
      <c r="O23" s="481"/>
    </row>
    <row r="24" spans="1:15" ht="11.25" customHeight="1">
      <c r="A24" s="458" t="s">
        <v>691</v>
      </c>
      <c r="B24" s="499" t="s">
        <v>653</v>
      </c>
      <c r="C24" s="500" t="s">
        <v>638</v>
      </c>
      <c r="D24" s="501" t="s">
        <v>954</v>
      </c>
      <c r="E24" s="566" t="s">
        <v>954</v>
      </c>
      <c r="F24" s="564" t="s">
        <v>954</v>
      </c>
      <c r="G24" s="501" t="s">
        <v>954</v>
      </c>
      <c r="H24" s="501" t="s">
        <v>954</v>
      </c>
      <c r="I24" s="501" t="s">
        <v>954</v>
      </c>
      <c r="J24" s="501" t="s">
        <v>954</v>
      </c>
      <c r="K24" s="501" t="s">
        <v>954</v>
      </c>
      <c r="L24" s="689" t="s">
        <v>367</v>
      </c>
      <c r="N24" s="629"/>
      <c r="O24" s="481"/>
    </row>
    <row r="25" spans="1:15" ht="11.25" customHeight="1">
      <c r="A25" s="458" t="s">
        <v>692</v>
      </c>
      <c r="B25" s="499" t="s">
        <v>653</v>
      </c>
      <c r="C25" s="500" t="s">
        <v>638</v>
      </c>
      <c r="D25" s="501" t="s">
        <v>954</v>
      </c>
      <c r="E25" s="566" t="s">
        <v>954</v>
      </c>
      <c r="F25" s="564" t="s">
        <v>954</v>
      </c>
      <c r="G25" s="501" t="s">
        <v>954</v>
      </c>
      <c r="H25" s="501" t="s">
        <v>954</v>
      </c>
      <c r="I25" s="501" t="s">
        <v>954</v>
      </c>
      <c r="J25" s="501" t="s">
        <v>954</v>
      </c>
      <c r="K25" s="501" t="s">
        <v>954</v>
      </c>
      <c r="L25" s="689" t="s">
        <v>367</v>
      </c>
      <c r="N25" s="629"/>
      <c r="O25" s="481"/>
    </row>
    <row r="26" spans="1:15" ht="11.25" customHeight="1">
      <c r="A26" s="458" t="s">
        <v>693</v>
      </c>
      <c r="B26" s="499" t="s">
        <v>653</v>
      </c>
      <c r="C26" s="500" t="s">
        <v>638</v>
      </c>
      <c r="D26" s="501" t="s">
        <v>954</v>
      </c>
      <c r="E26" s="566" t="s">
        <v>954</v>
      </c>
      <c r="F26" s="564" t="s">
        <v>954</v>
      </c>
      <c r="G26" s="501" t="s">
        <v>954</v>
      </c>
      <c r="H26" s="501" t="s">
        <v>954</v>
      </c>
      <c r="I26" s="501" t="s">
        <v>954</v>
      </c>
      <c r="J26" s="501" t="s">
        <v>954</v>
      </c>
      <c r="K26" s="501" t="s">
        <v>954</v>
      </c>
      <c r="L26" s="689" t="s">
        <v>367</v>
      </c>
      <c r="N26" s="629"/>
      <c r="O26" s="481"/>
    </row>
    <row r="27" spans="1:15" ht="11.25" customHeight="1">
      <c r="A27" s="458" t="s">
        <v>126</v>
      </c>
      <c r="B27" s="499" t="s">
        <v>653</v>
      </c>
      <c r="C27" s="500" t="s">
        <v>638</v>
      </c>
      <c r="D27" s="501" t="s">
        <v>954</v>
      </c>
      <c r="E27" s="566" t="s">
        <v>954</v>
      </c>
      <c r="F27" s="564" t="s">
        <v>954</v>
      </c>
      <c r="G27" s="501" t="s">
        <v>954</v>
      </c>
      <c r="H27" s="501" t="s">
        <v>954</v>
      </c>
      <c r="I27" s="501" t="s">
        <v>954</v>
      </c>
      <c r="J27" s="501" t="s">
        <v>954</v>
      </c>
      <c r="K27" s="501" t="s">
        <v>954</v>
      </c>
      <c r="L27" s="689" t="s">
        <v>367</v>
      </c>
      <c r="N27" s="629"/>
      <c r="O27" s="481"/>
    </row>
    <row r="28" spans="1:15" ht="11.25" customHeight="1">
      <c r="A28" s="458" t="s">
        <v>233</v>
      </c>
      <c r="B28" s="499" t="s">
        <v>651</v>
      </c>
      <c r="C28" s="500" t="s">
        <v>638</v>
      </c>
      <c r="D28" s="501" t="s">
        <v>954</v>
      </c>
      <c r="E28" s="566">
        <v>0.4</v>
      </c>
      <c r="F28" s="564">
        <v>8.3428571428571435E-2</v>
      </c>
      <c r="G28" s="501" t="s">
        <v>954</v>
      </c>
      <c r="H28" s="501">
        <v>8.3428571428571435E-2</v>
      </c>
      <c r="I28" s="501">
        <v>0.3504000000000001</v>
      </c>
      <c r="J28" s="501" t="s">
        <v>954</v>
      </c>
      <c r="K28" s="501">
        <v>0.3504000000000001</v>
      </c>
      <c r="L28" s="689">
        <v>60</v>
      </c>
      <c r="N28" s="629"/>
      <c r="O28" s="481"/>
    </row>
    <row r="29" spans="1:15" ht="11.25" customHeight="1">
      <c r="A29" s="458" t="s">
        <v>127</v>
      </c>
      <c r="B29" s="499" t="s">
        <v>651</v>
      </c>
      <c r="C29" s="500" t="s">
        <v>652</v>
      </c>
      <c r="D29" s="501">
        <v>3.3E-4</v>
      </c>
      <c r="E29" s="566" t="s">
        <v>954</v>
      </c>
      <c r="F29" s="564">
        <v>8.5081585081585066E-3</v>
      </c>
      <c r="G29" s="501">
        <v>8.5081585081585066E-3</v>
      </c>
      <c r="H29" s="501" t="s">
        <v>954</v>
      </c>
      <c r="I29" s="501">
        <v>3.7163636363636364E-2</v>
      </c>
      <c r="J29" s="501">
        <v>3.7163636363636364E-2</v>
      </c>
      <c r="K29" s="501" t="s">
        <v>954</v>
      </c>
      <c r="L29" s="689">
        <v>287</v>
      </c>
      <c r="N29" s="629"/>
      <c r="O29" s="481"/>
    </row>
    <row r="30" spans="1:15" ht="11.25" customHeight="1">
      <c r="A30" s="503" t="s">
        <v>1103</v>
      </c>
      <c r="B30" s="499" t="s">
        <v>651</v>
      </c>
      <c r="C30" s="500" t="s">
        <v>652</v>
      </c>
      <c r="D30" s="501">
        <v>1.0000000000000001E-5</v>
      </c>
      <c r="E30" s="566">
        <v>140</v>
      </c>
      <c r="F30" s="564">
        <v>0.28076923076923072</v>
      </c>
      <c r="G30" s="501">
        <v>0.28076923076923072</v>
      </c>
      <c r="H30" s="501">
        <v>29.2</v>
      </c>
      <c r="I30" s="501">
        <v>1.2263999999999999</v>
      </c>
      <c r="J30" s="501">
        <v>1.2263999999999999</v>
      </c>
      <c r="K30" s="501">
        <v>122.64000000000003</v>
      </c>
      <c r="L30" s="689">
        <v>2240</v>
      </c>
      <c r="N30" s="629"/>
      <c r="O30" s="481"/>
    </row>
    <row r="31" spans="1:15" ht="11.25" customHeight="1">
      <c r="A31" s="458" t="s">
        <v>128</v>
      </c>
      <c r="B31" s="499" t="s">
        <v>653</v>
      </c>
      <c r="C31" s="500" t="s">
        <v>638</v>
      </c>
      <c r="D31" s="501" t="s">
        <v>954</v>
      </c>
      <c r="E31" s="566" t="s">
        <v>954</v>
      </c>
      <c r="F31" s="564" t="s">
        <v>954</v>
      </c>
      <c r="G31" s="501" t="s">
        <v>954</v>
      </c>
      <c r="H31" s="501" t="s">
        <v>954</v>
      </c>
      <c r="I31" s="501" t="s">
        <v>954</v>
      </c>
      <c r="J31" s="501" t="s">
        <v>954</v>
      </c>
      <c r="K31" s="501" t="s">
        <v>954</v>
      </c>
      <c r="L31" s="689" t="s">
        <v>367</v>
      </c>
      <c r="N31" s="629"/>
      <c r="O31" s="481"/>
    </row>
    <row r="32" spans="1:15" ht="11.25" customHeight="1">
      <c r="A32" s="458" t="s">
        <v>129</v>
      </c>
      <c r="B32" s="499" t="s">
        <v>653</v>
      </c>
      <c r="C32" s="500" t="s">
        <v>638</v>
      </c>
      <c r="D32" s="501" t="s">
        <v>954</v>
      </c>
      <c r="E32" s="566" t="s">
        <v>954</v>
      </c>
      <c r="F32" s="564" t="s">
        <v>954</v>
      </c>
      <c r="G32" s="501" t="s">
        <v>954</v>
      </c>
      <c r="H32" s="501" t="s">
        <v>954</v>
      </c>
      <c r="I32" s="501" t="s">
        <v>954</v>
      </c>
      <c r="J32" s="501" t="s">
        <v>954</v>
      </c>
      <c r="K32" s="501" t="s">
        <v>954</v>
      </c>
      <c r="L32" s="689" t="s">
        <v>367</v>
      </c>
      <c r="N32" s="629"/>
      <c r="O32" s="481"/>
    </row>
    <row r="33" spans="1:15" ht="11.25" customHeight="1">
      <c r="A33" s="458" t="s">
        <v>130</v>
      </c>
      <c r="B33" s="499" t="s">
        <v>651</v>
      </c>
      <c r="C33" s="500" t="s">
        <v>652</v>
      </c>
      <c r="D33" s="501">
        <v>3.6999999999999998E-5</v>
      </c>
      <c r="E33" s="566">
        <v>28</v>
      </c>
      <c r="F33" s="564">
        <v>7.5883575883575874E-2</v>
      </c>
      <c r="G33" s="501">
        <v>7.5883575883575874E-2</v>
      </c>
      <c r="H33" s="501">
        <v>5.84</v>
      </c>
      <c r="I33" s="501">
        <v>0.33145945945945948</v>
      </c>
      <c r="J33" s="501">
        <v>0.33145945945945948</v>
      </c>
      <c r="K33" s="501">
        <v>24.528000000000006</v>
      </c>
      <c r="L33" s="689">
        <v>11000000</v>
      </c>
      <c r="N33" s="629"/>
      <c r="O33" s="481"/>
    </row>
    <row r="34" spans="1:15" ht="11.25" customHeight="1">
      <c r="A34" s="458" t="s">
        <v>131</v>
      </c>
      <c r="B34" s="499" t="s">
        <v>1405</v>
      </c>
      <c r="C34" s="500" t="s">
        <v>638</v>
      </c>
      <c r="D34" s="501">
        <v>1.1000000000000001E-6</v>
      </c>
      <c r="E34" s="566" t="s">
        <v>954</v>
      </c>
      <c r="F34" s="564">
        <v>2.5524475524475521</v>
      </c>
      <c r="G34" s="501">
        <v>2.5524475524475521</v>
      </c>
      <c r="H34" s="501" t="s">
        <v>954</v>
      </c>
      <c r="I34" s="501">
        <v>11.14909090909091</v>
      </c>
      <c r="J34" s="501">
        <v>11.14909090909091</v>
      </c>
      <c r="K34" s="501" t="s">
        <v>954</v>
      </c>
      <c r="L34" s="689">
        <v>13450</v>
      </c>
      <c r="N34" s="629"/>
      <c r="O34" s="481"/>
    </row>
    <row r="35" spans="1:15" ht="11.25" customHeight="1">
      <c r="A35" s="458" t="s">
        <v>132</v>
      </c>
      <c r="B35" s="499" t="s">
        <v>651</v>
      </c>
      <c r="C35" s="500" t="s">
        <v>21</v>
      </c>
      <c r="D35" s="501" t="s">
        <v>954</v>
      </c>
      <c r="E35" s="566">
        <v>5</v>
      </c>
      <c r="F35" s="564">
        <v>1.0428571428571429</v>
      </c>
      <c r="G35" s="501" t="s">
        <v>954</v>
      </c>
      <c r="H35" s="501">
        <v>1.0428571428571429</v>
      </c>
      <c r="I35" s="501">
        <v>4.3800000000000008</v>
      </c>
      <c r="J35" s="501" t="s">
        <v>954</v>
      </c>
      <c r="K35" s="501">
        <v>4.3800000000000008</v>
      </c>
      <c r="L35" s="689">
        <v>80000</v>
      </c>
      <c r="N35" s="629"/>
      <c r="O35" s="481"/>
    </row>
    <row r="36" spans="1:15" ht="11.25" customHeight="1">
      <c r="A36" s="458" t="s">
        <v>133</v>
      </c>
      <c r="B36" s="499" t="s">
        <v>653</v>
      </c>
      <c r="C36" s="500" t="s">
        <v>638</v>
      </c>
      <c r="D36" s="501" t="s">
        <v>954</v>
      </c>
      <c r="E36" s="566" t="s">
        <v>954</v>
      </c>
      <c r="F36" s="564" t="s">
        <v>954</v>
      </c>
      <c r="G36" s="501" t="s">
        <v>954</v>
      </c>
      <c r="H36" s="501" t="s">
        <v>954</v>
      </c>
      <c r="I36" s="501" t="s">
        <v>954</v>
      </c>
      <c r="J36" s="501" t="s">
        <v>954</v>
      </c>
      <c r="K36" s="501" t="s">
        <v>954</v>
      </c>
      <c r="L36" s="689" t="s">
        <v>367</v>
      </c>
      <c r="N36" s="629"/>
      <c r="O36" s="481"/>
    </row>
    <row r="37" spans="1:15" ht="11.25" customHeight="1">
      <c r="A37" s="458" t="s">
        <v>134</v>
      </c>
      <c r="B37" s="499" t="s">
        <v>651</v>
      </c>
      <c r="C37" s="500" t="s">
        <v>652</v>
      </c>
      <c r="D37" s="501">
        <v>6.0000000000000002E-6</v>
      </c>
      <c r="E37" s="566">
        <v>100</v>
      </c>
      <c r="F37" s="564">
        <v>0.46794871794871784</v>
      </c>
      <c r="G37" s="501">
        <v>0.46794871794871784</v>
      </c>
      <c r="H37" s="501">
        <v>20.857142857142858</v>
      </c>
      <c r="I37" s="501">
        <v>2.044</v>
      </c>
      <c r="J37" s="501">
        <v>2.044</v>
      </c>
      <c r="K37" s="501">
        <v>87.600000000000009</v>
      </c>
      <c r="L37" s="689">
        <v>63000</v>
      </c>
      <c r="N37" s="629"/>
      <c r="O37" s="481"/>
    </row>
    <row r="38" spans="1:15" ht="11.25" customHeight="1">
      <c r="A38" s="458" t="s">
        <v>614</v>
      </c>
      <c r="B38" s="499" t="s">
        <v>1405</v>
      </c>
      <c r="C38" s="500" t="s">
        <v>638</v>
      </c>
      <c r="D38" s="501">
        <v>1E-4</v>
      </c>
      <c r="E38" s="566">
        <v>0.7</v>
      </c>
      <c r="F38" s="564">
        <v>0.28076923076923083</v>
      </c>
      <c r="G38" s="501">
        <v>0.28076923076923083</v>
      </c>
      <c r="H38" s="501">
        <v>0.73</v>
      </c>
      <c r="I38" s="501">
        <v>1.2264000000000004</v>
      </c>
      <c r="J38" s="501">
        <v>1.2264000000000004</v>
      </c>
      <c r="K38" s="501">
        <v>3.0660000000000007</v>
      </c>
      <c r="L38" s="689">
        <v>8.4</v>
      </c>
      <c r="N38" s="629"/>
      <c r="O38" s="481"/>
    </row>
    <row r="39" spans="1:15" ht="11.25" customHeight="1">
      <c r="A39" s="458" t="s">
        <v>135</v>
      </c>
      <c r="B39" s="499" t="s">
        <v>653</v>
      </c>
      <c r="C39" s="500" t="s">
        <v>638</v>
      </c>
      <c r="D39" s="501" t="s">
        <v>954</v>
      </c>
      <c r="E39" s="566" t="s">
        <v>954</v>
      </c>
      <c r="F39" s="564" t="s">
        <v>954</v>
      </c>
      <c r="G39" s="501" t="s">
        <v>954</v>
      </c>
      <c r="H39" s="501" t="s">
        <v>954</v>
      </c>
      <c r="I39" s="501" t="s">
        <v>954</v>
      </c>
      <c r="J39" s="501" t="s">
        <v>954</v>
      </c>
      <c r="K39" s="501" t="s">
        <v>954</v>
      </c>
      <c r="L39" s="689" t="s">
        <v>367</v>
      </c>
      <c r="N39" s="629"/>
      <c r="O39" s="481"/>
    </row>
    <row r="40" spans="1:15" ht="11.25" customHeight="1">
      <c r="A40" s="458" t="s">
        <v>136</v>
      </c>
      <c r="B40" s="499" t="s">
        <v>651</v>
      </c>
      <c r="C40" s="500" t="s">
        <v>652</v>
      </c>
      <c r="D40" s="501" t="s">
        <v>954</v>
      </c>
      <c r="E40" s="566">
        <v>50</v>
      </c>
      <c r="F40" s="564">
        <v>10.428571428571429</v>
      </c>
      <c r="G40" s="501" t="s">
        <v>954</v>
      </c>
      <c r="H40" s="501">
        <v>10.428571428571429</v>
      </c>
      <c r="I40" s="501">
        <v>43.800000000000004</v>
      </c>
      <c r="J40" s="501" t="s">
        <v>954</v>
      </c>
      <c r="K40" s="501">
        <v>43.800000000000004</v>
      </c>
      <c r="L40" s="689">
        <v>1000</v>
      </c>
      <c r="N40" s="629"/>
      <c r="O40" s="481"/>
    </row>
    <row r="41" spans="1:15" ht="11.25" customHeight="1">
      <c r="A41" s="458" t="s">
        <v>781</v>
      </c>
      <c r="B41" s="499" t="s">
        <v>651</v>
      </c>
      <c r="C41" s="500" t="s">
        <v>21</v>
      </c>
      <c r="D41" s="501" t="s">
        <v>954</v>
      </c>
      <c r="E41" s="566">
        <v>4000</v>
      </c>
      <c r="F41" s="564">
        <v>834.28571428571433</v>
      </c>
      <c r="G41" s="501" t="s">
        <v>954</v>
      </c>
      <c r="H41" s="501">
        <v>834.28571428571433</v>
      </c>
      <c r="I41" s="501">
        <v>3504.0000000000005</v>
      </c>
      <c r="J41" s="501" t="s">
        <v>954</v>
      </c>
      <c r="K41" s="501">
        <v>3504.0000000000005</v>
      </c>
      <c r="L41" s="689">
        <v>380000</v>
      </c>
      <c r="N41" s="629"/>
      <c r="O41" s="481"/>
    </row>
    <row r="42" spans="1:15" ht="11.25" customHeight="1">
      <c r="A42" s="464" t="s">
        <v>137</v>
      </c>
      <c r="B42" s="499" t="s">
        <v>651</v>
      </c>
      <c r="C42" s="500" t="s">
        <v>652</v>
      </c>
      <c r="D42" s="501">
        <v>2.3E-5</v>
      </c>
      <c r="E42" s="566">
        <v>98</v>
      </c>
      <c r="F42" s="564">
        <v>0.1220735785953177</v>
      </c>
      <c r="G42" s="501">
        <v>0.1220735785953177</v>
      </c>
      <c r="H42" s="501">
        <v>20.440000000000001</v>
      </c>
      <c r="I42" s="501">
        <v>0.53321739130434775</v>
      </c>
      <c r="J42" s="501">
        <v>0.53321739130434775</v>
      </c>
      <c r="K42" s="501">
        <v>85.848000000000027</v>
      </c>
      <c r="L42" s="689">
        <v>421600</v>
      </c>
      <c r="N42" s="629"/>
      <c r="O42" s="481"/>
    </row>
    <row r="43" spans="1:15" ht="11.25" customHeight="1">
      <c r="A43" s="458" t="s">
        <v>782</v>
      </c>
      <c r="B43" s="499" t="s">
        <v>651</v>
      </c>
      <c r="C43" s="500" t="s">
        <v>21</v>
      </c>
      <c r="D43" s="501" t="s">
        <v>954</v>
      </c>
      <c r="E43" s="566">
        <v>90</v>
      </c>
      <c r="F43" s="564">
        <v>18.771428571428572</v>
      </c>
      <c r="G43" s="501" t="s">
        <v>954</v>
      </c>
      <c r="H43" s="501">
        <v>18.771428571428572</v>
      </c>
      <c r="I43" s="501">
        <v>78.84</v>
      </c>
      <c r="J43" s="501" t="s">
        <v>954</v>
      </c>
      <c r="K43" s="501">
        <v>78.84</v>
      </c>
      <c r="L43" s="689" t="s">
        <v>367</v>
      </c>
      <c r="N43" s="629"/>
      <c r="O43" s="481"/>
    </row>
    <row r="44" spans="1:15" ht="11.25" customHeight="1">
      <c r="A44" s="458" t="s">
        <v>138</v>
      </c>
      <c r="B44" s="499" t="s">
        <v>651</v>
      </c>
      <c r="C44" s="500" t="s">
        <v>652</v>
      </c>
      <c r="D44" s="501" t="s">
        <v>954</v>
      </c>
      <c r="E44" s="566">
        <v>17.5</v>
      </c>
      <c r="F44" s="564">
        <v>3.65</v>
      </c>
      <c r="G44" s="501" t="s">
        <v>954</v>
      </c>
      <c r="H44" s="501">
        <v>3.65</v>
      </c>
      <c r="I44" s="501">
        <v>15.330000000000004</v>
      </c>
      <c r="J44" s="501" t="s">
        <v>954</v>
      </c>
      <c r="K44" s="501">
        <v>15.330000000000004</v>
      </c>
      <c r="L44" s="689">
        <v>19</v>
      </c>
      <c r="N44" s="629"/>
      <c r="O44" s="481"/>
    </row>
    <row r="45" spans="1:15" ht="11.25" customHeight="1">
      <c r="A45" s="458" t="s">
        <v>612</v>
      </c>
      <c r="B45" s="499" t="s">
        <v>653</v>
      </c>
      <c r="C45" s="500" t="s">
        <v>638</v>
      </c>
      <c r="D45" s="501" t="s">
        <v>954</v>
      </c>
      <c r="E45" s="566" t="s">
        <v>954</v>
      </c>
      <c r="F45" s="564" t="s">
        <v>954</v>
      </c>
      <c r="G45" s="501" t="s">
        <v>954</v>
      </c>
      <c r="H45" s="501" t="s">
        <v>954</v>
      </c>
      <c r="I45" s="501" t="s">
        <v>954</v>
      </c>
      <c r="J45" s="501" t="s">
        <v>954</v>
      </c>
      <c r="K45" s="501" t="s">
        <v>954</v>
      </c>
      <c r="L45" s="689" t="s">
        <v>367</v>
      </c>
      <c r="N45" s="629"/>
      <c r="O45" s="481"/>
    </row>
    <row r="46" spans="1:15" ht="11.25" customHeight="1">
      <c r="A46" s="458" t="s">
        <v>779</v>
      </c>
      <c r="B46" s="499" t="s">
        <v>653</v>
      </c>
      <c r="C46" s="500" t="s">
        <v>638</v>
      </c>
      <c r="D46" s="501" t="s">
        <v>954</v>
      </c>
      <c r="E46" s="566" t="s">
        <v>954</v>
      </c>
      <c r="F46" s="564" t="s">
        <v>954</v>
      </c>
      <c r="G46" s="501" t="s">
        <v>954</v>
      </c>
      <c r="H46" s="501" t="s">
        <v>954</v>
      </c>
      <c r="I46" s="501" t="s">
        <v>954</v>
      </c>
      <c r="J46" s="501" t="s">
        <v>954</v>
      </c>
      <c r="K46" s="501" t="s">
        <v>954</v>
      </c>
      <c r="L46" s="689" t="s">
        <v>367</v>
      </c>
      <c r="N46" s="629"/>
      <c r="O46" s="481"/>
    </row>
    <row r="47" spans="1:15" ht="11.25" customHeight="1">
      <c r="A47" s="458" t="s">
        <v>780</v>
      </c>
      <c r="B47" s="499" t="s">
        <v>653</v>
      </c>
      <c r="C47" s="500" t="s">
        <v>638</v>
      </c>
      <c r="D47" s="501" t="s">
        <v>954</v>
      </c>
      <c r="E47" s="566" t="s">
        <v>954</v>
      </c>
      <c r="F47" s="564" t="s">
        <v>954</v>
      </c>
      <c r="G47" s="501" t="s">
        <v>954</v>
      </c>
      <c r="H47" s="501" t="s">
        <v>954</v>
      </c>
      <c r="I47" s="501" t="s">
        <v>954</v>
      </c>
      <c r="J47" s="501" t="s">
        <v>954</v>
      </c>
      <c r="K47" s="501" t="s">
        <v>954</v>
      </c>
      <c r="L47" s="689" t="s">
        <v>367</v>
      </c>
      <c r="N47" s="629"/>
      <c r="O47" s="481"/>
    </row>
    <row r="48" spans="1:15" ht="11.25" customHeight="1">
      <c r="A48" s="458" t="s">
        <v>139</v>
      </c>
      <c r="B48" s="499" t="s">
        <v>653</v>
      </c>
      <c r="C48" s="500" t="s">
        <v>638</v>
      </c>
      <c r="D48" s="501" t="s">
        <v>954</v>
      </c>
      <c r="E48" s="566" t="s">
        <v>954</v>
      </c>
      <c r="F48" s="564" t="s">
        <v>954</v>
      </c>
      <c r="G48" s="501" t="s">
        <v>954</v>
      </c>
      <c r="H48" s="501" t="s">
        <v>954</v>
      </c>
      <c r="I48" s="501" t="s">
        <v>954</v>
      </c>
      <c r="J48" s="501" t="s">
        <v>954</v>
      </c>
      <c r="K48" s="501" t="s">
        <v>954</v>
      </c>
      <c r="L48" s="689" t="s">
        <v>367</v>
      </c>
      <c r="N48" s="629"/>
      <c r="O48" s="481"/>
    </row>
    <row r="49" spans="1:15" ht="11.25" customHeight="1">
      <c r="A49" s="458" t="s">
        <v>140</v>
      </c>
      <c r="B49" s="499" t="s">
        <v>653</v>
      </c>
      <c r="C49" s="500" t="s">
        <v>638</v>
      </c>
      <c r="D49" s="501" t="s">
        <v>954</v>
      </c>
      <c r="E49" s="566" t="s">
        <v>954</v>
      </c>
      <c r="F49" s="564" t="s">
        <v>954</v>
      </c>
      <c r="G49" s="501" t="s">
        <v>954</v>
      </c>
      <c r="H49" s="501" t="s">
        <v>954</v>
      </c>
      <c r="I49" s="501" t="s">
        <v>954</v>
      </c>
      <c r="J49" s="501" t="s">
        <v>954</v>
      </c>
      <c r="K49" s="501" t="s">
        <v>954</v>
      </c>
      <c r="L49" s="689" t="s">
        <v>367</v>
      </c>
      <c r="N49" s="629"/>
      <c r="O49" s="481"/>
    </row>
    <row r="50" spans="1:15" ht="11.25" customHeight="1">
      <c r="A50" s="458" t="s">
        <v>141</v>
      </c>
      <c r="B50" s="499" t="s">
        <v>653</v>
      </c>
      <c r="C50" s="500" t="s">
        <v>638</v>
      </c>
      <c r="D50" s="501" t="s">
        <v>954</v>
      </c>
      <c r="E50" s="566" t="s">
        <v>954</v>
      </c>
      <c r="F50" s="564" t="s">
        <v>954</v>
      </c>
      <c r="G50" s="501" t="s">
        <v>954</v>
      </c>
      <c r="H50" s="501" t="s">
        <v>954</v>
      </c>
      <c r="I50" s="501" t="s">
        <v>954</v>
      </c>
      <c r="J50" s="501" t="s">
        <v>954</v>
      </c>
      <c r="K50" s="501" t="s">
        <v>954</v>
      </c>
      <c r="L50" s="689" t="s">
        <v>367</v>
      </c>
      <c r="N50" s="629"/>
      <c r="O50" s="481"/>
    </row>
    <row r="51" spans="1:15" ht="11.25" customHeight="1">
      <c r="A51" s="458" t="s">
        <v>142</v>
      </c>
      <c r="B51" s="499" t="s">
        <v>651</v>
      </c>
      <c r="C51" s="500" t="s">
        <v>638</v>
      </c>
      <c r="D51" s="501" t="s">
        <v>954</v>
      </c>
      <c r="E51" s="566">
        <v>0.8</v>
      </c>
      <c r="F51" s="564">
        <v>0.16685714285714287</v>
      </c>
      <c r="G51" s="501" t="s">
        <v>954</v>
      </c>
      <c r="H51" s="501">
        <v>0.16685714285714287</v>
      </c>
      <c r="I51" s="501">
        <v>0.7008000000000002</v>
      </c>
      <c r="J51" s="501" t="s">
        <v>954</v>
      </c>
      <c r="K51" s="501">
        <v>0.7008000000000002</v>
      </c>
      <c r="L51" s="689">
        <v>652</v>
      </c>
      <c r="N51" s="629"/>
      <c r="O51" s="481"/>
    </row>
    <row r="52" spans="1:15" ht="11.25" customHeight="1">
      <c r="A52" s="462" t="s">
        <v>96</v>
      </c>
      <c r="B52" s="499" t="s">
        <v>653</v>
      </c>
      <c r="C52" s="500" t="s">
        <v>638</v>
      </c>
      <c r="D52" s="501" t="s">
        <v>954</v>
      </c>
      <c r="E52" s="566" t="s">
        <v>954</v>
      </c>
      <c r="F52" s="564" t="s">
        <v>954</v>
      </c>
      <c r="G52" s="501" t="s">
        <v>954</v>
      </c>
      <c r="H52" s="501" t="s">
        <v>954</v>
      </c>
      <c r="I52" s="501" t="s">
        <v>954</v>
      </c>
      <c r="J52" s="501" t="s">
        <v>954</v>
      </c>
      <c r="K52" s="501" t="s">
        <v>954</v>
      </c>
      <c r="L52" s="689" t="s">
        <v>367</v>
      </c>
      <c r="N52" s="629"/>
      <c r="O52" s="481"/>
    </row>
    <row r="53" spans="1:15" ht="11.25" customHeight="1">
      <c r="A53" s="458" t="s">
        <v>97</v>
      </c>
      <c r="B53" s="499" t="s">
        <v>653</v>
      </c>
      <c r="C53" s="500" t="s">
        <v>652</v>
      </c>
      <c r="D53" s="501" t="s">
        <v>954</v>
      </c>
      <c r="E53" s="566" t="s">
        <v>954</v>
      </c>
      <c r="F53" s="564" t="s">
        <v>954</v>
      </c>
      <c r="G53" s="501" t="s">
        <v>954</v>
      </c>
      <c r="H53" s="501" t="s">
        <v>954</v>
      </c>
      <c r="I53" s="501" t="s">
        <v>954</v>
      </c>
      <c r="J53" s="501" t="s">
        <v>954</v>
      </c>
      <c r="K53" s="501" t="s">
        <v>954</v>
      </c>
      <c r="L53" s="689" t="s">
        <v>367</v>
      </c>
      <c r="N53" s="629"/>
      <c r="O53" s="481"/>
    </row>
    <row r="54" spans="1:15" ht="11.25" customHeight="1">
      <c r="A54" s="458" t="s">
        <v>143</v>
      </c>
      <c r="B54" s="499" t="s">
        <v>653</v>
      </c>
      <c r="C54" s="500" t="s">
        <v>638</v>
      </c>
      <c r="D54" s="501" t="s">
        <v>954</v>
      </c>
      <c r="E54" s="566" t="s">
        <v>954</v>
      </c>
      <c r="F54" s="564" t="s">
        <v>954</v>
      </c>
      <c r="G54" s="501" t="s">
        <v>954</v>
      </c>
      <c r="H54" s="501" t="s">
        <v>954</v>
      </c>
      <c r="I54" s="501" t="s">
        <v>954</v>
      </c>
      <c r="J54" s="501" t="s">
        <v>954</v>
      </c>
      <c r="K54" s="501" t="s">
        <v>954</v>
      </c>
      <c r="L54" s="689" t="s">
        <v>367</v>
      </c>
      <c r="N54" s="629"/>
      <c r="O54" s="481"/>
    </row>
    <row r="55" spans="1:15" ht="11.25" customHeight="1">
      <c r="A55" s="458" t="s">
        <v>381</v>
      </c>
      <c r="B55" s="499" t="s">
        <v>651</v>
      </c>
      <c r="C55" s="500" t="s">
        <v>652</v>
      </c>
      <c r="D55" s="501">
        <v>6.0000000000000001E-3</v>
      </c>
      <c r="E55" s="566">
        <v>0.2</v>
      </c>
      <c r="F55" s="564">
        <v>1.6898148148148143E-4</v>
      </c>
      <c r="G55" s="501">
        <v>1.6898148148148143E-4</v>
      </c>
      <c r="H55" s="501">
        <v>4.1714285714285718E-2</v>
      </c>
      <c r="I55" s="501">
        <v>2.0439999999999998E-3</v>
      </c>
      <c r="J55" s="501">
        <v>2.0439999999999998E-3</v>
      </c>
      <c r="K55" s="501">
        <v>0.17520000000000005</v>
      </c>
      <c r="L55" s="689" t="s">
        <v>367</v>
      </c>
      <c r="N55" s="629"/>
      <c r="O55" s="481"/>
    </row>
    <row r="56" spans="1:15" ht="11.25" customHeight="1">
      <c r="A56" s="458" t="s">
        <v>144</v>
      </c>
      <c r="B56" s="499" t="s">
        <v>651</v>
      </c>
      <c r="C56" s="500" t="s">
        <v>638</v>
      </c>
      <c r="D56" s="501" t="s">
        <v>954</v>
      </c>
      <c r="E56" s="566">
        <v>70</v>
      </c>
      <c r="F56" s="564">
        <v>14.6</v>
      </c>
      <c r="G56" s="501" t="s">
        <v>954</v>
      </c>
      <c r="H56" s="501">
        <v>14.6</v>
      </c>
      <c r="I56" s="501">
        <v>61.320000000000014</v>
      </c>
      <c r="J56" s="501" t="s">
        <v>954</v>
      </c>
      <c r="K56" s="501">
        <v>61.320000000000014</v>
      </c>
      <c r="L56" s="689" t="s">
        <v>367</v>
      </c>
      <c r="N56" s="629"/>
      <c r="O56" s="481"/>
    </row>
    <row r="57" spans="1:15" ht="11.25" customHeight="1">
      <c r="A57" s="458" t="s">
        <v>487</v>
      </c>
      <c r="B57" s="499" t="s">
        <v>651</v>
      </c>
      <c r="C57" s="500" t="s">
        <v>638</v>
      </c>
      <c r="D57" s="501">
        <v>5.9999999999999995E-4</v>
      </c>
      <c r="E57" s="566">
        <v>9</v>
      </c>
      <c r="F57" s="564">
        <v>4.679487179487179E-3</v>
      </c>
      <c r="G57" s="501">
        <v>4.679487179487179E-3</v>
      </c>
      <c r="H57" s="501">
        <v>1.8771428571428572</v>
      </c>
      <c r="I57" s="501">
        <v>2.044E-2</v>
      </c>
      <c r="J57" s="501">
        <v>2.044E-2</v>
      </c>
      <c r="K57" s="501">
        <v>7.8840000000000012</v>
      </c>
      <c r="L57" s="689">
        <v>200000</v>
      </c>
      <c r="N57" s="629"/>
      <c r="O57" s="481"/>
    </row>
    <row r="58" spans="1:15" ht="11.25" customHeight="1">
      <c r="A58" s="458" t="s">
        <v>145</v>
      </c>
      <c r="B58" s="499" t="s">
        <v>651</v>
      </c>
      <c r="C58" s="500" t="s">
        <v>652</v>
      </c>
      <c r="D58" s="501" t="s">
        <v>954</v>
      </c>
      <c r="E58" s="566">
        <v>200</v>
      </c>
      <c r="F58" s="564">
        <v>41.714285714285715</v>
      </c>
      <c r="G58" s="501" t="s">
        <v>954</v>
      </c>
      <c r="H58" s="501">
        <v>41.714285714285715</v>
      </c>
      <c r="I58" s="501">
        <v>175.20000000000002</v>
      </c>
      <c r="J58" s="501" t="s">
        <v>954</v>
      </c>
      <c r="K58" s="501">
        <v>175.20000000000002</v>
      </c>
      <c r="L58" s="689">
        <v>305000</v>
      </c>
      <c r="N58" s="629"/>
      <c r="O58" s="481"/>
    </row>
    <row r="59" spans="1:15" ht="11.25" customHeight="1">
      <c r="A59" s="458" t="s">
        <v>225</v>
      </c>
      <c r="B59" s="499" t="s">
        <v>651</v>
      </c>
      <c r="C59" s="500" t="s">
        <v>652</v>
      </c>
      <c r="D59" s="501" t="s">
        <v>954</v>
      </c>
      <c r="E59" s="566">
        <v>120</v>
      </c>
      <c r="F59" s="564">
        <v>25.028571428571428</v>
      </c>
      <c r="G59" s="501" t="s">
        <v>954</v>
      </c>
      <c r="H59" s="501">
        <v>25.028571428571428</v>
      </c>
      <c r="I59" s="501">
        <v>105.12000000000002</v>
      </c>
      <c r="J59" s="501" t="s">
        <v>954</v>
      </c>
      <c r="K59" s="501">
        <v>105.12000000000002</v>
      </c>
      <c r="L59" s="689" t="s">
        <v>367</v>
      </c>
      <c r="N59" s="629"/>
      <c r="O59" s="481"/>
    </row>
    <row r="60" spans="1:15" ht="11.25" customHeight="1">
      <c r="A60" s="458" t="s">
        <v>226</v>
      </c>
      <c r="B60" s="499" t="s">
        <v>651</v>
      </c>
      <c r="C60" s="500" t="s">
        <v>638</v>
      </c>
      <c r="D60" s="501">
        <v>1.1E-5</v>
      </c>
      <c r="E60" s="566">
        <v>800</v>
      </c>
      <c r="F60" s="564">
        <v>0.25524475524475521</v>
      </c>
      <c r="G60" s="501">
        <v>0.25524475524475521</v>
      </c>
      <c r="H60" s="501">
        <v>166.85714285714286</v>
      </c>
      <c r="I60" s="501">
        <v>1.1149090909090911</v>
      </c>
      <c r="J60" s="501">
        <v>1.1149090909090911</v>
      </c>
      <c r="K60" s="501">
        <v>700.80000000000007</v>
      </c>
      <c r="L60" s="689">
        <v>1100</v>
      </c>
      <c r="N60" s="629"/>
      <c r="O60" s="481"/>
    </row>
    <row r="61" spans="1:15" ht="11.25" customHeight="1">
      <c r="A61" s="458" t="s">
        <v>227</v>
      </c>
      <c r="B61" s="499" t="s">
        <v>653</v>
      </c>
      <c r="C61" s="500" t="s">
        <v>638</v>
      </c>
      <c r="D61" s="501" t="s">
        <v>954</v>
      </c>
      <c r="E61" s="566" t="s">
        <v>954</v>
      </c>
      <c r="F61" s="564" t="s">
        <v>954</v>
      </c>
      <c r="G61" s="501" t="s">
        <v>954</v>
      </c>
      <c r="H61" s="501" t="s">
        <v>954</v>
      </c>
      <c r="I61" s="501" t="s">
        <v>954</v>
      </c>
      <c r="J61" s="501" t="s">
        <v>954</v>
      </c>
      <c r="K61" s="501" t="s">
        <v>954</v>
      </c>
      <c r="L61" s="689" t="s">
        <v>367</v>
      </c>
      <c r="N61" s="629"/>
      <c r="O61" s="481"/>
    </row>
    <row r="62" spans="1:15" ht="11.25" customHeight="1">
      <c r="A62" s="458" t="s">
        <v>361</v>
      </c>
      <c r="B62" s="499" t="s">
        <v>653</v>
      </c>
      <c r="C62" s="500" t="s">
        <v>638</v>
      </c>
      <c r="D62" s="501" t="s">
        <v>954</v>
      </c>
      <c r="E62" s="566" t="s">
        <v>954</v>
      </c>
      <c r="F62" s="564" t="s">
        <v>954</v>
      </c>
      <c r="G62" s="501" t="s">
        <v>954</v>
      </c>
      <c r="H62" s="501" t="s">
        <v>954</v>
      </c>
      <c r="I62" s="501" t="s">
        <v>954</v>
      </c>
      <c r="J62" s="501" t="s">
        <v>954</v>
      </c>
      <c r="K62" s="501" t="s">
        <v>954</v>
      </c>
      <c r="L62" s="689" t="s">
        <v>367</v>
      </c>
      <c r="N62" s="629"/>
      <c r="O62" s="481"/>
    </row>
    <row r="63" spans="1:15" ht="11.25" customHeight="1">
      <c r="A63" s="458" t="s">
        <v>362</v>
      </c>
      <c r="B63" s="499" t="s">
        <v>1405</v>
      </c>
      <c r="C63" s="500" t="s">
        <v>638</v>
      </c>
      <c r="D63" s="501">
        <v>9.7E-5</v>
      </c>
      <c r="E63" s="566" t="s">
        <v>954</v>
      </c>
      <c r="F63" s="564">
        <v>2.8945281522601105E-2</v>
      </c>
      <c r="G63" s="501">
        <v>2.8945281522601105E-2</v>
      </c>
      <c r="H63" s="501" t="s">
        <v>954</v>
      </c>
      <c r="I63" s="501">
        <v>0.12643298969072164</v>
      </c>
      <c r="J63" s="501">
        <v>0.12643298969072164</v>
      </c>
      <c r="K63" s="501" t="s">
        <v>954</v>
      </c>
      <c r="L63" s="689" t="s">
        <v>367</v>
      </c>
      <c r="N63" s="629"/>
      <c r="O63" s="481"/>
    </row>
    <row r="64" spans="1:15" ht="11.25" customHeight="1">
      <c r="A64" s="458" t="s">
        <v>363</v>
      </c>
      <c r="B64" s="499" t="s">
        <v>653</v>
      </c>
      <c r="C64" s="500" t="s">
        <v>638</v>
      </c>
      <c r="D64" s="501" t="s">
        <v>954</v>
      </c>
      <c r="E64" s="566" t="s">
        <v>954</v>
      </c>
      <c r="F64" s="564" t="s">
        <v>954</v>
      </c>
      <c r="G64" s="501" t="s">
        <v>954</v>
      </c>
      <c r="H64" s="501" t="s">
        <v>954</v>
      </c>
      <c r="I64" s="501" t="s">
        <v>954</v>
      </c>
      <c r="J64" s="501" t="s">
        <v>954</v>
      </c>
      <c r="K64" s="501" t="s">
        <v>954</v>
      </c>
      <c r="L64" s="689" t="s">
        <v>367</v>
      </c>
      <c r="N64" s="629"/>
      <c r="O64" s="481"/>
    </row>
    <row r="65" spans="1:15" ht="11.25" customHeight="1">
      <c r="A65" s="458" t="s">
        <v>234</v>
      </c>
      <c r="B65" s="499" t="s">
        <v>651</v>
      </c>
      <c r="C65" s="500" t="s">
        <v>652</v>
      </c>
      <c r="D65" s="501">
        <v>1.5999999999999999E-6</v>
      </c>
      <c r="E65" s="566">
        <v>700.00000000000011</v>
      </c>
      <c r="F65" s="564">
        <v>1.7548076923076921</v>
      </c>
      <c r="G65" s="501">
        <v>1.7548076923076921</v>
      </c>
      <c r="H65" s="501">
        <v>146.00000000000003</v>
      </c>
      <c r="I65" s="501">
        <v>7.665</v>
      </c>
      <c r="J65" s="501">
        <v>7.665</v>
      </c>
      <c r="K65" s="501">
        <v>613.20000000000016</v>
      </c>
      <c r="L65" s="689">
        <v>125000</v>
      </c>
      <c r="N65" s="629"/>
      <c r="O65" s="481"/>
    </row>
    <row r="66" spans="1:15" ht="11.25" customHeight="1">
      <c r="A66" s="458" t="s">
        <v>235</v>
      </c>
      <c r="B66" s="499" t="s">
        <v>651</v>
      </c>
      <c r="C66" s="500" t="s">
        <v>652</v>
      </c>
      <c r="D66" s="501">
        <v>2.5999999999999998E-5</v>
      </c>
      <c r="E66" s="566">
        <v>7</v>
      </c>
      <c r="F66" s="564">
        <v>0.10798816568047337</v>
      </c>
      <c r="G66" s="501">
        <v>0.10798816568047337</v>
      </c>
      <c r="H66" s="501">
        <v>1.46</v>
      </c>
      <c r="I66" s="501">
        <v>0.47169230769230774</v>
      </c>
      <c r="J66" s="501">
        <v>0.47169230769230774</v>
      </c>
      <c r="K66" s="501">
        <v>6.1320000000000014</v>
      </c>
      <c r="L66" s="689">
        <v>2424</v>
      </c>
      <c r="N66" s="629"/>
      <c r="O66" s="481"/>
    </row>
    <row r="67" spans="1:15" ht="11.25" customHeight="1">
      <c r="A67" s="458" t="s">
        <v>294</v>
      </c>
      <c r="B67" s="499" t="s">
        <v>651</v>
      </c>
      <c r="C67" s="500" t="s">
        <v>652</v>
      </c>
      <c r="D67" s="501" t="s">
        <v>954</v>
      </c>
      <c r="E67" s="566">
        <v>200</v>
      </c>
      <c r="F67" s="564">
        <v>41.714285714285715</v>
      </c>
      <c r="G67" s="501" t="s">
        <v>954</v>
      </c>
      <c r="H67" s="501">
        <v>41.714285714285715</v>
      </c>
      <c r="I67" s="501">
        <v>175.20000000000002</v>
      </c>
      <c r="J67" s="501" t="s">
        <v>954</v>
      </c>
      <c r="K67" s="501">
        <v>175.20000000000002</v>
      </c>
      <c r="L67" s="689">
        <v>2000000</v>
      </c>
      <c r="N67" s="629"/>
      <c r="O67" s="481"/>
    </row>
    <row r="68" spans="1:15" ht="11.25" customHeight="1">
      <c r="A68" s="458" t="s">
        <v>295</v>
      </c>
      <c r="B68" s="499" t="s">
        <v>651</v>
      </c>
      <c r="C68" s="500" t="s">
        <v>652</v>
      </c>
      <c r="D68" s="501" t="s">
        <v>954</v>
      </c>
      <c r="E68" s="566">
        <v>40</v>
      </c>
      <c r="F68" s="564">
        <v>8.3428571428571434</v>
      </c>
      <c r="G68" s="501" t="s">
        <v>954</v>
      </c>
      <c r="H68" s="501">
        <v>8.3428571428571434</v>
      </c>
      <c r="I68" s="501">
        <v>35.040000000000006</v>
      </c>
      <c r="J68" s="501" t="s">
        <v>954</v>
      </c>
      <c r="K68" s="501">
        <v>35.040000000000006</v>
      </c>
      <c r="L68" s="689" t="s">
        <v>367</v>
      </c>
      <c r="N68" s="629"/>
      <c r="O68" s="481"/>
    </row>
    <row r="69" spans="1:15" ht="11.25" customHeight="1">
      <c r="A69" s="458" t="s">
        <v>228</v>
      </c>
      <c r="B69" s="499" t="s">
        <v>651</v>
      </c>
      <c r="C69" s="500" t="s">
        <v>652</v>
      </c>
      <c r="D69" s="501" t="s">
        <v>954</v>
      </c>
      <c r="E69" s="566">
        <v>40</v>
      </c>
      <c r="F69" s="564">
        <v>8.3428571428571434</v>
      </c>
      <c r="G69" s="501" t="s">
        <v>954</v>
      </c>
      <c r="H69" s="501">
        <v>8.3428571428571434</v>
      </c>
      <c r="I69" s="501">
        <v>35.040000000000006</v>
      </c>
      <c r="J69" s="501" t="s">
        <v>954</v>
      </c>
      <c r="K69" s="501">
        <v>35.040000000000006</v>
      </c>
      <c r="L69" s="689">
        <v>67320</v>
      </c>
      <c r="N69" s="629"/>
      <c r="O69" s="481"/>
    </row>
    <row r="70" spans="1:15" ht="11.25" customHeight="1">
      <c r="A70" s="458" t="s">
        <v>942</v>
      </c>
      <c r="B70" s="499" t="s">
        <v>653</v>
      </c>
      <c r="C70" s="500" t="s">
        <v>638</v>
      </c>
      <c r="D70" s="501" t="s">
        <v>954</v>
      </c>
      <c r="E70" s="566" t="s">
        <v>954</v>
      </c>
      <c r="F70" s="564" t="s">
        <v>954</v>
      </c>
      <c r="G70" s="501" t="s">
        <v>954</v>
      </c>
      <c r="H70" s="501" t="s">
        <v>954</v>
      </c>
      <c r="I70" s="501" t="s">
        <v>954</v>
      </c>
      <c r="J70" s="501" t="s">
        <v>954</v>
      </c>
      <c r="K70" s="501" t="s">
        <v>954</v>
      </c>
      <c r="L70" s="689">
        <v>1400</v>
      </c>
      <c r="N70" s="629"/>
      <c r="O70" s="481"/>
    </row>
    <row r="71" spans="1:15" ht="11.25" customHeight="1">
      <c r="A71" s="458" t="s">
        <v>98</v>
      </c>
      <c r="B71" s="499" t="s">
        <v>653</v>
      </c>
      <c r="C71" s="500" t="s">
        <v>638</v>
      </c>
      <c r="D71" s="501" t="s">
        <v>954</v>
      </c>
      <c r="E71" s="566" t="s">
        <v>954</v>
      </c>
      <c r="F71" s="564" t="s">
        <v>954</v>
      </c>
      <c r="G71" s="501" t="s">
        <v>954</v>
      </c>
      <c r="H71" s="501" t="s">
        <v>954</v>
      </c>
      <c r="I71" s="501" t="s">
        <v>954</v>
      </c>
      <c r="J71" s="501" t="s">
        <v>954</v>
      </c>
      <c r="K71" s="501" t="s">
        <v>954</v>
      </c>
      <c r="L71" s="689" t="s">
        <v>367</v>
      </c>
      <c r="N71" s="629"/>
      <c r="O71" s="481"/>
    </row>
    <row r="72" spans="1:15" ht="11.25" customHeight="1">
      <c r="A72" s="458" t="s">
        <v>943</v>
      </c>
      <c r="B72" s="499" t="s">
        <v>651</v>
      </c>
      <c r="C72" s="500" t="s">
        <v>652</v>
      </c>
      <c r="D72" s="501">
        <v>3.7000000000000002E-6</v>
      </c>
      <c r="E72" s="566">
        <v>4</v>
      </c>
      <c r="F72" s="564">
        <v>0.75883575883575871</v>
      </c>
      <c r="G72" s="501">
        <v>0.75883575883575871</v>
      </c>
      <c r="H72" s="501">
        <v>0.8342857142857143</v>
      </c>
      <c r="I72" s="501">
        <v>3.3145945945945945</v>
      </c>
      <c r="J72" s="501">
        <v>3.3145945945945945</v>
      </c>
      <c r="K72" s="501">
        <v>3.5040000000000004</v>
      </c>
      <c r="L72" s="689">
        <v>1190</v>
      </c>
      <c r="N72" s="629"/>
      <c r="O72" s="481"/>
    </row>
    <row r="73" spans="1:15" ht="11.25" customHeight="1">
      <c r="A73" s="458" t="s">
        <v>296</v>
      </c>
      <c r="B73" s="499" t="s">
        <v>651</v>
      </c>
      <c r="C73" s="500" t="s">
        <v>652</v>
      </c>
      <c r="D73" s="501">
        <v>3.9999999999999998E-6</v>
      </c>
      <c r="E73" s="566">
        <v>20</v>
      </c>
      <c r="F73" s="564">
        <v>0.70192307692307676</v>
      </c>
      <c r="G73" s="501">
        <v>0.70192307692307676</v>
      </c>
      <c r="H73" s="501">
        <v>4.1714285714285717</v>
      </c>
      <c r="I73" s="501">
        <v>3.0660000000000003</v>
      </c>
      <c r="J73" s="501">
        <v>3.0660000000000003</v>
      </c>
      <c r="K73" s="501">
        <v>17.520000000000003</v>
      </c>
      <c r="L73" s="689">
        <v>4160</v>
      </c>
      <c r="N73" s="629"/>
      <c r="O73" s="481"/>
    </row>
    <row r="74" spans="1:15" ht="11.25" customHeight="1">
      <c r="A74" s="458" t="s">
        <v>944</v>
      </c>
      <c r="B74" s="499" t="s">
        <v>653</v>
      </c>
      <c r="C74" s="500" t="s">
        <v>638</v>
      </c>
      <c r="D74" s="501" t="s">
        <v>954</v>
      </c>
      <c r="E74" s="566" t="s">
        <v>954</v>
      </c>
      <c r="F74" s="564" t="s">
        <v>954</v>
      </c>
      <c r="G74" s="501" t="s">
        <v>954</v>
      </c>
      <c r="H74" s="501" t="s">
        <v>954</v>
      </c>
      <c r="I74" s="501" t="s">
        <v>954</v>
      </c>
      <c r="J74" s="501" t="s">
        <v>954</v>
      </c>
      <c r="K74" s="501" t="s">
        <v>954</v>
      </c>
      <c r="L74" s="689" t="s">
        <v>367</v>
      </c>
      <c r="N74" s="629"/>
      <c r="O74" s="481"/>
    </row>
    <row r="75" spans="1:15" ht="11.25" customHeight="1">
      <c r="A75" s="458" t="s">
        <v>945</v>
      </c>
      <c r="B75" s="499" t="s">
        <v>653</v>
      </c>
      <c r="C75" s="500" t="s">
        <v>638</v>
      </c>
      <c r="D75" s="501" t="s">
        <v>954</v>
      </c>
      <c r="E75" s="566" t="s">
        <v>954</v>
      </c>
      <c r="F75" s="564" t="s">
        <v>954</v>
      </c>
      <c r="G75" s="501" t="s">
        <v>954</v>
      </c>
      <c r="H75" s="501" t="s">
        <v>954</v>
      </c>
      <c r="I75" s="501" t="s">
        <v>954</v>
      </c>
      <c r="J75" s="501" t="s">
        <v>954</v>
      </c>
      <c r="K75" s="501" t="s">
        <v>954</v>
      </c>
      <c r="L75" s="689" t="s">
        <v>367</v>
      </c>
      <c r="N75" s="629"/>
      <c r="O75" s="481"/>
    </row>
    <row r="76" spans="1:15" ht="11.25" customHeight="1">
      <c r="A76" s="458" t="s">
        <v>947</v>
      </c>
      <c r="B76" s="499" t="s">
        <v>653</v>
      </c>
      <c r="C76" s="500" t="s">
        <v>638</v>
      </c>
      <c r="D76" s="501" t="s">
        <v>954</v>
      </c>
      <c r="E76" s="566" t="s">
        <v>954</v>
      </c>
      <c r="F76" s="564" t="s">
        <v>954</v>
      </c>
      <c r="G76" s="501" t="s">
        <v>954</v>
      </c>
      <c r="H76" s="501" t="s">
        <v>954</v>
      </c>
      <c r="I76" s="501" t="s">
        <v>954</v>
      </c>
      <c r="J76" s="501" t="s">
        <v>954</v>
      </c>
      <c r="K76" s="501" t="s">
        <v>954</v>
      </c>
      <c r="L76" s="689">
        <v>1</v>
      </c>
      <c r="N76" s="629"/>
      <c r="O76" s="481"/>
    </row>
    <row r="77" spans="1:15" ht="11.25" customHeight="1">
      <c r="A77" s="458" t="s">
        <v>946</v>
      </c>
      <c r="B77" s="499" t="s">
        <v>653</v>
      </c>
      <c r="C77" s="500" t="s">
        <v>638</v>
      </c>
      <c r="D77" s="501" t="s">
        <v>954</v>
      </c>
      <c r="E77" s="566" t="s">
        <v>954</v>
      </c>
      <c r="F77" s="564" t="s">
        <v>954</v>
      </c>
      <c r="G77" s="501" t="s">
        <v>954</v>
      </c>
      <c r="H77" s="501" t="s">
        <v>954</v>
      </c>
      <c r="I77" s="501" t="s">
        <v>954</v>
      </c>
      <c r="J77" s="501" t="s">
        <v>954</v>
      </c>
      <c r="K77" s="501" t="s">
        <v>954</v>
      </c>
      <c r="L77" s="689" t="s">
        <v>367</v>
      </c>
      <c r="N77" s="629"/>
      <c r="O77" s="481"/>
    </row>
    <row r="78" spans="1:15" ht="11.25" customHeight="1">
      <c r="A78" s="462" t="s">
        <v>99</v>
      </c>
      <c r="B78" s="499" t="s">
        <v>653</v>
      </c>
      <c r="C78" s="500" t="s">
        <v>638</v>
      </c>
      <c r="D78" s="501" t="s">
        <v>954</v>
      </c>
      <c r="E78" s="566" t="s">
        <v>954</v>
      </c>
      <c r="F78" s="564" t="s">
        <v>954</v>
      </c>
      <c r="G78" s="501" t="s">
        <v>954</v>
      </c>
      <c r="H78" s="501" t="s">
        <v>954</v>
      </c>
      <c r="I78" s="501" t="s">
        <v>954</v>
      </c>
      <c r="J78" s="501" t="s">
        <v>954</v>
      </c>
      <c r="K78" s="501" t="s">
        <v>954</v>
      </c>
      <c r="L78" s="689" t="s">
        <v>367</v>
      </c>
      <c r="N78" s="629"/>
      <c r="O78" s="481"/>
    </row>
    <row r="79" spans="1:15" ht="11.25" customHeight="1">
      <c r="A79" s="458" t="s">
        <v>297</v>
      </c>
      <c r="B79" s="499" t="s">
        <v>653</v>
      </c>
      <c r="C79" s="500" t="s">
        <v>638</v>
      </c>
      <c r="D79" s="501" t="s">
        <v>954</v>
      </c>
      <c r="E79" s="566" t="s">
        <v>954</v>
      </c>
      <c r="F79" s="564" t="s">
        <v>954</v>
      </c>
      <c r="G79" s="501" t="s">
        <v>954</v>
      </c>
      <c r="H79" s="501" t="s">
        <v>954</v>
      </c>
      <c r="I79" s="501" t="s">
        <v>954</v>
      </c>
      <c r="J79" s="501" t="s">
        <v>954</v>
      </c>
      <c r="K79" s="501" t="s">
        <v>954</v>
      </c>
      <c r="L79" s="689" t="s">
        <v>367</v>
      </c>
      <c r="N79" s="629"/>
      <c r="O79" s="481"/>
    </row>
    <row r="80" spans="1:15" ht="11.25" customHeight="1">
      <c r="A80" s="462" t="s">
        <v>100</v>
      </c>
      <c r="B80" s="499" t="s">
        <v>653</v>
      </c>
      <c r="C80" s="500" t="s">
        <v>638</v>
      </c>
      <c r="D80" s="501" t="s">
        <v>954</v>
      </c>
      <c r="E80" s="566" t="s">
        <v>954</v>
      </c>
      <c r="F80" s="564" t="s">
        <v>954</v>
      </c>
      <c r="G80" s="501" t="s">
        <v>954</v>
      </c>
      <c r="H80" s="501" t="s">
        <v>954</v>
      </c>
      <c r="I80" s="501" t="s">
        <v>954</v>
      </c>
      <c r="J80" s="501" t="s">
        <v>954</v>
      </c>
      <c r="K80" s="501" t="s">
        <v>954</v>
      </c>
      <c r="L80" s="689" t="s">
        <v>367</v>
      </c>
      <c r="N80" s="629"/>
      <c r="O80" s="481"/>
    </row>
    <row r="81" spans="1:15" ht="11.25" customHeight="1">
      <c r="A81" s="462" t="s">
        <v>101</v>
      </c>
      <c r="B81" s="499" t="s">
        <v>653</v>
      </c>
      <c r="C81" s="500" t="s">
        <v>638</v>
      </c>
      <c r="D81" s="501" t="s">
        <v>954</v>
      </c>
      <c r="E81" s="566" t="s">
        <v>954</v>
      </c>
      <c r="F81" s="564" t="s">
        <v>954</v>
      </c>
      <c r="G81" s="501" t="s">
        <v>954</v>
      </c>
      <c r="H81" s="501" t="s">
        <v>954</v>
      </c>
      <c r="I81" s="501" t="s">
        <v>954</v>
      </c>
      <c r="J81" s="501" t="s">
        <v>954</v>
      </c>
      <c r="K81" s="501" t="s">
        <v>954</v>
      </c>
      <c r="L81" s="689" t="s">
        <v>367</v>
      </c>
      <c r="N81" s="629"/>
      <c r="O81" s="481"/>
    </row>
    <row r="82" spans="1:15" ht="11.25" customHeight="1">
      <c r="A82" s="458" t="s">
        <v>382</v>
      </c>
      <c r="B82" s="499" t="s">
        <v>651</v>
      </c>
      <c r="C82" s="500" t="s">
        <v>652</v>
      </c>
      <c r="D82" s="501">
        <v>5.0000000000000004E-6</v>
      </c>
      <c r="E82" s="566">
        <v>30</v>
      </c>
      <c r="F82" s="564">
        <v>0.56153846153846143</v>
      </c>
      <c r="G82" s="501">
        <v>0.56153846153846143</v>
      </c>
      <c r="H82" s="501">
        <v>6.2571428571428571</v>
      </c>
      <c r="I82" s="501">
        <v>2.4527999999999999</v>
      </c>
      <c r="J82" s="501">
        <v>2.4527999999999999</v>
      </c>
      <c r="K82" s="501">
        <v>26.280000000000005</v>
      </c>
      <c r="L82" s="689">
        <v>612000</v>
      </c>
      <c r="N82" s="629"/>
      <c r="O82" s="481"/>
    </row>
    <row r="83" spans="1:15" ht="11.25" customHeight="1">
      <c r="A83" s="458" t="s">
        <v>594</v>
      </c>
      <c r="B83" s="499" t="s">
        <v>1405</v>
      </c>
      <c r="C83" s="500" t="s">
        <v>638</v>
      </c>
      <c r="D83" s="501">
        <v>38</v>
      </c>
      <c r="E83" s="566">
        <v>4.0000000000000003E-5</v>
      </c>
      <c r="F83" s="564">
        <v>7.3886639676113362E-6</v>
      </c>
      <c r="G83" s="501">
        <v>7.3886639676113362E-6</v>
      </c>
      <c r="H83" s="501">
        <v>4.1714285714285721E-5</v>
      </c>
      <c r="I83" s="501">
        <v>3.2273684210526324E-5</v>
      </c>
      <c r="J83" s="501">
        <v>3.2273684210526324E-5</v>
      </c>
      <c r="K83" s="501">
        <v>1.7520000000000003E-4</v>
      </c>
      <c r="L83" s="689" t="s">
        <v>367</v>
      </c>
      <c r="N83" s="629"/>
      <c r="O83" s="481"/>
    </row>
    <row r="84" spans="1:15" ht="11.25" customHeight="1">
      <c r="A84" s="458" t="s">
        <v>102</v>
      </c>
      <c r="B84" s="499" t="s">
        <v>653</v>
      </c>
      <c r="C84" s="500" t="s">
        <v>638</v>
      </c>
      <c r="D84" s="501" t="s">
        <v>954</v>
      </c>
      <c r="E84" s="566" t="s">
        <v>954</v>
      </c>
      <c r="F84" s="564" t="s">
        <v>954</v>
      </c>
      <c r="G84" s="501" t="s">
        <v>954</v>
      </c>
      <c r="H84" s="501" t="s">
        <v>954</v>
      </c>
      <c r="I84" s="501" t="s">
        <v>954</v>
      </c>
      <c r="J84" s="501" t="s">
        <v>954</v>
      </c>
      <c r="K84" s="501" t="s">
        <v>954</v>
      </c>
      <c r="L84" s="689" t="s">
        <v>367</v>
      </c>
      <c r="N84" s="629"/>
      <c r="O84" s="481"/>
    </row>
    <row r="85" spans="1:15" ht="11.25" customHeight="1">
      <c r="A85" s="458" t="s">
        <v>370</v>
      </c>
      <c r="B85" s="499" t="s">
        <v>1405</v>
      </c>
      <c r="C85" s="500" t="s">
        <v>638</v>
      </c>
      <c r="D85" s="501" t="s">
        <v>954</v>
      </c>
      <c r="E85" s="566" t="s">
        <v>954</v>
      </c>
      <c r="F85" s="564" t="s">
        <v>954</v>
      </c>
      <c r="G85" s="501" t="s">
        <v>954</v>
      </c>
      <c r="H85" s="501" t="s">
        <v>954</v>
      </c>
      <c r="I85" s="501" t="s">
        <v>954</v>
      </c>
      <c r="J85" s="501" t="s">
        <v>954</v>
      </c>
      <c r="K85" s="501" t="s">
        <v>954</v>
      </c>
      <c r="L85" s="689" t="s">
        <v>367</v>
      </c>
      <c r="N85" s="629"/>
      <c r="O85" s="481"/>
    </row>
    <row r="86" spans="1:15" ht="11.25" customHeight="1">
      <c r="A86" s="458" t="s">
        <v>337</v>
      </c>
      <c r="B86" s="499" t="s">
        <v>653</v>
      </c>
      <c r="C86" s="500" t="s">
        <v>638</v>
      </c>
      <c r="D86" s="501" t="s">
        <v>954</v>
      </c>
      <c r="E86" s="566" t="s">
        <v>954</v>
      </c>
      <c r="F86" s="564" t="s">
        <v>954</v>
      </c>
      <c r="G86" s="501" t="s">
        <v>954</v>
      </c>
      <c r="H86" s="501" t="s">
        <v>954</v>
      </c>
      <c r="I86" s="501" t="s">
        <v>954</v>
      </c>
      <c r="J86" s="501" t="s">
        <v>954</v>
      </c>
      <c r="K86" s="501" t="s">
        <v>954</v>
      </c>
      <c r="L86" s="689" t="s">
        <v>367</v>
      </c>
      <c r="N86" s="629"/>
      <c r="O86" s="481"/>
    </row>
    <row r="87" spans="1:15" ht="11.25" customHeight="1">
      <c r="A87" s="458" t="s">
        <v>28</v>
      </c>
      <c r="B87" s="499" t="s">
        <v>651</v>
      </c>
      <c r="C87" s="500" t="s">
        <v>652</v>
      </c>
      <c r="D87" s="501" t="s">
        <v>954</v>
      </c>
      <c r="E87" s="566" t="s">
        <v>954</v>
      </c>
      <c r="F87" s="564" t="s">
        <v>954</v>
      </c>
      <c r="G87" s="501" t="s">
        <v>954</v>
      </c>
      <c r="H87" s="501" t="s">
        <v>954</v>
      </c>
      <c r="I87" s="501" t="s">
        <v>954</v>
      </c>
      <c r="J87" s="501" t="s">
        <v>954</v>
      </c>
      <c r="K87" s="501" t="s">
        <v>954</v>
      </c>
      <c r="L87" s="689">
        <v>19200</v>
      </c>
      <c r="N87" s="629"/>
      <c r="O87" s="481"/>
    </row>
    <row r="88" spans="1:15" ht="11.25" customHeight="1">
      <c r="A88" s="458" t="s">
        <v>338</v>
      </c>
      <c r="B88" s="499" t="s">
        <v>651</v>
      </c>
      <c r="C88" s="500" t="s">
        <v>652</v>
      </c>
      <c r="D88" s="501">
        <v>2.5000000000000002E-6</v>
      </c>
      <c r="E88" s="566">
        <v>1000</v>
      </c>
      <c r="F88" s="564">
        <v>11.230769230769232</v>
      </c>
      <c r="G88" s="501">
        <v>11.230769230769232</v>
      </c>
      <c r="H88" s="501">
        <v>208.57142857142858</v>
      </c>
      <c r="I88" s="501">
        <v>49.056000000000012</v>
      </c>
      <c r="J88" s="501">
        <v>49.056000000000012</v>
      </c>
      <c r="K88" s="501">
        <v>876.00000000000011</v>
      </c>
      <c r="L88" s="689">
        <v>2000</v>
      </c>
      <c r="N88" s="629"/>
      <c r="O88" s="481"/>
    </row>
    <row r="89" spans="1:15" ht="11.25" customHeight="1">
      <c r="A89" s="458" t="s">
        <v>339</v>
      </c>
      <c r="B89" s="499" t="s">
        <v>653</v>
      </c>
      <c r="C89" s="500" t="s">
        <v>638</v>
      </c>
      <c r="D89" s="501" t="s">
        <v>954</v>
      </c>
      <c r="E89" s="566" t="s">
        <v>954</v>
      </c>
      <c r="F89" s="564" t="s">
        <v>954</v>
      </c>
      <c r="G89" s="501" t="s">
        <v>954</v>
      </c>
      <c r="H89" s="501" t="s">
        <v>954</v>
      </c>
      <c r="I89" s="501" t="s">
        <v>954</v>
      </c>
      <c r="J89" s="501" t="s">
        <v>954</v>
      </c>
      <c r="K89" s="501" t="s">
        <v>954</v>
      </c>
      <c r="L89" s="689" t="s">
        <v>367</v>
      </c>
      <c r="N89" s="629"/>
      <c r="O89" s="481"/>
    </row>
    <row r="90" spans="1:15" ht="11.25" customHeight="1">
      <c r="A90" s="458" t="s">
        <v>340</v>
      </c>
      <c r="B90" s="499" t="s">
        <v>651</v>
      </c>
      <c r="C90" s="500" t="s">
        <v>638</v>
      </c>
      <c r="D90" s="501" t="s">
        <v>954</v>
      </c>
      <c r="E90" s="566">
        <v>140</v>
      </c>
      <c r="F90" s="564">
        <v>29.2</v>
      </c>
      <c r="G90" s="501" t="s">
        <v>954</v>
      </c>
      <c r="H90" s="501">
        <v>29.2</v>
      </c>
      <c r="I90" s="501">
        <v>122.64000000000003</v>
      </c>
      <c r="J90" s="501" t="s">
        <v>954</v>
      </c>
      <c r="K90" s="501">
        <v>122.64000000000003</v>
      </c>
      <c r="L90" s="689" t="s">
        <v>367</v>
      </c>
      <c r="N90" s="629"/>
      <c r="O90" s="481"/>
    </row>
    <row r="91" spans="1:15" ht="11.25" customHeight="1">
      <c r="A91" s="458" t="s">
        <v>103</v>
      </c>
      <c r="B91" s="499" t="s">
        <v>653</v>
      </c>
      <c r="C91" s="500" t="s">
        <v>638</v>
      </c>
      <c r="D91" s="501" t="s">
        <v>954</v>
      </c>
      <c r="E91" s="566" t="s">
        <v>954</v>
      </c>
      <c r="F91" s="564" t="s">
        <v>954</v>
      </c>
      <c r="G91" s="501" t="s">
        <v>954</v>
      </c>
      <c r="H91" s="501" t="s">
        <v>954</v>
      </c>
      <c r="I91" s="501" t="s">
        <v>954</v>
      </c>
      <c r="J91" s="501" t="s">
        <v>954</v>
      </c>
      <c r="K91" s="501" t="s">
        <v>954</v>
      </c>
      <c r="L91" s="689" t="s">
        <v>367</v>
      </c>
      <c r="N91" s="629"/>
      <c r="O91" s="481"/>
    </row>
    <row r="92" spans="1:15" ht="11.25" customHeight="1">
      <c r="A92" s="458" t="s">
        <v>341</v>
      </c>
      <c r="B92" s="499" t="s">
        <v>1405</v>
      </c>
      <c r="C92" s="500" t="s">
        <v>638</v>
      </c>
      <c r="D92" s="501">
        <v>1.2999999999999999E-3</v>
      </c>
      <c r="E92" s="566" t="s">
        <v>954</v>
      </c>
      <c r="F92" s="564">
        <v>2.1597633136094679E-2</v>
      </c>
      <c r="G92" s="501">
        <v>2.1597633136094679E-2</v>
      </c>
      <c r="H92" s="501" t="s">
        <v>954</v>
      </c>
      <c r="I92" s="501">
        <v>9.4338461538461593E-2</v>
      </c>
      <c r="J92" s="501">
        <v>9.4338461538461593E-2</v>
      </c>
      <c r="K92" s="501" t="s">
        <v>954</v>
      </c>
      <c r="L92" s="689">
        <v>300</v>
      </c>
      <c r="N92" s="629"/>
      <c r="O92" s="481"/>
    </row>
    <row r="93" spans="1:15" ht="11.25" customHeight="1">
      <c r="A93" s="458" t="s">
        <v>342</v>
      </c>
      <c r="B93" s="499" t="s">
        <v>1405</v>
      </c>
      <c r="C93" s="500" t="s">
        <v>638</v>
      </c>
      <c r="D93" s="501">
        <v>2.5999999999999999E-3</v>
      </c>
      <c r="E93" s="566" t="s">
        <v>954</v>
      </c>
      <c r="F93" s="564">
        <v>1.0798816568047339E-2</v>
      </c>
      <c r="G93" s="501">
        <v>1.0798816568047339E-2</v>
      </c>
      <c r="H93" s="501" t="s">
        <v>954</v>
      </c>
      <c r="I93" s="501">
        <v>4.7169230769230797E-2</v>
      </c>
      <c r="J93" s="501">
        <v>4.7169230769230797E-2</v>
      </c>
      <c r="K93" s="501" t="s">
        <v>954</v>
      </c>
      <c r="L93" s="689">
        <v>300</v>
      </c>
      <c r="N93" s="629"/>
      <c r="O93" s="481"/>
    </row>
    <row r="94" spans="1:15" ht="11.25" customHeight="1">
      <c r="A94" s="458" t="s">
        <v>371</v>
      </c>
      <c r="B94" s="499" t="s">
        <v>1405</v>
      </c>
      <c r="C94" s="500" t="s">
        <v>638</v>
      </c>
      <c r="D94" s="501">
        <v>4.6000000000000001E-4</v>
      </c>
      <c r="E94" s="566" t="s">
        <v>954</v>
      </c>
      <c r="F94" s="564">
        <v>6.1036789297658853E-3</v>
      </c>
      <c r="G94" s="501">
        <v>6.1036789297658853E-3</v>
      </c>
      <c r="H94" s="501" t="s">
        <v>954</v>
      </c>
      <c r="I94" s="501">
        <v>2.666086956521739E-2</v>
      </c>
      <c r="J94" s="501">
        <v>2.666086956521739E-2</v>
      </c>
      <c r="K94" s="501" t="s">
        <v>954</v>
      </c>
      <c r="L94" s="689" t="s">
        <v>367</v>
      </c>
      <c r="N94" s="629"/>
      <c r="O94" s="481"/>
    </row>
    <row r="95" spans="1:15" ht="11.25" customHeight="1">
      <c r="A95" s="458" t="s">
        <v>343</v>
      </c>
      <c r="B95" s="499" t="s">
        <v>1405</v>
      </c>
      <c r="C95" s="500" t="s">
        <v>638</v>
      </c>
      <c r="D95" s="501">
        <v>2.1999999999999999E-5</v>
      </c>
      <c r="E95" s="566" t="s">
        <v>954</v>
      </c>
      <c r="F95" s="564">
        <v>0.1276223776223776</v>
      </c>
      <c r="G95" s="501">
        <v>0.1276223776223776</v>
      </c>
      <c r="H95" s="501" t="s">
        <v>954</v>
      </c>
      <c r="I95" s="501">
        <v>0.55745454545454554</v>
      </c>
      <c r="J95" s="501">
        <v>0.55745454545454554</v>
      </c>
      <c r="K95" s="501" t="s">
        <v>954</v>
      </c>
      <c r="L95" s="689">
        <v>12000</v>
      </c>
      <c r="N95" s="629"/>
      <c r="O95" s="481"/>
    </row>
    <row r="96" spans="1:15" ht="11.25" customHeight="1">
      <c r="A96" s="458" t="s">
        <v>364</v>
      </c>
      <c r="B96" s="499" t="s">
        <v>653</v>
      </c>
      <c r="C96" s="500" t="s">
        <v>638</v>
      </c>
      <c r="D96" s="501" t="s">
        <v>954</v>
      </c>
      <c r="E96" s="566" t="s">
        <v>954</v>
      </c>
      <c r="F96" s="564" t="s">
        <v>954</v>
      </c>
      <c r="G96" s="501" t="s">
        <v>954</v>
      </c>
      <c r="H96" s="501" t="s">
        <v>954</v>
      </c>
      <c r="I96" s="501" t="s">
        <v>954</v>
      </c>
      <c r="J96" s="501" t="s">
        <v>954</v>
      </c>
      <c r="K96" s="501" t="s">
        <v>954</v>
      </c>
      <c r="L96" s="689" t="s">
        <v>367</v>
      </c>
      <c r="N96" s="629"/>
      <c r="O96" s="481"/>
    </row>
    <row r="97" spans="1:15" ht="11.25" customHeight="1">
      <c r="A97" s="458" t="s">
        <v>344</v>
      </c>
      <c r="B97" s="499" t="s">
        <v>1405</v>
      </c>
      <c r="C97" s="500" t="s">
        <v>638</v>
      </c>
      <c r="D97" s="501">
        <v>1.1E-5</v>
      </c>
      <c r="E97" s="566">
        <v>30</v>
      </c>
      <c r="F97" s="564">
        <v>0.25524475524475521</v>
      </c>
      <c r="G97" s="501">
        <v>0.25524475524475521</v>
      </c>
      <c r="H97" s="501">
        <v>6.2571428571428571</v>
      </c>
      <c r="I97" s="501">
        <v>1.1149090909090911</v>
      </c>
      <c r="J97" s="501">
        <v>1.1149090909090911</v>
      </c>
      <c r="K97" s="501">
        <v>26.280000000000005</v>
      </c>
      <c r="L97" s="689" t="s">
        <v>367</v>
      </c>
      <c r="N97" s="629"/>
      <c r="O97" s="481"/>
    </row>
    <row r="98" spans="1:15" ht="11.25" customHeight="1">
      <c r="A98" s="458" t="s">
        <v>104</v>
      </c>
      <c r="B98" s="499" t="s">
        <v>653</v>
      </c>
      <c r="C98" s="500" t="s">
        <v>638</v>
      </c>
      <c r="D98" s="501" t="s">
        <v>954</v>
      </c>
      <c r="E98" s="566" t="s">
        <v>954</v>
      </c>
      <c r="F98" s="564" t="s">
        <v>954</v>
      </c>
      <c r="G98" s="501" t="s">
        <v>954</v>
      </c>
      <c r="H98" s="501" t="s">
        <v>954</v>
      </c>
      <c r="I98" s="501" t="s">
        <v>954</v>
      </c>
      <c r="J98" s="501" t="s">
        <v>954</v>
      </c>
      <c r="K98" s="501" t="s">
        <v>954</v>
      </c>
      <c r="L98" s="689" t="s">
        <v>367</v>
      </c>
      <c r="N98" s="629"/>
      <c r="O98" s="481"/>
    </row>
    <row r="99" spans="1:15" ht="11.25" customHeight="1">
      <c r="A99" s="458" t="s">
        <v>345</v>
      </c>
      <c r="B99" s="499" t="s">
        <v>653</v>
      </c>
      <c r="C99" s="500" t="s">
        <v>638</v>
      </c>
      <c r="D99" s="501" t="s">
        <v>954</v>
      </c>
      <c r="E99" s="566" t="s">
        <v>954</v>
      </c>
      <c r="F99" s="564" t="s">
        <v>954</v>
      </c>
      <c r="G99" s="501" t="s">
        <v>954</v>
      </c>
      <c r="H99" s="501" t="s">
        <v>954</v>
      </c>
      <c r="I99" s="501" t="s">
        <v>954</v>
      </c>
      <c r="J99" s="501" t="s">
        <v>954</v>
      </c>
      <c r="K99" s="501" t="s">
        <v>954</v>
      </c>
      <c r="L99" s="689" t="s">
        <v>367</v>
      </c>
      <c r="N99" s="629"/>
      <c r="O99" s="481"/>
    </row>
    <row r="100" spans="1:15" ht="11.25" customHeight="1">
      <c r="A100" s="458" t="s">
        <v>105</v>
      </c>
      <c r="B100" s="499" t="s">
        <v>653</v>
      </c>
      <c r="C100" s="500" t="s">
        <v>652</v>
      </c>
      <c r="D100" s="501" t="s">
        <v>954</v>
      </c>
      <c r="E100" s="566" t="s">
        <v>954</v>
      </c>
      <c r="F100" s="564" t="s">
        <v>954</v>
      </c>
      <c r="G100" s="501" t="s">
        <v>954</v>
      </c>
      <c r="H100" s="501" t="s">
        <v>954</v>
      </c>
      <c r="I100" s="501" t="s">
        <v>954</v>
      </c>
      <c r="J100" s="501" t="s">
        <v>954</v>
      </c>
      <c r="K100" s="501" t="s">
        <v>954</v>
      </c>
      <c r="L100" s="689" t="s">
        <v>367</v>
      </c>
      <c r="N100" s="629"/>
      <c r="O100" s="481"/>
    </row>
    <row r="101" spans="1:15" ht="11.25" customHeight="1">
      <c r="A101" s="458" t="s">
        <v>346</v>
      </c>
      <c r="B101" s="499" t="s">
        <v>653</v>
      </c>
      <c r="C101" s="500" t="s">
        <v>638</v>
      </c>
      <c r="D101" s="501" t="s">
        <v>954</v>
      </c>
      <c r="E101" s="566" t="s">
        <v>954</v>
      </c>
      <c r="F101" s="564" t="s">
        <v>954</v>
      </c>
      <c r="G101" s="501" t="s">
        <v>954</v>
      </c>
      <c r="H101" s="501" t="s">
        <v>954</v>
      </c>
      <c r="I101" s="501" t="s">
        <v>954</v>
      </c>
      <c r="J101" s="501" t="s">
        <v>954</v>
      </c>
      <c r="K101" s="501" t="s">
        <v>954</v>
      </c>
      <c r="L101" s="689" t="s">
        <v>367</v>
      </c>
      <c r="N101" s="629"/>
      <c r="O101" s="481"/>
    </row>
    <row r="102" spans="1:15" ht="11.25" customHeight="1">
      <c r="A102" s="458" t="s">
        <v>347</v>
      </c>
      <c r="B102" s="499" t="s">
        <v>653</v>
      </c>
      <c r="C102" s="500" t="s">
        <v>638</v>
      </c>
      <c r="D102" s="501" t="s">
        <v>954</v>
      </c>
      <c r="E102" s="566" t="s">
        <v>954</v>
      </c>
      <c r="F102" s="564" t="s">
        <v>954</v>
      </c>
      <c r="G102" s="501" t="s">
        <v>954</v>
      </c>
      <c r="H102" s="501" t="s">
        <v>954</v>
      </c>
      <c r="I102" s="501" t="s">
        <v>954</v>
      </c>
      <c r="J102" s="501" t="s">
        <v>954</v>
      </c>
      <c r="K102" s="501" t="s">
        <v>954</v>
      </c>
      <c r="L102" s="689" t="s">
        <v>367</v>
      </c>
      <c r="N102" s="629"/>
      <c r="O102" s="481"/>
    </row>
    <row r="103" spans="1:15" ht="11.25" customHeight="1">
      <c r="A103" s="458" t="s">
        <v>348</v>
      </c>
      <c r="B103" s="499" t="s">
        <v>653</v>
      </c>
      <c r="C103" s="500" t="s">
        <v>638</v>
      </c>
      <c r="D103" s="501" t="s">
        <v>954</v>
      </c>
      <c r="E103" s="566" t="s">
        <v>954</v>
      </c>
      <c r="F103" s="564" t="s">
        <v>954</v>
      </c>
      <c r="G103" s="501" t="s">
        <v>954</v>
      </c>
      <c r="H103" s="501" t="s">
        <v>954</v>
      </c>
      <c r="I103" s="501" t="s">
        <v>954</v>
      </c>
      <c r="J103" s="501" t="s">
        <v>954</v>
      </c>
      <c r="K103" s="501" t="s">
        <v>954</v>
      </c>
      <c r="L103" s="689" t="s">
        <v>367</v>
      </c>
      <c r="N103" s="629"/>
      <c r="O103" s="481"/>
    </row>
    <row r="104" spans="1:15" ht="11.25" customHeight="1">
      <c r="A104" s="458" t="s">
        <v>350</v>
      </c>
      <c r="B104" s="499" t="s">
        <v>651</v>
      </c>
      <c r="C104" s="500" t="s">
        <v>652</v>
      </c>
      <c r="D104" s="501" t="s">
        <v>954</v>
      </c>
      <c r="E104" s="566">
        <v>5000</v>
      </c>
      <c r="F104" s="564">
        <v>1042.8571428571429</v>
      </c>
      <c r="G104" s="501" t="s">
        <v>954</v>
      </c>
      <c r="H104" s="501">
        <v>1042.8571428571429</v>
      </c>
      <c r="I104" s="501">
        <v>4380</v>
      </c>
      <c r="J104" s="501" t="s">
        <v>954</v>
      </c>
      <c r="K104" s="501">
        <v>4380</v>
      </c>
      <c r="L104" s="689">
        <v>32000</v>
      </c>
      <c r="N104" s="629"/>
      <c r="O104" s="481"/>
    </row>
    <row r="105" spans="1:15" ht="11.25" customHeight="1">
      <c r="A105" s="458" t="s">
        <v>351</v>
      </c>
      <c r="B105" s="499" t="s">
        <v>651</v>
      </c>
      <c r="C105" s="500" t="s">
        <v>652</v>
      </c>
      <c r="D105" s="501" t="s">
        <v>954</v>
      </c>
      <c r="E105" s="566">
        <v>3000</v>
      </c>
      <c r="F105" s="564">
        <v>625.71428571428567</v>
      </c>
      <c r="G105" s="501" t="s">
        <v>954</v>
      </c>
      <c r="H105" s="501">
        <v>625.71428571428567</v>
      </c>
      <c r="I105" s="501">
        <v>2628.0000000000005</v>
      </c>
      <c r="J105" s="501" t="s">
        <v>954</v>
      </c>
      <c r="K105" s="501">
        <v>2628.0000000000005</v>
      </c>
      <c r="L105" s="689">
        <v>420</v>
      </c>
      <c r="N105" s="629"/>
      <c r="O105" s="481"/>
    </row>
    <row r="106" spans="1:15" ht="11.25" customHeight="1">
      <c r="A106" s="458" t="s">
        <v>352</v>
      </c>
      <c r="B106" s="499" t="s">
        <v>653</v>
      </c>
      <c r="C106" s="500" t="s">
        <v>638</v>
      </c>
      <c r="D106" s="501" t="s">
        <v>954</v>
      </c>
      <c r="E106" s="566" t="s">
        <v>954</v>
      </c>
      <c r="F106" s="564" t="s">
        <v>954</v>
      </c>
      <c r="G106" s="501" t="s">
        <v>954</v>
      </c>
      <c r="H106" s="501" t="s">
        <v>954</v>
      </c>
      <c r="I106" s="501" t="s">
        <v>954</v>
      </c>
      <c r="J106" s="501" t="s">
        <v>954</v>
      </c>
      <c r="K106" s="501" t="s">
        <v>954</v>
      </c>
      <c r="L106" s="689" t="s">
        <v>367</v>
      </c>
      <c r="N106" s="629"/>
      <c r="O106" s="481"/>
    </row>
    <row r="107" spans="1:15" ht="11.25" customHeight="1">
      <c r="A107" s="458" t="s">
        <v>353</v>
      </c>
      <c r="B107" s="499" t="s">
        <v>651</v>
      </c>
      <c r="C107" s="500" t="s">
        <v>652</v>
      </c>
      <c r="D107" s="501">
        <v>2.6E-7</v>
      </c>
      <c r="E107" s="566">
        <v>3000</v>
      </c>
      <c r="F107" s="564">
        <v>10.798816568047336</v>
      </c>
      <c r="G107" s="501">
        <v>10.798816568047336</v>
      </c>
      <c r="H107" s="501">
        <v>625.71428571428567</v>
      </c>
      <c r="I107" s="501">
        <v>47.169230769230772</v>
      </c>
      <c r="J107" s="501">
        <v>47.169230769230772</v>
      </c>
      <c r="K107" s="501">
        <v>2628.0000000000005</v>
      </c>
      <c r="L107" s="689">
        <v>530</v>
      </c>
      <c r="N107" s="629"/>
      <c r="O107" s="481"/>
    </row>
    <row r="108" spans="1:15" ht="11.25" customHeight="1">
      <c r="A108" s="458" t="s">
        <v>349</v>
      </c>
      <c r="B108" s="499" t="s">
        <v>651</v>
      </c>
      <c r="C108" s="500" t="s">
        <v>652</v>
      </c>
      <c r="D108" s="501">
        <v>1E-8</v>
      </c>
      <c r="E108" s="566">
        <v>600</v>
      </c>
      <c r="F108" s="564">
        <v>101.38888888888887</v>
      </c>
      <c r="G108" s="501">
        <v>101.38888888888887</v>
      </c>
      <c r="H108" s="501">
        <v>125.14285714285714</v>
      </c>
      <c r="I108" s="501">
        <v>525.6</v>
      </c>
      <c r="J108" s="501">
        <v>1226.4000000000001</v>
      </c>
      <c r="K108" s="501">
        <v>525.6</v>
      </c>
      <c r="L108" s="689">
        <v>560000</v>
      </c>
      <c r="N108" s="629"/>
      <c r="O108" s="481"/>
    </row>
    <row r="109" spans="1:15" ht="11.25" customHeight="1">
      <c r="A109" s="458" t="s">
        <v>590</v>
      </c>
      <c r="B109" s="499" t="s">
        <v>651</v>
      </c>
      <c r="C109" s="500" t="s">
        <v>638</v>
      </c>
      <c r="D109" s="501" t="s">
        <v>954</v>
      </c>
      <c r="E109" s="566">
        <v>245.00000000000003</v>
      </c>
      <c r="F109" s="564">
        <v>51.100000000000009</v>
      </c>
      <c r="G109" s="501" t="s">
        <v>954</v>
      </c>
      <c r="H109" s="501">
        <v>51.100000000000009</v>
      </c>
      <c r="I109" s="501">
        <v>214.62000000000006</v>
      </c>
      <c r="J109" s="501" t="s">
        <v>954</v>
      </c>
      <c r="K109" s="501">
        <v>214.62000000000006</v>
      </c>
      <c r="L109" s="689">
        <v>68</v>
      </c>
      <c r="N109" s="629"/>
      <c r="O109" s="481"/>
    </row>
    <row r="110" spans="1:15" ht="11.25" customHeight="1">
      <c r="A110" s="458" t="s">
        <v>591</v>
      </c>
      <c r="B110" s="499" t="s">
        <v>651</v>
      </c>
      <c r="C110" s="500" t="s">
        <v>638</v>
      </c>
      <c r="D110" s="501" t="s">
        <v>954</v>
      </c>
      <c r="E110" s="566">
        <v>14</v>
      </c>
      <c r="F110" s="564">
        <v>2.92</v>
      </c>
      <c r="G110" s="501" t="s">
        <v>954</v>
      </c>
      <c r="H110" s="501">
        <v>2.92</v>
      </c>
      <c r="I110" s="501">
        <v>12.264000000000003</v>
      </c>
      <c r="J110" s="501" t="s">
        <v>954</v>
      </c>
      <c r="K110" s="501">
        <v>12.264000000000003</v>
      </c>
      <c r="L110" s="689">
        <v>68</v>
      </c>
      <c r="N110" s="629"/>
      <c r="O110" s="481"/>
    </row>
    <row r="111" spans="1:15" ht="11.25" customHeight="1">
      <c r="A111" s="458" t="s">
        <v>465</v>
      </c>
      <c r="B111" s="499" t="s">
        <v>653</v>
      </c>
      <c r="C111" s="500" t="s">
        <v>638</v>
      </c>
      <c r="D111" s="501" t="s">
        <v>954</v>
      </c>
      <c r="E111" s="566" t="s">
        <v>954</v>
      </c>
      <c r="F111" s="564" t="s">
        <v>954</v>
      </c>
      <c r="G111" s="501" t="s">
        <v>954</v>
      </c>
      <c r="H111" s="501" t="s">
        <v>954</v>
      </c>
      <c r="I111" s="501" t="s">
        <v>954</v>
      </c>
      <c r="J111" s="501" t="s">
        <v>954</v>
      </c>
      <c r="K111" s="501" t="s">
        <v>954</v>
      </c>
      <c r="L111" s="689" t="s">
        <v>367</v>
      </c>
      <c r="N111" s="629"/>
      <c r="O111" s="481"/>
    </row>
    <row r="112" spans="1:15" ht="11.25" customHeight="1">
      <c r="A112" s="458" t="s">
        <v>466</v>
      </c>
      <c r="B112" s="499" t="s">
        <v>651</v>
      </c>
      <c r="C112" s="500" t="s">
        <v>638</v>
      </c>
      <c r="D112" s="501">
        <v>3.4E-5</v>
      </c>
      <c r="E112" s="566">
        <v>3</v>
      </c>
      <c r="F112" s="564">
        <v>0.62571428571428567</v>
      </c>
      <c r="G112" s="501">
        <v>0.82579185520362008</v>
      </c>
      <c r="H112" s="501">
        <v>0.62571428571428567</v>
      </c>
      <c r="I112" s="501">
        <v>2.6280000000000006</v>
      </c>
      <c r="J112" s="501">
        <v>3.6070588235294134</v>
      </c>
      <c r="K112" s="501">
        <v>2.6280000000000006</v>
      </c>
      <c r="L112" s="689">
        <v>440</v>
      </c>
      <c r="N112" s="629"/>
      <c r="O112" s="481"/>
    </row>
    <row r="113" spans="1:15" ht="11.25" customHeight="1">
      <c r="A113" s="458" t="s">
        <v>812</v>
      </c>
      <c r="B113" s="499" t="s">
        <v>653</v>
      </c>
      <c r="C113" s="500" t="s">
        <v>638</v>
      </c>
      <c r="D113" s="501" t="s">
        <v>954</v>
      </c>
      <c r="E113" s="566" t="s">
        <v>954</v>
      </c>
      <c r="F113" s="564" t="s">
        <v>954</v>
      </c>
      <c r="G113" s="501" t="s">
        <v>954</v>
      </c>
      <c r="H113" s="501" t="s">
        <v>954</v>
      </c>
      <c r="I113" s="501" t="s">
        <v>954</v>
      </c>
      <c r="J113" s="501" t="s">
        <v>954</v>
      </c>
      <c r="K113" s="501" t="s">
        <v>954</v>
      </c>
      <c r="L113" s="689" t="s">
        <v>367</v>
      </c>
      <c r="N113" s="629"/>
      <c r="O113" s="481"/>
    </row>
    <row r="114" spans="1:15" ht="11.25" customHeight="1">
      <c r="A114" s="462" t="s">
        <v>106</v>
      </c>
      <c r="B114" s="499" t="s">
        <v>651</v>
      </c>
      <c r="C114" s="500" t="s">
        <v>652</v>
      </c>
      <c r="D114" s="501">
        <v>4.0000000000000003E-5</v>
      </c>
      <c r="E114" s="566">
        <v>9</v>
      </c>
      <c r="F114" s="564">
        <v>7.0192307692307679E-2</v>
      </c>
      <c r="G114" s="501">
        <v>7.0192307692307679E-2</v>
      </c>
      <c r="H114" s="501">
        <v>1.8771428571428572</v>
      </c>
      <c r="I114" s="501">
        <v>0.30659999999999998</v>
      </c>
      <c r="J114" s="501">
        <v>0.30659999999999998</v>
      </c>
      <c r="K114" s="501">
        <v>7.8840000000000012</v>
      </c>
      <c r="L114" s="689" t="s">
        <v>367</v>
      </c>
      <c r="N114" s="629"/>
      <c r="O114" s="481"/>
    </row>
    <row r="115" spans="1:15" ht="11.25" customHeight="1">
      <c r="A115" s="462" t="s">
        <v>107</v>
      </c>
      <c r="B115" s="499" t="s">
        <v>653</v>
      </c>
      <c r="C115" s="500" t="s">
        <v>652</v>
      </c>
      <c r="D115" s="501" t="s">
        <v>954</v>
      </c>
      <c r="E115" s="566" t="s">
        <v>954</v>
      </c>
      <c r="F115" s="564" t="s">
        <v>954</v>
      </c>
      <c r="G115" s="501" t="s">
        <v>954</v>
      </c>
      <c r="H115" s="501" t="s">
        <v>954</v>
      </c>
      <c r="I115" s="501" t="s">
        <v>954</v>
      </c>
      <c r="J115" s="501" t="s">
        <v>954</v>
      </c>
      <c r="K115" s="501" t="s">
        <v>954</v>
      </c>
      <c r="L115" s="689" t="s">
        <v>367</v>
      </c>
      <c r="N115" s="629"/>
      <c r="O115" s="481"/>
    </row>
    <row r="116" spans="1:15" ht="11.25" customHeight="1">
      <c r="A116" s="462" t="s">
        <v>108</v>
      </c>
      <c r="B116" s="499" t="s">
        <v>651</v>
      </c>
      <c r="C116" s="500" t="s">
        <v>638</v>
      </c>
      <c r="D116" s="501" t="s">
        <v>954</v>
      </c>
      <c r="E116" s="566">
        <v>3.15</v>
      </c>
      <c r="F116" s="564">
        <v>0.65700000000000003</v>
      </c>
      <c r="G116" s="501" t="s">
        <v>954</v>
      </c>
      <c r="H116" s="501">
        <v>0.65700000000000003</v>
      </c>
      <c r="I116" s="501">
        <v>2.7594000000000003</v>
      </c>
      <c r="J116" s="501" t="s">
        <v>954</v>
      </c>
      <c r="K116" s="501">
        <v>2.7594000000000003</v>
      </c>
      <c r="L116" s="689" t="s">
        <v>367</v>
      </c>
      <c r="N116" s="629"/>
      <c r="O116" s="481"/>
    </row>
    <row r="117" spans="1:15" ht="11.25" customHeight="1">
      <c r="A117" s="462" t="s">
        <v>109</v>
      </c>
      <c r="B117" s="499" t="s">
        <v>653</v>
      </c>
      <c r="C117" s="500" t="s">
        <v>638</v>
      </c>
      <c r="D117" s="501" t="s">
        <v>954</v>
      </c>
      <c r="E117" s="566" t="s">
        <v>954</v>
      </c>
      <c r="F117" s="564" t="s">
        <v>954</v>
      </c>
      <c r="G117" s="501" t="s">
        <v>954</v>
      </c>
      <c r="H117" s="501" t="s">
        <v>954</v>
      </c>
      <c r="I117" s="501" t="s">
        <v>954</v>
      </c>
      <c r="J117" s="501" t="s">
        <v>954</v>
      </c>
      <c r="K117" s="501" t="s">
        <v>954</v>
      </c>
      <c r="L117" s="689" t="s">
        <v>367</v>
      </c>
      <c r="N117" s="629"/>
      <c r="O117" s="481"/>
    </row>
    <row r="118" spans="1:15" ht="11.25" customHeight="1">
      <c r="A118" s="462" t="s">
        <v>110</v>
      </c>
      <c r="B118" s="499" t="s">
        <v>653</v>
      </c>
      <c r="C118" s="500" t="s">
        <v>638</v>
      </c>
      <c r="D118" s="501" t="s">
        <v>954</v>
      </c>
      <c r="E118" s="566" t="s">
        <v>954</v>
      </c>
      <c r="F118" s="564" t="s">
        <v>954</v>
      </c>
      <c r="G118" s="501" t="s">
        <v>954</v>
      </c>
      <c r="H118" s="501" t="s">
        <v>954</v>
      </c>
      <c r="I118" s="501" t="s">
        <v>954</v>
      </c>
      <c r="J118" s="501" t="s">
        <v>954</v>
      </c>
      <c r="K118" s="501" t="s">
        <v>954</v>
      </c>
      <c r="L118" s="689" t="s">
        <v>367</v>
      </c>
      <c r="N118" s="629"/>
      <c r="O118" s="481"/>
    </row>
    <row r="119" spans="1:15" ht="11.25" customHeight="1">
      <c r="A119" s="458" t="s">
        <v>467</v>
      </c>
      <c r="B119" s="499" t="s">
        <v>653</v>
      </c>
      <c r="C119" s="500" t="s">
        <v>638</v>
      </c>
      <c r="D119" s="501" t="s">
        <v>954</v>
      </c>
      <c r="E119" s="566" t="s">
        <v>954</v>
      </c>
      <c r="F119" s="564" t="s">
        <v>954</v>
      </c>
      <c r="G119" s="501" t="s">
        <v>954</v>
      </c>
      <c r="H119" s="501" t="s">
        <v>954</v>
      </c>
      <c r="I119" s="501" t="s">
        <v>954</v>
      </c>
      <c r="J119" s="501" t="s">
        <v>954</v>
      </c>
      <c r="K119" s="501" t="s">
        <v>954</v>
      </c>
      <c r="L119" s="689" t="s">
        <v>367</v>
      </c>
      <c r="N119" s="629"/>
      <c r="O119" s="481"/>
    </row>
    <row r="120" spans="1:15" ht="11.25" customHeight="1">
      <c r="A120" s="462" t="s">
        <v>111</v>
      </c>
      <c r="B120" s="499" t="s">
        <v>653</v>
      </c>
      <c r="C120" s="500" t="s">
        <v>638</v>
      </c>
      <c r="D120" s="501" t="s">
        <v>954</v>
      </c>
      <c r="E120" s="566" t="s">
        <v>954</v>
      </c>
      <c r="F120" s="564" t="s">
        <v>954</v>
      </c>
      <c r="G120" s="501" t="s">
        <v>954</v>
      </c>
      <c r="H120" s="501" t="s">
        <v>954</v>
      </c>
      <c r="I120" s="501" t="s">
        <v>954</v>
      </c>
      <c r="J120" s="501" t="s">
        <v>954</v>
      </c>
      <c r="K120" s="501" t="s">
        <v>954</v>
      </c>
      <c r="L120" s="689" t="s">
        <v>367</v>
      </c>
      <c r="N120" s="629"/>
      <c r="O120" s="481"/>
    </row>
    <row r="121" spans="1:15" ht="11.25" customHeight="1">
      <c r="A121" s="458" t="s">
        <v>231</v>
      </c>
      <c r="B121" s="499" t="s">
        <v>653</v>
      </c>
      <c r="C121" s="500" t="s">
        <v>638</v>
      </c>
      <c r="D121" s="501" t="s">
        <v>954</v>
      </c>
      <c r="E121" s="566" t="s">
        <v>954</v>
      </c>
      <c r="F121" s="564" t="s">
        <v>954</v>
      </c>
      <c r="G121" s="501" t="s">
        <v>954</v>
      </c>
      <c r="H121" s="501" t="s">
        <v>954</v>
      </c>
      <c r="I121" s="501" t="s">
        <v>954</v>
      </c>
      <c r="J121" s="501" t="s">
        <v>954</v>
      </c>
      <c r="K121" s="501" t="s">
        <v>954</v>
      </c>
      <c r="L121" s="689" t="s">
        <v>367</v>
      </c>
      <c r="N121" s="629"/>
      <c r="O121" s="481"/>
    </row>
    <row r="122" spans="1:15" ht="11.25" customHeight="1">
      <c r="A122" s="458" t="s">
        <v>468</v>
      </c>
      <c r="B122" s="499" t="s">
        <v>651</v>
      </c>
      <c r="C122" s="500" t="s">
        <v>638</v>
      </c>
      <c r="D122" s="501" t="s">
        <v>954</v>
      </c>
      <c r="E122" s="566">
        <v>140</v>
      </c>
      <c r="F122" s="564">
        <v>29.2</v>
      </c>
      <c r="G122" s="501" t="s">
        <v>954</v>
      </c>
      <c r="H122" s="501">
        <v>29.2</v>
      </c>
      <c r="I122" s="501">
        <v>122.64000000000003</v>
      </c>
      <c r="J122" s="501" t="s">
        <v>954</v>
      </c>
      <c r="K122" s="501">
        <v>122.64000000000003</v>
      </c>
      <c r="L122" s="689">
        <v>55</v>
      </c>
      <c r="N122" s="629"/>
      <c r="O122" s="481"/>
    </row>
    <row r="123" spans="1:15" ht="11.25" customHeight="1">
      <c r="A123" s="458" t="s">
        <v>469</v>
      </c>
      <c r="B123" s="499" t="s">
        <v>653</v>
      </c>
      <c r="C123" s="500" t="s">
        <v>638</v>
      </c>
      <c r="D123" s="501" t="s">
        <v>954</v>
      </c>
      <c r="E123" s="566" t="s">
        <v>954</v>
      </c>
      <c r="F123" s="564" t="s">
        <v>954</v>
      </c>
      <c r="G123" s="501" t="s">
        <v>954</v>
      </c>
      <c r="H123" s="501" t="s">
        <v>954</v>
      </c>
      <c r="I123" s="501" t="s">
        <v>954</v>
      </c>
      <c r="J123" s="501" t="s">
        <v>954</v>
      </c>
      <c r="K123" s="501" t="s">
        <v>954</v>
      </c>
      <c r="L123" s="689">
        <v>156</v>
      </c>
      <c r="N123" s="629"/>
      <c r="O123" s="481"/>
    </row>
    <row r="124" spans="1:15" ht="11.25" customHeight="1">
      <c r="A124" s="458" t="s">
        <v>365</v>
      </c>
      <c r="B124" s="499" t="s">
        <v>1405</v>
      </c>
      <c r="C124" s="500" t="s">
        <v>638</v>
      </c>
      <c r="D124" s="501">
        <v>5.6999999999999998E-4</v>
      </c>
      <c r="E124" s="566" t="s">
        <v>954</v>
      </c>
      <c r="F124" s="564">
        <v>4.9257759784075594E-2</v>
      </c>
      <c r="G124" s="501">
        <v>4.9257759784075594E-2</v>
      </c>
      <c r="H124" s="501" t="s">
        <v>954</v>
      </c>
      <c r="I124" s="501">
        <v>0.21515789473684219</v>
      </c>
      <c r="J124" s="501">
        <v>0.21515789473684219</v>
      </c>
      <c r="K124" s="501" t="s">
        <v>954</v>
      </c>
      <c r="L124" s="689" t="s">
        <v>367</v>
      </c>
      <c r="N124" s="629"/>
      <c r="O124" s="481"/>
    </row>
    <row r="125" spans="1:15" ht="11.25" customHeight="1">
      <c r="A125" s="458" t="s">
        <v>112</v>
      </c>
      <c r="B125" s="499" t="s">
        <v>653</v>
      </c>
      <c r="C125" s="500" t="s">
        <v>652</v>
      </c>
      <c r="D125" s="501" t="s">
        <v>954</v>
      </c>
      <c r="E125" s="566" t="s">
        <v>954</v>
      </c>
      <c r="F125" s="564" t="s">
        <v>954</v>
      </c>
      <c r="G125" s="501" t="s">
        <v>954</v>
      </c>
      <c r="H125" s="501" t="s">
        <v>954</v>
      </c>
      <c r="I125" s="501" t="s">
        <v>954</v>
      </c>
      <c r="J125" s="501" t="s">
        <v>954</v>
      </c>
      <c r="K125" s="501" t="s">
        <v>954</v>
      </c>
      <c r="L125" s="689" t="s">
        <v>367</v>
      </c>
      <c r="N125" s="629"/>
      <c r="O125" s="481"/>
    </row>
    <row r="126" spans="1:15" ht="11.25" customHeight="1">
      <c r="A126" s="458" t="s">
        <v>470</v>
      </c>
      <c r="B126" s="499" t="s">
        <v>651</v>
      </c>
      <c r="C126" s="500" t="s">
        <v>638</v>
      </c>
      <c r="D126" s="501" t="s">
        <v>954</v>
      </c>
      <c r="E126" s="566">
        <v>105</v>
      </c>
      <c r="F126" s="564">
        <v>21.9</v>
      </c>
      <c r="G126" s="501" t="s">
        <v>954</v>
      </c>
      <c r="H126" s="501">
        <v>21.9</v>
      </c>
      <c r="I126" s="501">
        <v>91.98</v>
      </c>
      <c r="J126" s="501" t="s">
        <v>954</v>
      </c>
      <c r="K126" s="501">
        <v>91.98</v>
      </c>
      <c r="L126" s="689" t="s">
        <v>367</v>
      </c>
      <c r="N126" s="629"/>
      <c r="O126" s="481"/>
    </row>
    <row r="127" spans="1:15" ht="11.25" customHeight="1">
      <c r="A127" s="458" t="s">
        <v>471</v>
      </c>
      <c r="B127" s="499" t="s">
        <v>653</v>
      </c>
      <c r="C127" s="500" t="s">
        <v>638</v>
      </c>
      <c r="D127" s="501" t="s">
        <v>954</v>
      </c>
      <c r="E127" s="566" t="s">
        <v>954</v>
      </c>
      <c r="F127" s="564" t="s">
        <v>954</v>
      </c>
      <c r="G127" s="501" t="s">
        <v>954</v>
      </c>
      <c r="H127" s="501" t="s">
        <v>954</v>
      </c>
      <c r="I127" s="501" t="s">
        <v>954</v>
      </c>
      <c r="J127" s="501" t="s">
        <v>954</v>
      </c>
      <c r="K127" s="501" t="s">
        <v>954</v>
      </c>
      <c r="L127" s="689" t="s">
        <v>367</v>
      </c>
      <c r="N127" s="629"/>
      <c r="O127" s="481"/>
    </row>
    <row r="128" spans="1:15" ht="11.25" customHeight="1">
      <c r="A128" s="458" t="s">
        <v>813</v>
      </c>
      <c r="B128" s="499" t="s">
        <v>653</v>
      </c>
      <c r="C128" s="500" t="s">
        <v>638</v>
      </c>
      <c r="D128" s="501" t="s">
        <v>954</v>
      </c>
      <c r="E128" s="566" t="s">
        <v>954</v>
      </c>
      <c r="F128" s="564" t="s">
        <v>954</v>
      </c>
      <c r="G128" s="501" t="s">
        <v>954</v>
      </c>
      <c r="H128" s="501" t="s">
        <v>954</v>
      </c>
      <c r="I128" s="501" t="s">
        <v>954</v>
      </c>
      <c r="J128" s="501" t="s">
        <v>954</v>
      </c>
      <c r="K128" s="501" t="s">
        <v>954</v>
      </c>
      <c r="L128" s="689" t="s">
        <v>367</v>
      </c>
      <c r="N128" s="629"/>
      <c r="O128" s="481"/>
    </row>
    <row r="129" spans="1:15" ht="11.25" customHeight="1">
      <c r="A129" s="458" t="s">
        <v>113</v>
      </c>
      <c r="B129" s="499" t="s">
        <v>653</v>
      </c>
      <c r="C129" s="500" t="s">
        <v>638</v>
      </c>
      <c r="D129" s="501" t="s">
        <v>954</v>
      </c>
      <c r="E129" s="566" t="s">
        <v>954</v>
      </c>
      <c r="F129" s="564" t="s">
        <v>954</v>
      </c>
      <c r="G129" s="501" t="s">
        <v>954</v>
      </c>
      <c r="H129" s="501" t="s">
        <v>954</v>
      </c>
      <c r="I129" s="501" t="s">
        <v>954</v>
      </c>
      <c r="J129" s="501" t="s">
        <v>954</v>
      </c>
      <c r="K129" s="501" t="s">
        <v>954</v>
      </c>
      <c r="L129" s="689" t="s">
        <v>367</v>
      </c>
      <c r="N129" s="629"/>
      <c r="O129" s="481"/>
    </row>
    <row r="130" spans="1:15" ht="11.25" customHeight="1">
      <c r="A130" s="458" t="s">
        <v>472</v>
      </c>
      <c r="B130" s="499" t="s">
        <v>651</v>
      </c>
      <c r="C130" s="500" t="s">
        <v>652</v>
      </c>
      <c r="D130" s="501" t="s">
        <v>954</v>
      </c>
      <c r="E130" s="566">
        <v>1000</v>
      </c>
      <c r="F130" s="564">
        <v>208.57142857142858</v>
      </c>
      <c r="G130" s="501" t="s">
        <v>954</v>
      </c>
      <c r="H130" s="501">
        <v>208.57142857142858</v>
      </c>
      <c r="I130" s="501">
        <v>876.00000000000011</v>
      </c>
      <c r="J130" s="501" t="s">
        <v>954</v>
      </c>
      <c r="K130" s="501">
        <v>876.00000000000011</v>
      </c>
      <c r="L130" s="689">
        <v>1360</v>
      </c>
      <c r="N130" s="629"/>
      <c r="O130" s="481"/>
    </row>
    <row r="131" spans="1:15" ht="11.25" customHeight="1">
      <c r="A131" s="458" t="s">
        <v>114</v>
      </c>
      <c r="B131" s="499" t="s">
        <v>653</v>
      </c>
      <c r="C131" s="500" t="s">
        <v>638</v>
      </c>
      <c r="D131" s="501" t="s">
        <v>954</v>
      </c>
      <c r="E131" s="566" t="s">
        <v>954</v>
      </c>
      <c r="F131" s="564" t="s">
        <v>954</v>
      </c>
      <c r="G131" s="501" t="s">
        <v>954</v>
      </c>
      <c r="H131" s="501" t="s">
        <v>954</v>
      </c>
      <c r="I131" s="501" t="s">
        <v>954</v>
      </c>
      <c r="J131" s="501" t="s">
        <v>954</v>
      </c>
      <c r="K131" s="501" t="s">
        <v>954</v>
      </c>
      <c r="L131" s="689" t="s">
        <v>367</v>
      </c>
      <c r="N131" s="629"/>
      <c r="O131" s="481"/>
    </row>
    <row r="132" spans="1:15" ht="11.25" customHeight="1">
      <c r="A132" s="458" t="s">
        <v>19</v>
      </c>
      <c r="B132" s="499" t="s">
        <v>651</v>
      </c>
      <c r="C132" s="500" t="s">
        <v>652</v>
      </c>
      <c r="D132" s="501" t="s">
        <v>954</v>
      </c>
      <c r="E132" s="566">
        <v>5000</v>
      </c>
      <c r="F132" s="564">
        <v>1042.8571428571429</v>
      </c>
      <c r="G132" s="501" t="s">
        <v>954</v>
      </c>
      <c r="H132" s="501">
        <v>1042.8571428571429</v>
      </c>
      <c r="I132" s="501">
        <v>4380</v>
      </c>
      <c r="J132" s="501" t="s">
        <v>954</v>
      </c>
      <c r="K132" s="501">
        <v>4380</v>
      </c>
      <c r="L132" s="689" t="s">
        <v>367</v>
      </c>
      <c r="N132" s="629"/>
      <c r="O132" s="481"/>
    </row>
    <row r="133" spans="1:15" ht="11.25" customHeight="1">
      <c r="A133" s="458" t="s">
        <v>473</v>
      </c>
      <c r="B133" s="499" t="s">
        <v>651</v>
      </c>
      <c r="C133" s="500" t="s">
        <v>652</v>
      </c>
      <c r="D133" s="501">
        <v>7.4000000000000003E-6</v>
      </c>
      <c r="E133" s="566">
        <v>105</v>
      </c>
      <c r="F133" s="564">
        <v>0.37941787941787936</v>
      </c>
      <c r="G133" s="501">
        <v>0.37941787941787936</v>
      </c>
      <c r="H133" s="501">
        <v>21.9</v>
      </c>
      <c r="I133" s="501">
        <v>1.6572972972972972</v>
      </c>
      <c r="J133" s="501">
        <v>1.6572972972972972</v>
      </c>
      <c r="K133" s="501">
        <v>91.98</v>
      </c>
      <c r="L133" s="689" t="s">
        <v>367</v>
      </c>
      <c r="N133" s="629"/>
      <c r="O133" s="481"/>
    </row>
    <row r="134" spans="1:15" ht="11.25" customHeight="1">
      <c r="A134" s="458" t="s">
        <v>474</v>
      </c>
      <c r="B134" s="499" t="s">
        <v>651</v>
      </c>
      <c r="C134" s="500" t="s">
        <v>652</v>
      </c>
      <c r="D134" s="501">
        <v>5.8E-5</v>
      </c>
      <c r="E134" s="566" t="s">
        <v>954</v>
      </c>
      <c r="F134" s="564">
        <v>4.8408488063660465E-2</v>
      </c>
      <c r="G134" s="501">
        <v>4.8408488063660465E-2</v>
      </c>
      <c r="H134" s="501" t="s">
        <v>954</v>
      </c>
      <c r="I134" s="501">
        <v>0.21144827586206896</v>
      </c>
      <c r="J134" s="501">
        <v>0.21144827586206896</v>
      </c>
      <c r="K134" s="501" t="s">
        <v>954</v>
      </c>
      <c r="L134" s="689">
        <v>10470</v>
      </c>
      <c r="N134" s="629"/>
      <c r="O134" s="481"/>
    </row>
    <row r="135" spans="1:15" ht="11.25" customHeight="1">
      <c r="A135" s="458" t="s">
        <v>475</v>
      </c>
      <c r="B135" s="499" t="s">
        <v>651</v>
      </c>
      <c r="C135" s="500" t="s">
        <v>652</v>
      </c>
      <c r="D135" s="501">
        <v>6.1E-6</v>
      </c>
      <c r="E135" s="566">
        <v>40</v>
      </c>
      <c r="F135" s="564">
        <v>0.46027742749054212</v>
      </c>
      <c r="G135" s="501">
        <v>0.46027742749054212</v>
      </c>
      <c r="H135" s="501">
        <v>8.3428571428571434</v>
      </c>
      <c r="I135" s="501">
        <v>2.0104918032786885</v>
      </c>
      <c r="J135" s="501">
        <v>2.0104918032786885</v>
      </c>
      <c r="K135" s="501">
        <v>35.040000000000006</v>
      </c>
      <c r="L135" s="689">
        <v>31730</v>
      </c>
      <c r="N135" s="629"/>
      <c r="O135" s="481"/>
    </row>
    <row r="136" spans="1:15" ht="11.25" customHeight="1">
      <c r="A136" s="458" t="s">
        <v>115</v>
      </c>
      <c r="B136" s="499" t="s">
        <v>653</v>
      </c>
      <c r="C136" s="500" t="s">
        <v>638</v>
      </c>
      <c r="D136" s="501" t="s">
        <v>954</v>
      </c>
      <c r="E136" s="566" t="s">
        <v>954</v>
      </c>
      <c r="F136" s="564" t="s">
        <v>954</v>
      </c>
      <c r="G136" s="501" t="s">
        <v>954</v>
      </c>
      <c r="H136" s="501" t="s">
        <v>954</v>
      </c>
      <c r="I136" s="501" t="s">
        <v>954</v>
      </c>
      <c r="J136" s="501" t="s">
        <v>954</v>
      </c>
      <c r="K136" s="501" t="s">
        <v>954</v>
      </c>
      <c r="L136" s="689" t="s">
        <v>367</v>
      </c>
      <c r="N136" s="629"/>
      <c r="O136" s="481"/>
    </row>
    <row r="137" spans="1:15" ht="11.25" customHeight="1">
      <c r="A137" s="462" t="s">
        <v>116</v>
      </c>
      <c r="B137" s="499" t="s">
        <v>653</v>
      </c>
      <c r="C137" s="500" t="s">
        <v>638</v>
      </c>
      <c r="D137" s="501" t="s">
        <v>954</v>
      </c>
      <c r="E137" s="566" t="s">
        <v>954</v>
      </c>
      <c r="F137" s="564" t="s">
        <v>954</v>
      </c>
      <c r="G137" s="501" t="s">
        <v>954</v>
      </c>
      <c r="H137" s="501" t="s">
        <v>954</v>
      </c>
      <c r="I137" s="501" t="s">
        <v>954</v>
      </c>
      <c r="J137" s="501" t="s">
        <v>954</v>
      </c>
      <c r="K137" s="501" t="s">
        <v>954</v>
      </c>
      <c r="L137" s="689" t="s">
        <v>367</v>
      </c>
      <c r="N137" s="629"/>
      <c r="O137" s="481"/>
    </row>
    <row r="138" spans="1:15" ht="11.25" customHeight="1">
      <c r="A138" s="458" t="s">
        <v>476</v>
      </c>
      <c r="B138" s="499" t="s">
        <v>653</v>
      </c>
      <c r="C138" s="500" t="s">
        <v>638</v>
      </c>
      <c r="D138" s="501" t="s">
        <v>954</v>
      </c>
      <c r="E138" s="566" t="s">
        <v>954</v>
      </c>
      <c r="F138" s="564" t="s">
        <v>954</v>
      </c>
      <c r="G138" s="501" t="s">
        <v>954</v>
      </c>
      <c r="H138" s="501" t="s">
        <v>954</v>
      </c>
      <c r="I138" s="501" t="s">
        <v>954</v>
      </c>
      <c r="J138" s="501" t="s">
        <v>954</v>
      </c>
      <c r="K138" s="501" t="s">
        <v>954</v>
      </c>
      <c r="L138" s="689" t="s">
        <v>367</v>
      </c>
      <c r="N138" s="629"/>
      <c r="O138" s="481"/>
    </row>
    <row r="139" spans="1:15" ht="11.25" customHeight="1">
      <c r="A139" s="458" t="s">
        <v>366</v>
      </c>
      <c r="B139" s="499" t="s">
        <v>651</v>
      </c>
      <c r="C139" s="500" t="s">
        <v>652</v>
      </c>
      <c r="D139" s="501" t="s">
        <v>954</v>
      </c>
      <c r="E139" s="566">
        <v>5000</v>
      </c>
      <c r="F139" s="564">
        <v>1042.8571428571429</v>
      </c>
      <c r="G139" s="501" t="s">
        <v>954</v>
      </c>
      <c r="H139" s="501">
        <v>1042.8571428571429</v>
      </c>
      <c r="I139" s="501">
        <v>4380</v>
      </c>
      <c r="J139" s="501" t="s">
        <v>954</v>
      </c>
      <c r="K139" s="501">
        <v>4380</v>
      </c>
      <c r="L139" s="689">
        <v>30000</v>
      </c>
      <c r="N139" s="629"/>
      <c r="O139" s="481"/>
    </row>
    <row r="140" spans="1:15" ht="11.25" customHeight="1">
      <c r="A140" s="458" t="s">
        <v>20</v>
      </c>
      <c r="B140" s="499" t="s">
        <v>653</v>
      </c>
      <c r="C140" s="500" t="s">
        <v>638</v>
      </c>
      <c r="D140" s="501" t="s">
        <v>954</v>
      </c>
      <c r="E140" s="566" t="s">
        <v>954</v>
      </c>
      <c r="F140" s="564" t="s">
        <v>954</v>
      </c>
      <c r="G140" s="501" t="s">
        <v>954</v>
      </c>
      <c r="H140" s="501" t="s">
        <v>954</v>
      </c>
      <c r="I140" s="501" t="s">
        <v>954</v>
      </c>
      <c r="J140" s="501" t="s">
        <v>954</v>
      </c>
      <c r="K140" s="501" t="s">
        <v>954</v>
      </c>
      <c r="L140" s="689" t="s">
        <v>367</v>
      </c>
      <c r="N140" s="629"/>
      <c r="O140" s="481"/>
    </row>
    <row r="141" spans="1:15" ht="11.25" customHeight="1">
      <c r="A141" s="458" t="s">
        <v>57</v>
      </c>
      <c r="B141" s="499" t="s">
        <v>651</v>
      </c>
      <c r="C141" s="500" t="s">
        <v>652</v>
      </c>
      <c r="D141" s="501" t="s">
        <v>954</v>
      </c>
      <c r="E141" s="566">
        <v>191</v>
      </c>
      <c r="F141" s="564">
        <v>199.18571428571428</v>
      </c>
      <c r="G141" s="501" t="s">
        <v>954</v>
      </c>
      <c r="H141" s="501">
        <v>199.18571428571428</v>
      </c>
      <c r="I141" s="501">
        <v>836.58000000000015</v>
      </c>
      <c r="J141" s="501" t="s">
        <v>954</v>
      </c>
      <c r="K141" s="501">
        <v>836.58000000000015</v>
      </c>
      <c r="L141" s="689">
        <v>1100</v>
      </c>
      <c r="N141" s="629"/>
      <c r="O141" s="481"/>
    </row>
    <row r="142" spans="1:15" ht="11.25" customHeight="1">
      <c r="A142" s="458" t="s">
        <v>56</v>
      </c>
      <c r="B142" s="499" t="s">
        <v>651</v>
      </c>
      <c r="C142" s="500" t="s">
        <v>652</v>
      </c>
      <c r="D142" s="501" t="s">
        <v>954</v>
      </c>
      <c r="E142" s="566">
        <v>123</v>
      </c>
      <c r="F142" s="564">
        <v>128.27142857142857</v>
      </c>
      <c r="G142" s="501" t="s">
        <v>954</v>
      </c>
      <c r="H142" s="501">
        <v>128.27142857142857</v>
      </c>
      <c r="I142" s="501">
        <v>538.74</v>
      </c>
      <c r="J142" s="501" t="s">
        <v>954</v>
      </c>
      <c r="K142" s="501">
        <v>538.74</v>
      </c>
      <c r="L142" s="689">
        <v>5000</v>
      </c>
      <c r="N142" s="629"/>
      <c r="O142" s="481"/>
    </row>
    <row r="143" spans="1:15" ht="11.25" customHeight="1">
      <c r="A143" s="458" t="s">
        <v>777</v>
      </c>
      <c r="B143" s="499" t="s">
        <v>1405</v>
      </c>
      <c r="C143" s="500" t="s">
        <v>652</v>
      </c>
      <c r="D143" s="501" t="s">
        <v>954</v>
      </c>
      <c r="E143" s="566">
        <v>123</v>
      </c>
      <c r="F143" s="564">
        <v>128.27142857142857</v>
      </c>
      <c r="G143" s="501" t="s">
        <v>954</v>
      </c>
      <c r="H143" s="501">
        <v>128.27142857142857</v>
      </c>
      <c r="I143" s="501">
        <v>538.74</v>
      </c>
      <c r="J143" s="501" t="s">
        <v>954</v>
      </c>
      <c r="K143" s="501">
        <v>538.74</v>
      </c>
      <c r="L143" s="689" t="s">
        <v>367</v>
      </c>
      <c r="N143" s="629"/>
      <c r="O143" s="481"/>
    </row>
    <row r="144" spans="1:15" ht="11.25" customHeight="1">
      <c r="A144" s="458" t="s">
        <v>814</v>
      </c>
      <c r="B144" s="499" t="s">
        <v>651</v>
      </c>
      <c r="C144" s="500" t="s">
        <v>638</v>
      </c>
      <c r="D144" s="501" t="s">
        <v>954</v>
      </c>
      <c r="E144" s="566">
        <v>2</v>
      </c>
      <c r="F144" s="564">
        <v>0.41714285714285715</v>
      </c>
      <c r="G144" s="501" t="s">
        <v>954</v>
      </c>
      <c r="H144" s="501">
        <v>0.41714285714285715</v>
      </c>
      <c r="I144" s="501">
        <v>1.7520000000000002</v>
      </c>
      <c r="J144" s="501" t="s">
        <v>954</v>
      </c>
      <c r="K144" s="501">
        <v>1.7520000000000002</v>
      </c>
      <c r="L144" s="689">
        <v>22000</v>
      </c>
      <c r="N144" s="629"/>
      <c r="O144" s="481"/>
    </row>
    <row r="145" spans="1:15" ht="11.25" customHeight="1">
      <c r="A145" s="458" t="s">
        <v>815</v>
      </c>
      <c r="B145" s="499" t="s">
        <v>651</v>
      </c>
      <c r="C145" s="500" t="s">
        <v>652</v>
      </c>
      <c r="D145" s="501" t="s">
        <v>954</v>
      </c>
      <c r="E145" s="566">
        <v>5000</v>
      </c>
      <c r="F145" s="564">
        <v>1042.8571428571429</v>
      </c>
      <c r="G145" s="501" t="s">
        <v>954</v>
      </c>
      <c r="H145" s="501">
        <v>1042.8571428571429</v>
      </c>
      <c r="I145" s="501">
        <v>4380</v>
      </c>
      <c r="J145" s="501" t="s">
        <v>954</v>
      </c>
      <c r="K145" s="501">
        <v>4380</v>
      </c>
      <c r="L145" s="689">
        <v>65127</v>
      </c>
      <c r="N145" s="629"/>
      <c r="O145" s="481"/>
    </row>
    <row r="146" spans="1:15" ht="11.25" customHeight="1">
      <c r="A146" s="458" t="s">
        <v>477</v>
      </c>
      <c r="B146" s="499" t="s">
        <v>651</v>
      </c>
      <c r="C146" s="500" t="s">
        <v>652</v>
      </c>
      <c r="D146" s="501">
        <v>1.5999999999999999E-5</v>
      </c>
      <c r="E146" s="566">
        <v>0.2</v>
      </c>
      <c r="F146" s="564">
        <v>4.1714285714285718E-2</v>
      </c>
      <c r="G146" s="501">
        <v>0.17548076923076919</v>
      </c>
      <c r="H146" s="501">
        <v>4.1714285714285718E-2</v>
      </c>
      <c r="I146" s="501">
        <v>0.17520000000000005</v>
      </c>
      <c r="J146" s="501">
        <v>0.76650000000000007</v>
      </c>
      <c r="K146" s="501">
        <v>0.17520000000000005</v>
      </c>
      <c r="L146" s="689" t="s">
        <v>367</v>
      </c>
      <c r="N146" s="629"/>
      <c r="O146" s="481"/>
    </row>
    <row r="147" spans="1:15" ht="11.25" customHeight="1">
      <c r="A147" s="458" t="s">
        <v>478</v>
      </c>
      <c r="B147" s="499" t="s">
        <v>651</v>
      </c>
      <c r="C147" s="500" t="s">
        <v>652</v>
      </c>
      <c r="D147" s="501">
        <v>4.0999999999999997E-6</v>
      </c>
      <c r="E147" s="566">
        <v>2</v>
      </c>
      <c r="F147" s="564">
        <v>0.41714285714285715</v>
      </c>
      <c r="G147" s="501">
        <v>0.48</v>
      </c>
      <c r="H147" s="501">
        <v>0.41714285714285715</v>
      </c>
      <c r="I147" s="501">
        <v>1.7520000000000002</v>
      </c>
      <c r="J147" s="501">
        <v>2.9912195121951224</v>
      </c>
      <c r="K147" s="501">
        <v>1.7520000000000002</v>
      </c>
      <c r="L147" s="689">
        <v>1360000</v>
      </c>
      <c r="N147" s="629"/>
      <c r="O147" s="481"/>
    </row>
    <row r="148" spans="1:15" ht="11.25" customHeight="1">
      <c r="A148" s="458" t="s">
        <v>479</v>
      </c>
      <c r="B148" s="499" t="s">
        <v>653</v>
      </c>
      <c r="C148" s="500" t="s">
        <v>638</v>
      </c>
      <c r="D148" s="501" t="s">
        <v>954</v>
      </c>
      <c r="E148" s="566" t="s">
        <v>954</v>
      </c>
      <c r="F148" s="564" t="s">
        <v>954</v>
      </c>
      <c r="G148" s="501" t="s">
        <v>954</v>
      </c>
      <c r="H148" s="501" t="s">
        <v>954</v>
      </c>
      <c r="I148" s="501" t="s">
        <v>954</v>
      </c>
      <c r="J148" s="501" t="s">
        <v>954</v>
      </c>
      <c r="K148" s="501" t="s">
        <v>954</v>
      </c>
      <c r="L148" s="689" t="s">
        <v>367</v>
      </c>
      <c r="N148" s="629"/>
      <c r="O148" s="481"/>
    </row>
    <row r="149" spans="1:15" ht="11.25" customHeight="1">
      <c r="A149" s="458" t="s">
        <v>480</v>
      </c>
      <c r="B149" s="499" t="s">
        <v>653</v>
      </c>
      <c r="C149" s="500" t="s">
        <v>638</v>
      </c>
      <c r="D149" s="501" t="s">
        <v>954</v>
      </c>
      <c r="E149" s="566" t="s">
        <v>954</v>
      </c>
      <c r="F149" s="564" t="s">
        <v>954</v>
      </c>
      <c r="G149" s="501" t="s">
        <v>954</v>
      </c>
      <c r="H149" s="501" t="s">
        <v>954</v>
      </c>
      <c r="I149" s="501" t="s">
        <v>954</v>
      </c>
      <c r="J149" s="501" t="s">
        <v>954</v>
      </c>
      <c r="K149" s="501" t="s">
        <v>954</v>
      </c>
      <c r="L149" s="689">
        <v>0.3</v>
      </c>
      <c r="N149" s="629"/>
      <c r="O149" s="481"/>
    </row>
    <row r="150" spans="1:15" ht="11.25" customHeight="1">
      <c r="A150" s="462" t="s">
        <v>117</v>
      </c>
      <c r="B150" s="499" t="s">
        <v>653</v>
      </c>
      <c r="C150" s="500" t="s">
        <v>638</v>
      </c>
      <c r="D150" s="501" t="s">
        <v>954</v>
      </c>
      <c r="E150" s="566" t="s">
        <v>954</v>
      </c>
      <c r="F150" s="564" t="s">
        <v>954</v>
      </c>
      <c r="G150" s="501" t="s">
        <v>954</v>
      </c>
      <c r="H150" s="501" t="s">
        <v>954</v>
      </c>
      <c r="I150" s="501" t="s">
        <v>954</v>
      </c>
      <c r="J150" s="501" t="s">
        <v>954</v>
      </c>
      <c r="K150" s="501" t="s">
        <v>954</v>
      </c>
      <c r="L150" s="689" t="s">
        <v>367</v>
      </c>
      <c r="N150" s="629"/>
      <c r="O150" s="481"/>
    </row>
    <row r="151" spans="1:15" ht="11.25" customHeight="1">
      <c r="A151" s="458" t="s">
        <v>118</v>
      </c>
      <c r="B151" s="499" t="s">
        <v>653</v>
      </c>
      <c r="C151" s="500" t="s">
        <v>638</v>
      </c>
      <c r="D151" s="501" t="s">
        <v>954</v>
      </c>
      <c r="E151" s="566" t="s">
        <v>954</v>
      </c>
      <c r="F151" s="564" t="s">
        <v>954</v>
      </c>
      <c r="G151" s="501" t="s">
        <v>954</v>
      </c>
      <c r="H151" s="501" t="s">
        <v>954</v>
      </c>
      <c r="I151" s="501" t="s">
        <v>954</v>
      </c>
      <c r="J151" s="501" t="s">
        <v>954</v>
      </c>
      <c r="K151" s="501" t="s">
        <v>954</v>
      </c>
      <c r="L151" s="689" t="s">
        <v>367</v>
      </c>
      <c r="N151" s="629"/>
      <c r="O151" s="481"/>
    </row>
    <row r="152" spans="1:15" ht="11.25" customHeight="1">
      <c r="A152" s="458" t="s">
        <v>119</v>
      </c>
      <c r="B152" s="499" t="s">
        <v>651</v>
      </c>
      <c r="C152" s="500" t="s">
        <v>652</v>
      </c>
      <c r="D152" s="501" t="s">
        <v>954</v>
      </c>
      <c r="E152" s="566">
        <v>0.3</v>
      </c>
      <c r="F152" s="564">
        <v>6.257142857142857E-2</v>
      </c>
      <c r="G152" s="501" t="s">
        <v>954</v>
      </c>
      <c r="H152" s="501">
        <v>6.257142857142857E-2</v>
      </c>
      <c r="I152" s="501">
        <v>0.26280000000000003</v>
      </c>
      <c r="J152" s="501" t="s">
        <v>954</v>
      </c>
      <c r="K152" s="501">
        <v>0.26280000000000003</v>
      </c>
      <c r="L152" s="689" t="s">
        <v>367</v>
      </c>
      <c r="N152" s="629"/>
      <c r="O152" s="481"/>
    </row>
    <row r="153" spans="1:15" ht="11.25" customHeight="1">
      <c r="A153" s="458" t="s">
        <v>120</v>
      </c>
      <c r="B153" s="499" t="s">
        <v>651</v>
      </c>
      <c r="C153" s="500" t="s">
        <v>652</v>
      </c>
      <c r="D153" s="501" t="s">
        <v>954</v>
      </c>
      <c r="E153" s="566">
        <v>0.3</v>
      </c>
      <c r="F153" s="564">
        <v>6.257142857142857E-2</v>
      </c>
      <c r="G153" s="501" t="s">
        <v>954</v>
      </c>
      <c r="H153" s="501">
        <v>6.257142857142857E-2</v>
      </c>
      <c r="I153" s="501">
        <v>0.26280000000000003</v>
      </c>
      <c r="J153" s="501" t="s">
        <v>954</v>
      </c>
      <c r="K153" s="501">
        <v>0.26280000000000003</v>
      </c>
      <c r="L153" s="689" t="s">
        <v>367</v>
      </c>
      <c r="N153" s="629"/>
      <c r="O153" s="481"/>
    </row>
    <row r="154" spans="1:15" ht="11.25" customHeight="1">
      <c r="A154" s="458" t="s">
        <v>602</v>
      </c>
      <c r="B154" s="499" t="s">
        <v>1405</v>
      </c>
      <c r="C154" s="500" t="s">
        <v>638</v>
      </c>
      <c r="D154" s="501" t="s">
        <v>954</v>
      </c>
      <c r="E154" s="566" t="s">
        <v>954</v>
      </c>
      <c r="F154" s="564" t="s">
        <v>954</v>
      </c>
      <c r="G154" s="501" t="s">
        <v>954</v>
      </c>
      <c r="H154" s="501" t="s">
        <v>954</v>
      </c>
      <c r="I154" s="501" t="s">
        <v>954</v>
      </c>
      <c r="J154" s="501" t="s">
        <v>954</v>
      </c>
      <c r="K154" s="501" t="s">
        <v>954</v>
      </c>
      <c r="L154" s="689" t="s">
        <v>367</v>
      </c>
      <c r="N154" s="629"/>
      <c r="O154" s="481"/>
    </row>
    <row r="155" spans="1:15" ht="11.25" customHeight="1">
      <c r="A155" s="462" t="s">
        <v>939</v>
      </c>
      <c r="B155" s="499" t="s">
        <v>653</v>
      </c>
      <c r="C155" s="500" t="s">
        <v>638</v>
      </c>
      <c r="D155" s="501" t="s">
        <v>954</v>
      </c>
      <c r="E155" s="566" t="s">
        <v>954</v>
      </c>
      <c r="F155" s="564" t="s">
        <v>954</v>
      </c>
      <c r="G155" s="501" t="s">
        <v>954</v>
      </c>
      <c r="H155" s="501" t="s">
        <v>954</v>
      </c>
      <c r="I155" s="501" t="s">
        <v>954</v>
      </c>
      <c r="J155" s="501" t="s">
        <v>954</v>
      </c>
      <c r="K155" s="501" t="s">
        <v>954</v>
      </c>
      <c r="L155" s="689" t="s">
        <v>367</v>
      </c>
      <c r="N155" s="629"/>
      <c r="O155" s="481"/>
    </row>
    <row r="156" spans="1:15" ht="11.25" customHeight="1">
      <c r="A156" s="462" t="s">
        <v>603</v>
      </c>
      <c r="B156" s="499" t="s">
        <v>653</v>
      </c>
      <c r="C156" s="500" t="s">
        <v>638</v>
      </c>
      <c r="D156" s="501" t="s">
        <v>954</v>
      </c>
      <c r="E156" s="566" t="s">
        <v>954</v>
      </c>
      <c r="F156" s="564" t="s">
        <v>954</v>
      </c>
      <c r="G156" s="501" t="s">
        <v>954</v>
      </c>
      <c r="H156" s="501" t="s">
        <v>954</v>
      </c>
      <c r="I156" s="501" t="s">
        <v>954</v>
      </c>
      <c r="J156" s="501" t="s">
        <v>954</v>
      </c>
      <c r="K156" s="501" t="s">
        <v>954</v>
      </c>
      <c r="L156" s="689" t="s">
        <v>367</v>
      </c>
      <c r="N156" s="629"/>
      <c r="O156" s="481"/>
    </row>
    <row r="157" spans="1:15" ht="11.25" customHeight="1">
      <c r="A157" s="462" t="s">
        <v>605</v>
      </c>
      <c r="B157" s="499" t="s">
        <v>653</v>
      </c>
      <c r="C157" s="500" t="s">
        <v>638</v>
      </c>
      <c r="D157" s="501" t="s">
        <v>954</v>
      </c>
      <c r="E157" s="566" t="s">
        <v>954</v>
      </c>
      <c r="F157" s="564" t="s">
        <v>954</v>
      </c>
      <c r="G157" s="501" t="s">
        <v>954</v>
      </c>
      <c r="H157" s="501" t="s">
        <v>954</v>
      </c>
      <c r="I157" s="501" t="s">
        <v>954</v>
      </c>
      <c r="J157" s="501" t="s">
        <v>954</v>
      </c>
      <c r="K157" s="501" t="s">
        <v>954</v>
      </c>
      <c r="L157" s="689" t="s">
        <v>367</v>
      </c>
      <c r="N157" s="629"/>
      <c r="O157" s="481"/>
    </row>
    <row r="158" spans="1:15" ht="11.25" customHeight="1">
      <c r="A158" s="458" t="s">
        <v>481</v>
      </c>
      <c r="B158" s="499" t="s">
        <v>653</v>
      </c>
      <c r="C158" s="500" t="s">
        <v>638</v>
      </c>
      <c r="D158" s="501" t="s">
        <v>954</v>
      </c>
      <c r="E158" s="566" t="s">
        <v>954</v>
      </c>
      <c r="F158" s="564" t="s">
        <v>954</v>
      </c>
      <c r="G158" s="501" t="s">
        <v>954</v>
      </c>
      <c r="H158" s="501" t="s">
        <v>954</v>
      </c>
      <c r="I158" s="501" t="s">
        <v>954</v>
      </c>
      <c r="J158" s="501" t="s">
        <v>954</v>
      </c>
      <c r="K158" s="501" t="s">
        <v>954</v>
      </c>
      <c r="L158" s="689" t="s">
        <v>367</v>
      </c>
      <c r="N158" s="629"/>
      <c r="O158" s="481"/>
    </row>
    <row r="159" spans="1:15" ht="11.25" customHeight="1">
      <c r="A159" s="458" t="s">
        <v>482</v>
      </c>
      <c r="B159" s="499" t="s">
        <v>651</v>
      </c>
      <c r="C159" s="500" t="s">
        <v>21</v>
      </c>
      <c r="D159" s="501">
        <v>4.4000000000000002E-6</v>
      </c>
      <c r="E159" s="566">
        <v>100</v>
      </c>
      <c r="F159" s="564">
        <v>0.17</v>
      </c>
      <c r="G159" s="501">
        <v>0.17</v>
      </c>
      <c r="H159" s="501">
        <v>20.857142857142858</v>
      </c>
      <c r="I159" s="501">
        <v>2.7872727272727276</v>
      </c>
      <c r="J159" s="501">
        <v>2.7872727272727276</v>
      </c>
      <c r="K159" s="501">
        <v>87.600000000000009</v>
      </c>
      <c r="L159" s="689">
        <v>771244</v>
      </c>
      <c r="N159" s="629"/>
      <c r="O159" s="481"/>
    </row>
    <row r="160" spans="1:15" ht="11.25" customHeight="1">
      <c r="A160" s="458" t="s">
        <v>483</v>
      </c>
      <c r="B160" s="499" t="s">
        <v>651</v>
      </c>
      <c r="C160" s="500" t="s">
        <v>652</v>
      </c>
      <c r="D160" s="501" t="s">
        <v>954</v>
      </c>
      <c r="E160" s="566">
        <v>100</v>
      </c>
      <c r="F160" s="564">
        <v>20.857142857142858</v>
      </c>
      <c r="G160" s="501" t="s">
        <v>954</v>
      </c>
      <c r="H160" s="501">
        <v>20.857142857142858</v>
      </c>
      <c r="I160" s="501">
        <v>87.600000000000009</v>
      </c>
      <c r="J160" s="501" t="s">
        <v>954</v>
      </c>
      <c r="K160" s="501">
        <v>87.600000000000009</v>
      </c>
      <c r="L160" s="689">
        <v>441</v>
      </c>
      <c r="N160" s="629"/>
      <c r="O160" s="481"/>
    </row>
    <row r="161" spans="1:15" ht="11.25" customHeight="1" thickBot="1">
      <c r="A161" s="516" t="s">
        <v>484</v>
      </c>
      <c r="B161" s="625" t="s">
        <v>653</v>
      </c>
      <c r="C161" s="626" t="s">
        <v>638</v>
      </c>
      <c r="D161" s="627" t="s">
        <v>954</v>
      </c>
      <c r="E161" s="576" t="s">
        <v>954</v>
      </c>
      <c r="F161" s="602" t="s">
        <v>954</v>
      </c>
      <c r="G161" s="627" t="s">
        <v>954</v>
      </c>
      <c r="H161" s="627" t="s">
        <v>954</v>
      </c>
      <c r="I161" s="627" t="s">
        <v>954</v>
      </c>
      <c r="J161" s="627" t="s">
        <v>954</v>
      </c>
      <c r="K161" s="627" t="s">
        <v>954</v>
      </c>
      <c r="L161" s="690" t="s">
        <v>367</v>
      </c>
      <c r="N161" s="629"/>
      <c r="O161" s="481"/>
    </row>
    <row r="162" spans="1:15" ht="11.25" customHeight="1" thickTop="1">
      <c r="A162" s="474" t="s">
        <v>488</v>
      </c>
      <c r="B162" s="510"/>
      <c r="C162" s="588"/>
      <c r="L162" s="691"/>
    </row>
    <row r="163" spans="1:15" ht="11.25" customHeight="1">
      <c r="A163" s="4" t="s">
        <v>908</v>
      </c>
      <c r="B163" s="510"/>
      <c r="C163" s="588"/>
      <c r="L163" s="691"/>
    </row>
    <row r="164" spans="1:15" ht="11.25" customHeight="1">
      <c r="A164" s="474"/>
      <c r="B164" s="510"/>
      <c r="C164" s="588"/>
      <c r="L164" s="691"/>
    </row>
    <row r="165" spans="1:15" ht="11.25" customHeight="1">
      <c r="A165" s="631" t="s">
        <v>1342</v>
      </c>
      <c r="B165" s="632"/>
      <c r="C165" s="588"/>
      <c r="L165" s="691"/>
    </row>
    <row r="166" spans="1:15" ht="11.25" customHeight="1">
      <c r="A166" s="631" t="s">
        <v>1077</v>
      </c>
      <c r="B166" s="632"/>
      <c r="C166" s="588"/>
      <c r="L166" s="691"/>
    </row>
    <row r="167" spans="1:15" ht="11.25" customHeight="1">
      <c r="A167" s="479" t="s">
        <v>949</v>
      </c>
      <c r="B167" s="1"/>
      <c r="C167" s="588"/>
      <c r="L167" s="691"/>
    </row>
    <row r="168" spans="1:15" ht="11.25" customHeight="1">
      <c r="A168" s="479" t="s">
        <v>933</v>
      </c>
      <c r="B168" s="1"/>
      <c r="C168" s="588"/>
      <c r="L168" s="691"/>
    </row>
    <row r="169" spans="1:15" ht="11.25" customHeight="1">
      <c r="A169" s="631" t="s">
        <v>1078</v>
      </c>
      <c r="B169" s="1"/>
      <c r="C169" s="588"/>
      <c r="L169" s="691"/>
    </row>
    <row r="170" spans="1:15" ht="11.25" customHeight="1">
      <c r="A170" s="482" t="s">
        <v>849</v>
      </c>
      <c r="B170" s="610"/>
      <c r="C170" s="588"/>
      <c r="L170" s="691"/>
    </row>
    <row r="171" spans="1:15" ht="11.25" customHeight="1">
      <c r="A171" s="479" t="s">
        <v>392</v>
      </c>
      <c r="B171" s="1"/>
      <c r="C171" s="588"/>
      <c r="L171" s="691"/>
    </row>
    <row r="172" spans="1:15" ht="12.4" customHeight="1">
      <c r="A172" s="1386" t="s">
        <v>1083</v>
      </c>
      <c r="B172" s="1181"/>
      <c r="C172" s="1181"/>
      <c r="D172" s="1181"/>
      <c r="E172" s="1181"/>
      <c r="F172" s="1181"/>
      <c r="G172" s="1181"/>
      <c r="H172" s="1181"/>
      <c r="I172" s="1181"/>
      <c r="J172" s="1181"/>
      <c r="K172" s="1181"/>
      <c r="L172" s="1387"/>
    </row>
    <row r="173" spans="1:15" ht="11.25" customHeight="1">
      <c r="A173" s="482" t="s">
        <v>393</v>
      </c>
      <c r="B173" s="610"/>
      <c r="C173" s="3"/>
      <c r="L173" s="691"/>
    </row>
    <row r="174" spans="1:15" ht="11.25" customHeight="1" thickBot="1">
      <c r="A174" s="5" t="s">
        <v>165</v>
      </c>
      <c r="B174" s="487"/>
      <c r="C174" s="487"/>
      <c r="D174" s="663"/>
      <c r="E174" s="663"/>
      <c r="F174" s="663"/>
      <c r="G174" s="663"/>
      <c r="H174" s="663"/>
      <c r="I174" s="663"/>
      <c r="J174" s="663"/>
      <c r="K174" s="663"/>
      <c r="L174" s="692"/>
    </row>
    <row r="175" spans="1:15" ht="13.15" thickTop="1">
      <c r="A175" s="3"/>
      <c r="B175" s="3"/>
      <c r="C175" s="3"/>
    </row>
    <row r="176" spans="1:15">
      <c r="A176" s="3"/>
      <c r="B176" s="3"/>
      <c r="C176" s="3"/>
    </row>
    <row r="177" spans="1:3">
      <c r="A177" s="3"/>
      <c r="B177" s="3"/>
      <c r="C177" s="3"/>
    </row>
    <row r="178" spans="1:3">
      <c r="A178" s="3"/>
      <c r="B178" s="3"/>
      <c r="C178" s="3"/>
    </row>
    <row r="179" spans="1:3">
      <c r="A179" s="3"/>
      <c r="B179" s="3"/>
      <c r="C179" s="3"/>
    </row>
    <row r="180" spans="1:3">
      <c r="A180" s="3"/>
      <c r="B180" s="3"/>
      <c r="C180" s="3"/>
    </row>
    <row r="181" spans="1:3">
      <c r="A181" s="3"/>
      <c r="B181" s="3"/>
      <c r="C181" s="3"/>
    </row>
    <row r="182" spans="1:3">
      <c r="A182" s="3"/>
      <c r="B182" s="3"/>
      <c r="C182" s="3"/>
    </row>
    <row r="183" spans="1:3">
      <c r="A183" s="3"/>
      <c r="B183" s="3"/>
      <c r="C183" s="3"/>
    </row>
    <row r="184" spans="1:3">
      <c r="A184" s="3"/>
      <c r="B184" s="3"/>
      <c r="C184" s="3"/>
    </row>
    <row r="185" spans="1:3">
      <c r="A185" s="3"/>
      <c r="B185" s="3"/>
      <c r="C185" s="3"/>
    </row>
    <row r="186" spans="1:3">
      <c r="A186" s="3"/>
      <c r="B186" s="3"/>
      <c r="C186" s="3"/>
    </row>
    <row r="187" spans="1:3">
      <c r="A187" s="3"/>
      <c r="B187" s="3"/>
      <c r="C187" s="3"/>
    </row>
    <row r="188" spans="1:3">
      <c r="A188" s="3"/>
      <c r="B188" s="3"/>
      <c r="C188" s="3"/>
    </row>
    <row r="189" spans="1:3">
      <c r="A189" s="3"/>
      <c r="B189" s="3"/>
      <c r="C189" s="3"/>
    </row>
    <row r="190" spans="1:3">
      <c r="A190" s="3"/>
      <c r="B190" s="3"/>
      <c r="C190" s="3"/>
    </row>
    <row r="191" spans="1:3">
      <c r="A191" s="3"/>
      <c r="B191" s="3"/>
      <c r="C191" s="3"/>
    </row>
    <row r="192" spans="1:3">
      <c r="A192" s="3"/>
      <c r="B192" s="3"/>
      <c r="C192" s="3"/>
    </row>
    <row r="193" spans="1:3">
      <c r="A193" s="3"/>
      <c r="B193" s="3"/>
      <c r="C193" s="3"/>
    </row>
    <row r="194" spans="1:3">
      <c r="A194" s="3"/>
      <c r="B194" s="3"/>
      <c r="C194" s="3"/>
    </row>
    <row r="195" spans="1:3">
      <c r="A195" s="3"/>
      <c r="B195" s="3"/>
      <c r="C195" s="3"/>
    </row>
    <row r="196" spans="1:3">
      <c r="A196" s="3"/>
      <c r="B196" s="3"/>
      <c r="C196" s="3"/>
    </row>
    <row r="197" spans="1:3">
      <c r="A197" s="3"/>
      <c r="B197" s="3"/>
      <c r="C197" s="3"/>
    </row>
    <row r="198" spans="1:3">
      <c r="A198" s="3"/>
      <c r="B198" s="3"/>
      <c r="C198" s="3"/>
    </row>
    <row r="199" spans="1:3">
      <c r="A199" s="3"/>
      <c r="B199" s="3"/>
      <c r="C199" s="3"/>
    </row>
    <row r="200" spans="1:3">
      <c r="A200" s="3"/>
      <c r="B200" s="3"/>
      <c r="C200" s="3"/>
    </row>
    <row r="201" spans="1:3">
      <c r="A201" s="3"/>
      <c r="B201" s="3"/>
      <c r="C201" s="3"/>
    </row>
    <row r="202" spans="1:3">
      <c r="A202" s="3"/>
      <c r="B202" s="3"/>
      <c r="C202" s="3"/>
    </row>
    <row r="203" spans="1:3">
      <c r="A203" s="3"/>
      <c r="B203" s="3"/>
      <c r="C203" s="3"/>
    </row>
    <row r="204" spans="1:3">
      <c r="A204" s="3"/>
      <c r="B204" s="3"/>
      <c r="C204" s="3"/>
    </row>
    <row r="205" spans="1:3">
      <c r="A205" s="3"/>
      <c r="B205" s="3"/>
      <c r="C205" s="3"/>
    </row>
    <row r="206" spans="1:3">
      <c r="A206" s="3"/>
      <c r="B206" s="3"/>
      <c r="C206" s="3"/>
    </row>
    <row r="207" spans="1:3">
      <c r="A207" s="3"/>
      <c r="B207" s="3"/>
      <c r="C207" s="3"/>
    </row>
    <row r="208" spans="1:3">
      <c r="A208" s="3"/>
      <c r="B208" s="3"/>
      <c r="C208" s="3"/>
    </row>
    <row r="209" spans="1:3">
      <c r="A209" s="3"/>
      <c r="B209" s="3"/>
      <c r="C209" s="3"/>
    </row>
    <row r="210" spans="1:3">
      <c r="A210" s="3"/>
      <c r="B210" s="3"/>
      <c r="C210" s="3"/>
    </row>
    <row r="211" spans="1:3">
      <c r="A211" s="3"/>
      <c r="B211" s="3"/>
      <c r="C211" s="3"/>
    </row>
    <row r="212" spans="1:3">
      <c r="A212" s="3"/>
      <c r="B212" s="3"/>
      <c r="C212" s="3"/>
    </row>
    <row r="213" spans="1:3">
      <c r="A213" s="3"/>
      <c r="B213" s="3"/>
      <c r="C213" s="3"/>
    </row>
    <row r="214" spans="1:3">
      <c r="A214" s="3"/>
      <c r="B214" s="3"/>
      <c r="C214" s="3"/>
    </row>
    <row r="215" spans="1:3">
      <c r="A215" s="3"/>
      <c r="B215" s="3"/>
      <c r="C215" s="3"/>
    </row>
    <row r="216" spans="1:3">
      <c r="A216" s="3"/>
      <c r="B216" s="3"/>
      <c r="C216" s="3"/>
    </row>
    <row r="217" spans="1:3">
      <c r="A217" s="3"/>
      <c r="B217" s="3"/>
      <c r="C217" s="3"/>
    </row>
    <row r="218" spans="1:3">
      <c r="A218" s="3"/>
      <c r="B218" s="3"/>
      <c r="C218" s="3"/>
    </row>
    <row r="219" spans="1:3">
      <c r="A219" s="3"/>
      <c r="B219" s="3"/>
      <c r="C219" s="3"/>
    </row>
    <row r="220" spans="1:3">
      <c r="A220" s="3"/>
      <c r="B220" s="3"/>
      <c r="C220" s="3"/>
    </row>
    <row r="221" spans="1:3">
      <c r="A221" s="3"/>
      <c r="B221" s="3"/>
      <c r="C221" s="3"/>
    </row>
    <row r="222" spans="1:3">
      <c r="A222" s="3"/>
      <c r="B222" s="3"/>
      <c r="C222" s="3"/>
    </row>
    <row r="223" spans="1:3">
      <c r="A223" s="3"/>
      <c r="B223" s="3"/>
      <c r="C223" s="3"/>
    </row>
    <row r="224" spans="1:3">
      <c r="A224" s="3"/>
      <c r="B224" s="3"/>
      <c r="C224" s="3"/>
    </row>
    <row r="225" spans="1:3">
      <c r="A225" s="3"/>
      <c r="B225" s="3"/>
      <c r="C225" s="3"/>
    </row>
    <row r="226" spans="1:3">
      <c r="A226" s="3"/>
      <c r="B226" s="3"/>
      <c r="C226" s="3"/>
    </row>
    <row r="227" spans="1:3">
      <c r="A227" s="3"/>
      <c r="B227" s="3"/>
      <c r="C227" s="3"/>
    </row>
    <row r="228" spans="1:3">
      <c r="A228" s="3"/>
      <c r="B228" s="3"/>
      <c r="C228" s="3"/>
    </row>
    <row r="229" spans="1:3">
      <c r="A229" s="3"/>
      <c r="B229" s="3"/>
      <c r="C229" s="3"/>
    </row>
    <row r="230" spans="1:3">
      <c r="A230" s="3"/>
      <c r="B230" s="3"/>
      <c r="C230" s="3"/>
    </row>
    <row r="231" spans="1:3">
      <c r="A231" s="3"/>
      <c r="B231" s="3"/>
      <c r="C231" s="3"/>
    </row>
    <row r="232" spans="1:3">
      <c r="A232" s="3"/>
      <c r="B232" s="3"/>
      <c r="C232" s="3"/>
    </row>
    <row r="233" spans="1:3">
      <c r="A233" s="3"/>
      <c r="B233" s="3"/>
      <c r="C233" s="3"/>
    </row>
    <row r="234" spans="1:3">
      <c r="A234" s="3"/>
      <c r="B234" s="3"/>
      <c r="C234" s="3"/>
    </row>
    <row r="235" spans="1:3">
      <c r="A235" s="3"/>
      <c r="B235" s="3"/>
      <c r="C235" s="3"/>
    </row>
    <row r="236" spans="1:3">
      <c r="A236" s="3"/>
      <c r="B236" s="3"/>
      <c r="C236" s="3"/>
    </row>
    <row r="237" spans="1:3">
      <c r="A237" s="3"/>
      <c r="B237" s="3"/>
      <c r="C237" s="3"/>
    </row>
    <row r="238" spans="1:3">
      <c r="A238" s="3"/>
      <c r="B238" s="3"/>
      <c r="C238" s="3"/>
    </row>
    <row r="239" spans="1:3">
      <c r="A239" s="3"/>
      <c r="B239" s="3"/>
      <c r="C239" s="3"/>
    </row>
    <row r="240" spans="1:3">
      <c r="A240" s="3"/>
      <c r="B240" s="3"/>
      <c r="C240" s="3"/>
    </row>
    <row r="241" spans="1:3">
      <c r="A241" s="3"/>
      <c r="B241" s="3"/>
      <c r="C241" s="3"/>
    </row>
    <row r="242" spans="1:3">
      <c r="A242" s="3"/>
      <c r="B242" s="3"/>
      <c r="C242" s="3"/>
    </row>
    <row r="243" spans="1:3">
      <c r="A243" s="3"/>
      <c r="B243" s="3"/>
      <c r="C243" s="3"/>
    </row>
    <row r="244" spans="1:3">
      <c r="A244" s="3"/>
      <c r="B244" s="3"/>
      <c r="C244" s="3"/>
    </row>
    <row r="245" spans="1:3">
      <c r="A245" s="3"/>
      <c r="B245" s="3"/>
      <c r="C245" s="3"/>
    </row>
    <row r="246" spans="1:3">
      <c r="A246" s="3"/>
      <c r="B246" s="3"/>
      <c r="C246" s="3"/>
    </row>
    <row r="247" spans="1:3">
      <c r="A247" s="3"/>
      <c r="B247" s="3"/>
      <c r="C247" s="3"/>
    </row>
    <row r="248" spans="1:3">
      <c r="A248" s="3"/>
      <c r="B248" s="3"/>
      <c r="C248" s="3"/>
    </row>
    <row r="249" spans="1:3">
      <c r="A249" s="3"/>
      <c r="B249" s="3"/>
      <c r="C249" s="3"/>
    </row>
    <row r="250" spans="1:3">
      <c r="A250" s="3"/>
      <c r="B250" s="3"/>
      <c r="C250" s="3"/>
    </row>
  </sheetData>
  <sheetProtection algorithmName="SHA-512" hashValue="uv7V4ZIBnktilmWFH9NrmDDhOR50oLM0YrKgXO/oMdfMa61RO/LSKxMyyVJ4GFFABAU+UV1qtOJhEc+eG9yGTg==" saltValue="gENhbxb1HwmME3iEzbBKcg==" spinCount="100000" sheet="1" objects="1" scenarios="1"/>
  <mergeCells count="4">
    <mergeCell ref="L3:L6"/>
    <mergeCell ref="B6:C6"/>
    <mergeCell ref="B7:C7"/>
    <mergeCell ref="A172:L172"/>
  </mergeCells>
  <phoneticPr fontId="0" type="noConversion"/>
  <printOptions horizontalCentered="1"/>
  <pageMargins left="0.17" right="0.16" top="0.53" bottom="1" header="0.5" footer="0.5"/>
  <pageSetup scale="84" fitToHeight="4" orientation="landscape" r:id="rId1"/>
  <headerFooter alignWithMargins="0">
    <oddFooter>&amp;LHawai'i DOH
Spring 2024&amp;C&amp;8Page &amp;P of &amp;N&amp;R&amp;A</oddFooter>
  </headerFooter>
  <rowBreaks count="1" manualBreakCount="1">
    <brk id="15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29"/>
    <pageSetUpPr fitToPage="1"/>
  </sheetPr>
  <dimension ref="A1:H175"/>
  <sheetViews>
    <sheetView zoomScaleNormal="100" workbookViewId="0">
      <pane ySplit="3105" topLeftCell="A6" activePane="bottomLeft"/>
      <selection activeCell="B7" sqref="B7"/>
      <selection pane="bottomLeft" activeCell="B17" sqref="B17"/>
    </sheetView>
  </sheetViews>
  <sheetFormatPr defaultColWidth="9.1328125" defaultRowHeight="10.15"/>
  <cols>
    <col min="1" max="1" width="40.73046875" style="1" customWidth="1"/>
    <col min="2" max="2" width="12.59765625" style="475" customWidth="1"/>
    <col min="3" max="3" width="20.73046875" style="609" customWidth="1"/>
    <col min="4" max="4" width="12.265625" style="475" customWidth="1"/>
    <col min="5" max="5" width="8.86328125" style="475" customWidth="1"/>
    <col min="6" max="6" width="15.73046875" style="475" customWidth="1"/>
    <col min="7" max="7" width="13.73046875" style="475" customWidth="1"/>
    <col min="8" max="16384" width="9.1328125" style="1"/>
  </cols>
  <sheetData>
    <row r="1" spans="1:8" s="510" customFormat="1" ht="50.1" customHeight="1">
      <c r="A1" s="1430" t="s">
        <v>717</v>
      </c>
      <c r="B1" s="1431"/>
      <c r="C1" s="1431"/>
      <c r="D1" s="1431"/>
      <c r="E1" s="1431"/>
      <c r="F1" s="1431"/>
      <c r="G1" s="1431"/>
      <c r="H1" s="2"/>
    </row>
    <row r="2" spans="1:8" s="510" customFormat="1" ht="13.9">
      <c r="A2" s="693" t="s">
        <v>30</v>
      </c>
      <c r="B2" s="530"/>
      <c r="C2" s="530"/>
      <c r="D2" s="530"/>
      <c r="E2" s="530"/>
      <c r="F2" s="530"/>
      <c r="G2" s="530"/>
      <c r="H2" s="2"/>
    </row>
    <row r="3" spans="1:8" s="510" customFormat="1" ht="13.15" thickBot="1">
      <c r="A3" s="694"/>
      <c r="B3" s="530"/>
      <c r="C3" s="695"/>
      <c r="D3" s="530"/>
      <c r="E3" s="530"/>
      <c r="F3" s="530"/>
      <c r="G3" s="530"/>
      <c r="H3" s="2"/>
    </row>
    <row r="4" spans="1:8" s="510" customFormat="1" ht="48.75" customHeight="1" thickTop="1">
      <c r="A4" s="1432" t="s">
        <v>613</v>
      </c>
      <c r="B4" s="1428" t="s">
        <v>718</v>
      </c>
      <c r="C4" s="696"/>
      <c r="D4" s="697" t="s">
        <v>256</v>
      </c>
      <c r="E4" s="698" t="s">
        <v>719</v>
      </c>
      <c r="F4" s="699" t="s">
        <v>547</v>
      </c>
      <c r="G4" s="700" t="s">
        <v>179</v>
      </c>
      <c r="H4" s="2"/>
    </row>
    <row r="5" spans="1:8" s="510" customFormat="1" ht="15.75" customHeight="1" thickBot="1">
      <c r="A5" s="1433"/>
      <c r="B5" s="1429"/>
      <c r="C5" s="701" t="s">
        <v>485</v>
      </c>
      <c r="D5" s="702" t="s">
        <v>720</v>
      </c>
      <c r="E5" s="553" t="s">
        <v>808</v>
      </c>
      <c r="F5" s="703" t="s">
        <v>721</v>
      </c>
      <c r="G5" s="704" t="s">
        <v>403</v>
      </c>
      <c r="H5" s="2"/>
    </row>
    <row r="6" spans="1:8" s="510" customFormat="1" ht="11.25" customHeight="1">
      <c r="A6" s="454" t="s">
        <v>548</v>
      </c>
      <c r="B6" s="498">
        <v>15</v>
      </c>
      <c r="C6" s="557" t="s">
        <v>1410</v>
      </c>
      <c r="D6" s="497">
        <v>20</v>
      </c>
      <c r="E6" s="559">
        <v>440.71710632991795</v>
      </c>
      <c r="F6" s="456">
        <v>3900</v>
      </c>
      <c r="G6" s="457">
        <v>15</v>
      </c>
    </row>
    <row r="7" spans="1:8" s="510" customFormat="1" ht="11.25" customHeight="1">
      <c r="A7" s="458" t="s">
        <v>549</v>
      </c>
      <c r="B7" s="502">
        <v>13</v>
      </c>
      <c r="C7" s="563" t="s">
        <v>1410</v>
      </c>
      <c r="D7" s="501">
        <v>1965</v>
      </c>
      <c r="E7" s="565">
        <v>300.42394562926046</v>
      </c>
      <c r="F7" s="460" t="s">
        <v>1394</v>
      </c>
      <c r="G7" s="461">
        <v>13</v>
      </c>
    </row>
    <row r="8" spans="1:8" s="510" customFormat="1" ht="11.25" customHeight="1">
      <c r="A8" s="458" t="s">
        <v>550</v>
      </c>
      <c r="B8" s="502">
        <v>1500</v>
      </c>
      <c r="C8" s="563" t="s">
        <v>1410</v>
      </c>
      <c r="D8" s="501">
        <v>20000</v>
      </c>
      <c r="E8" s="565">
        <v>6044.7756876580943</v>
      </c>
      <c r="F8" s="460">
        <v>66142841.963876456</v>
      </c>
      <c r="G8" s="461">
        <v>1500</v>
      </c>
    </row>
    <row r="9" spans="1:8" s="510" customFormat="1" ht="11.25" customHeight="1">
      <c r="A9" s="458" t="s">
        <v>551</v>
      </c>
      <c r="B9" s="502">
        <v>1.3999999999999999E-4</v>
      </c>
      <c r="C9" s="563" t="s">
        <v>1410</v>
      </c>
      <c r="D9" s="501">
        <v>8.5</v>
      </c>
      <c r="E9" s="565">
        <v>1.2053821078383794E-3</v>
      </c>
      <c r="F9" s="460" t="s">
        <v>954</v>
      </c>
      <c r="G9" s="461">
        <v>1.3999999999999999E-4</v>
      </c>
    </row>
    <row r="10" spans="1:8" s="510" customFormat="1" ht="11.25" customHeight="1">
      <c r="A10" s="458" t="s">
        <v>161</v>
      </c>
      <c r="B10" s="502">
        <v>152.33581908424497</v>
      </c>
      <c r="C10" s="563" t="s">
        <v>870</v>
      </c>
      <c r="D10" s="501">
        <v>50000</v>
      </c>
      <c r="E10" s="565">
        <v>152.33581908424497</v>
      </c>
      <c r="F10" s="460" t="s">
        <v>954</v>
      </c>
      <c r="G10" s="461">
        <v>700</v>
      </c>
    </row>
    <row r="11" spans="1:8" s="510" customFormat="1" ht="11.25" customHeight="1">
      <c r="A11" s="462" t="s">
        <v>162</v>
      </c>
      <c r="B11" s="502">
        <v>1.9300404753783804</v>
      </c>
      <c r="C11" s="563" t="s">
        <v>870</v>
      </c>
      <c r="D11" s="501">
        <v>50000</v>
      </c>
      <c r="E11" s="565">
        <v>1.9300404753783804</v>
      </c>
      <c r="F11" s="460" t="s">
        <v>954</v>
      </c>
      <c r="G11" s="461">
        <v>18</v>
      </c>
    </row>
    <row r="12" spans="1:8" s="510" customFormat="1" ht="11.25" customHeight="1">
      <c r="A12" s="462" t="s">
        <v>94</v>
      </c>
      <c r="B12" s="502">
        <v>1.9300404753783804</v>
      </c>
      <c r="C12" s="563" t="s">
        <v>870</v>
      </c>
      <c r="D12" s="501">
        <v>50000</v>
      </c>
      <c r="E12" s="565">
        <v>1.9300404753783804</v>
      </c>
      <c r="F12" s="460" t="s">
        <v>954</v>
      </c>
      <c r="G12" s="461">
        <v>11</v>
      </c>
    </row>
    <row r="13" spans="1:8" s="510" customFormat="1" ht="11.25" customHeight="1">
      <c r="A13" s="458" t="s">
        <v>552</v>
      </c>
      <c r="B13" s="502">
        <v>0.02</v>
      </c>
      <c r="C13" s="563" t="s">
        <v>1410</v>
      </c>
      <c r="D13" s="501">
        <v>21.5</v>
      </c>
      <c r="E13" s="565">
        <v>1555.5081429297898</v>
      </c>
      <c r="F13" s="460">
        <v>43</v>
      </c>
      <c r="G13" s="461">
        <v>0.02</v>
      </c>
    </row>
    <row r="14" spans="1:8" s="510" customFormat="1" ht="11.25" customHeight="1">
      <c r="A14" s="458" t="s">
        <v>553</v>
      </c>
      <c r="B14" s="502">
        <v>6</v>
      </c>
      <c r="C14" s="563" t="s">
        <v>870</v>
      </c>
      <c r="D14" s="501">
        <v>50000</v>
      </c>
      <c r="E14" s="565">
        <v>6</v>
      </c>
      <c r="F14" s="460" t="s">
        <v>954</v>
      </c>
      <c r="G14" s="461">
        <v>30</v>
      </c>
    </row>
    <row r="15" spans="1:8" s="510" customFormat="1" ht="11.25" customHeight="1">
      <c r="A15" s="458" t="s">
        <v>686</v>
      </c>
      <c r="B15" s="502">
        <v>10</v>
      </c>
      <c r="C15" s="563" t="s">
        <v>870</v>
      </c>
      <c r="D15" s="501">
        <v>50000</v>
      </c>
      <c r="E15" s="565">
        <v>10</v>
      </c>
      <c r="F15" s="460" t="s">
        <v>954</v>
      </c>
      <c r="G15" s="461">
        <v>36</v>
      </c>
    </row>
    <row r="16" spans="1:8" s="510" customFormat="1" ht="11.25" customHeight="1">
      <c r="A16" s="458" t="s">
        <v>95</v>
      </c>
      <c r="B16" s="502">
        <v>3</v>
      </c>
      <c r="C16" s="563" t="s">
        <v>870</v>
      </c>
      <c r="D16" s="501">
        <v>20</v>
      </c>
      <c r="E16" s="565">
        <v>3</v>
      </c>
      <c r="F16" s="460" t="s">
        <v>954</v>
      </c>
      <c r="G16" s="461">
        <v>12</v>
      </c>
    </row>
    <row r="17" spans="1:7" s="510" customFormat="1" ht="11.25" customHeight="1">
      <c r="A17" s="458" t="s">
        <v>687</v>
      </c>
      <c r="B17" s="502">
        <v>220</v>
      </c>
      <c r="C17" s="563" t="s">
        <v>1410</v>
      </c>
      <c r="D17" s="501">
        <v>50000</v>
      </c>
      <c r="E17" s="565">
        <v>2000</v>
      </c>
      <c r="F17" s="460" t="s">
        <v>954</v>
      </c>
      <c r="G17" s="461">
        <v>220</v>
      </c>
    </row>
    <row r="18" spans="1:7" s="510" customFormat="1" ht="11.25" customHeight="1">
      <c r="A18" s="458" t="s">
        <v>1156</v>
      </c>
      <c r="B18" s="502">
        <v>0.14000000000000001</v>
      </c>
      <c r="C18" s="563" t="s">
        <v>1410</v>
      </c>
      <c r="D18" s="501">
        <v>1900</v>
      </c>
      <c r="E18" s="565">
        <v>970.75939529186087</v>
      </c>
      <c r="F18" s="460" t="s">
        <v>954</v>
      </c>
      <c r="G18" s="461">
        <v>0.14000000000000001</v>
      </c>
    </row>
    <row r="19" spans="1:7" s="510" customFormat="1" ht="11.25" customHeight="1">
      <c r="A19" s="458" t="s">
        <v>688</v>
      </c>
      <c r="B19" s="502">
        <v>5</v>
      </c>
      <c r="C19" s="563" t="s">
        <v>870</v>
      </c>
      <c r="D19" s="501">
        <v>170</v>
      </c>
      <c r="E19" s="565">
        <v>5</v>
      </c>
      <c r="F19" s="460">
        <v>2250.3937370979761</v>
      </c>
      <c r="G19" s="461">
        <v>71.3</v>
      </c>
    </row>
    <row r="20" spans="1:7" s="510" customFormat="1" ht="11.25" customHeight="1">
      <c r="A20" s="458" t="s">
        <v>689</v>
      </c>
      <c r="B20" s="502">
        <v>2.7E-2</v>
      </c>
      <c r="C20" s="563" t="s">
        <v>1410</v>
      </c>
      <c r="D20" s="501">
        <v>4.7</v>
      </c>
      <c r="E20" s="565">
        <v>5.1725078228107436E-2</v>
      </c>
      <c r="F20" s="460" t="s">
        <v>954</v>
      </c>
      <c r="G20" s="461">
        <v>2.7E-2</v>
      </c>
    </row>
    <row r="21" spans="1:7" s="510" customFormat="1" ht="11.25" customHeight="1">
      <c r="A21" s="458" t="s">
        <v>690</v>
      </c>
      <c r="B21" s="502">
        <v>0.06</v>
      </c>
      <c r="C21" s="563" t="s">
        <v>1410</v>
      </c>
      <c r="D21" s="501">
        <v>0.8</v>
      </c>
      <c r="E21" s="565">
        <v>0.2</v>
      </c>
      <c r="F21" s="460" t="s">
        <v>954</v>
      </c>
      <c r="G21" s="461">
        <v>0.06</v>
      </c>
    </row>
    <row r="22" spans="1:7" s="510" customFormat="1" ht="11.25" customHeight="1">
      <c r="A22" s="458" t="s">
        <v>691</v>
      </c>
      <c r="B22" s="502">
        <v>5.8130821430763209E-2</v>
      </c>
      <c r="C22" s="563" t="s">
        <v>870</v>
      </c>
      <c r="D22" s="501">
        <v>0.75</v>
      </c>
      <c r="E22" s="565">
        <v>5.8130821430763209E-2</v>
      </c>
      <c r="F22" s="460" t="s">
        <v>954</v>
      </c>
      <c r="G22" s="461">
        <v>0.68</v>
      </c>
    </row>
    <row r="23" spans="1:7" s="510" customFormat="1" ht="11.25" customHeight="1">
      <c r="A23" s="458" t="s">
        <v>692</v>
      </c>
      <c r="B23" s="502">
        <v>0.12999999999999998</v>
      </c>
      <c r="C23" s="563" t="s">
        <v>270</v>
      </c>
      <c r="D23" s="501">
        <v>0.12999999999999998</v>
      </c>
      <c r="E23" s="565">
        <v>64.666936648154106</v>
      </c>
      <c r="F23" s="460" t="s">
        <v>954</v>
      </c>
      <c r="G23" s="461">
        <v>0.44</v>
      </c>
    </row>
    <row r="24" spans="1:7" s="510" customFormat="1" ht="11.25" customHeight="1">
      <c r="A24" s="458" t="s">
        <v>693</v>
      </c>
      <c r="B24" s="502">
        <v>0.36149950113611862</v>
      </c>
      <c r="C24" s="563" t="s">
        <v>870</v>
      </c>
      <c r="D24" s="501">
        <v>0.4</v>
      </c>
      <c r="E24" s="565">
        <v>0.36149950113611862</v>
      </c>
      <c r="F24" s="460" t="s">
        <v>954</v>
      </c>
      <c r="G24" s="461">
        <v>0.64</v>
      </c>
    </row>
    <row r="25" spans="1:7" s="510" customFormat="1" ht="11.25" customHeight="1">
      <c r="A25" s="458" t="s">
        <v>126</v>
      </c>
      <c r="B25" s="502">
        <v>0.66</v>
      </c>
      <c r="C25" s="563" t="s">
        <v>1410</v>
      </c>
      <c r="D25" s="501">
        <v>50000</v>
      </c>
      <c r="E25" s="565">
        <v>4</v>
      </c>
      <c r="F25" s="460" t="s">
        <v>954</v>
      </c>
      <c r="G25" s="461">
        <v>0.66</v>
      </c>
    </row>
    <row r="26" spans="1:7" s="510" customFormat="1" ht="11.25" customHeight="1">
      <c r="A26" s="458" t="s">
        <v>233</v>
      </c>
      <c r="B26" s="502">
        <v>0.5</v>
      </c>
      <c r="C26" s="563" t="s">
        <v>270</v>
      </c>
      <c r="D26" s="501">
        <v>0.5</v>
      </c>
      <c r="E26" s="565">
        <v>3.9111581830845297</v>
      </c>
      <c r="F26" s="460" t="s">
        <v>1394</v>
      </c>
      <c r="G26" s="461">
        <v>6.5</v>
      </c>
    </row>
    <row r="27" spans="1:7" s="510" customFormat="1" ht="11.25" customHeight="1">
      <c r="A27" s="458" t="s">
        <v>127</v>
      </c>
      <c r="B27" s="502">
        <v>1.3650810195927489E-2</v>
      </c>
      <c r="C27" s="563" t="s">
        <v>870</v>
      </c>
      <c r="D27" s="501">
        <v>360</v>
      </c>
      <c r="E27" s="565">
        <v>1.3650810195927489E-2</v>
      </c>
      <c r="F27" s="460">
        <v>175.65607394552634</v>
      </c>
      <c r="G27" s="461">
        <v>2380</v>
      </c>
    </row>
    <row r="28" spans="1:7" s="510" customFormat="1" ht="11.25" customHeight="1">
      <c r="A28" s="503" t="s">
        <v>1103</v>
      </c>
      <c r="B28" s="502">
        <v>0.35711381953846194</v>
      </c>
      <c r="C28" s="563" t="s">
        <v>1410</v>
      </c>
      <c r="D28" s="501">
        <v>320</v>
      </c>
      <c r="E28" s="565">
        <v>0.35711381953846194</v>
      </c>
      <c r="F28" s="460" t="s">
        <v>1394</v>
      </c>
      <c r="G28" s="461">
        <v>0.35711381953846194</v>
      </c>
    </row>
    <row r="29" spans="1:7" s="510" customFormat="1" ht="11.25" customHeight="1">
      <c r="A29" s="458" t="s">
        <v>128</v>
      </c>
      <c r="B29" s="502">
        <v>3</v>
      </c>
      <c r="C29" s="563" t="s">
        <v>1410</v>
      </c>
      <c r="D29" s="501">
        <v>135</v>
      </c>
      <c r="E29" s="565">
        <v>6</v>
      </c>
      <c r="F29" s="460" t="s">
        <v>954</v>
      </c>
      <c r="G29" s="461">
        <v>3</v>
      </c>
    </row>
    <row r="30" spans="1:7" s="510" customFormat="1" ht="11.25" customHeight="1">
      <c r="A30" s="458" t="s">
        <v>129</v>
      </c>
      <c r="B30" s="502">
        <v>982.67243959237351</v>
      </c>
      <c r="C30" s="563" t="s">
        <v>870</v>
      </c>
      <c r="D30" s="501">
        <v>50000</v>
      </c>
      <c r="E30" s="565">
        <v>982.67243959237351</v>
      </c>
      <c r="F30" s="460" t="s">
        <v>954</v>
      </c>
      <c r="G30" s="461">
        <v>1000</v>
      </c>
    </row>
    <row r="31" spans="1:7" s="510" customFormat="1" ht="11.25" customHeight="1">
      <c r="A31" s="458" t="s">
        <v>130</v>
      </c>
      <c r="B31" s="502">
        <v>0.13443335759216019</v>
      </c>
      <c r="C31" s="563" t="s">
        <v>870</v>
      </c>
      <c r="D31" s="501">
        <v>50000</v>
      </c>
      <c r="E31" s="565">
        <v>0.13443335759216019</v>
      </c>
      <c r="F31" s="460">
        <v>114.99301190674856</v>
      </c>
      <c r="G31" s="461">
        <v>340</v>
      </c>
    </row>
    <row r="32" spans="1:7" s="510" customFormat="1" ht="11.25" customHeight="1">
      <c r="A32" s="458" t="s">
        <v>131</v>
      </c>
      <c r="B32" s="502">
        <v>80</v>
      </c>
      <c r="C32" s="563" t="s">
        <v>870</v>
      </c>
      <c r="D32" s="501">
        <v>510</v>
      </c>
      <c r="E32" s="565">
        <v>80</v>
      </c>
      <c r="F32" s="460" t="s">
        <v>954</v>
      </c>
      <c r="G32" s="461">
        <v>230</v>
      </c>
    </row>
    <row r="33" spans="1:7" s="510" customFormat="1" ht="11.25" customHeight="1">
      <c r="A33" s="458" t="s">
        <v>132</v>
      </c>
      <c r="B33" s="502">
        <v>16</v>
      </c>
      <c r="C33" s="563" t="s">
        <v>1410</v>
      </c>
      <c r="D33" s="501">
        <v>50000</v>
      </c>
      <c r="E33" s="565">
        <v>18.72653049057315</v>
      </c>
      <c r="F33" s="460">
        <v>412.95811722027219</v>
      </c>
      <c r="G33" s="461">
        <v>16</v>
      </c>
    </row>
    <row r="34" spans="1:7" s="510" customFormat="1" ht="11.25" customHeight="1">
      <c r="A34" s="458" t="s">
        <v>133</v>
      </c>
      <c r="B34" s="502">
        <v>3</v>
      </c>
      <c r="C34" s="563" t="s">
        <v>1410</v>
      </c>
      <c r="D34" s="501">
        <v>50000</v>
      </c>
      <c r="E34" s="565">
        <v>5</v>
      </c>
      <c r="F34" s="460" t="s">
        <v>954</v>
      </c>
      <c r="G34" s="461">
        <v>3</v>
      </c>
    </row>
    <row r="35" spans="1:7" s="510" customFormat="1" ht="11.25" customHeight="1">
      <c r="A35" s="458" t="s">
        <v>134</v>
      </c>
      <c r="B35" s="502">
        <v>5</v>
      </c>
      <c r="C35" s="563" t="s">
        <v>870</v>
      </c>
      <c r="D35" s="501">
        <v>520</v>
      </c>
      <c r="E35" s="565">
        <v>5</v>
      </c>
      <c r="F35" s="460">
        <v>109.78360683200988</v>
      </c>
      <c r="G35" s="461">
        <v>9.8000000000000007</v>
      </c>
    </row>
    <row r="36" spans="1:7" s="510" customFormat="1" ht="11.25" customHeight="1">
      <c r="A36" s="458" t="s">
        <v>614</v>
      </c>
      <c r="B36" s="502">
        <v>4.0000000000000001E-3</v>
      </c>
      <c r="C36" s="563" t="s">
        <v>1410</v>
      </c>
      <c r="D36" s="501">
        <v>2.5</v>
      </c>
      <c r="E36" s="565">
        <v>2</v>
      </c>
      <c r="F36" s="460" t="s">
        <v>954</v>
      </c>
      <c r="G36" s="461">
        <v>4.0000000000000001E-3</v>
      </c>
    </row>
    <row r="37" spans="1:7" s="510" customFormat="1" ht="11.25" customHeight="1">
      <c r="A37" s="458" t="s">
        <v>135</v>
      </c>
      <c r="B37" s="502">
        <v>0.36542309808186513</v>
      </c>
      <c r="C37" s="563" t="s">
        <v>870</v>
      </c>
      <c r="D37" s="501">
        <v>50000</v>
      </c>
      <c r="E37" s="565">
        <v>0.36542309808186513</v>
      </c>
      <c r="F37" s="460" t="s">
        <v>954</v>
      </c>
      <c r="G37" s="461">
        <v>19</v>
      </c>
    </row>
    <row r="38" spans="1:7" s="510" customFormat="1" ht="11.25" customHeight="1">
      <c r="A38" s="458" t="s">
        <v>136</v>
      </c>
      <c r="B38" s="502">
        <v>25</v>
      </c>
      <c r="C38" s="563" t="s">
        <v>1410</v>
      </c>
      <c r="D38" s="501">
        <v>50</v>
      </c>
      <c r="E38" s="565">
        <v>100</v>
      </c>
      <c r="F38" s="460">
        <v>12400.875594724155</v>
      </c>
      <c r="G38" s="461">
        <v>25</v>
      </c>
    </row>
    <row r="39" spans="1:7" s="510" customFormat="1" ht="11.25" customHeight="1">
      <c r="A39" s="458" t="s">
        <v>781</v>
      </c>
      <c r="B39" s="502">
        <v>16</v>
      </c>
      <c r="C39" s="563" t="s">
        <v>270</v>
      </c>
      <c r="D39" s="501">
        <v>16</v>
      </c>
      <c r="E39" s="565">
        <v>47673.469387755096</v>
      </c>
      <c r="F39" s="460">
        <v>241595.47466143908</v>
      </c>
      <c r="G39" s="461">
        <v>47673.469387755096</v>
      </c>
    </row>
    <row r="40" spans="1:7" ht="11.25" customHeight="1">
      <c r="A40" s="464" t="s">
        <v>137</v>
      </c>
      <c r="B40" s="502">
        <v>28</v>
      </c>
      <c r="C40" s="563" t="s">
        <v>1410</v>
      </c>
      <c r="D40" s="501">
        <v>2400</v>
      </c>
      <c r="E40" s="565">
        <v>70</v>
      </c>
      <c r="F40" s="460">
        <v>108.3094022043858</v>
      </c>
      <c r="G40" s="461">
        <v>28</v>
      </c>
    </row>
    <row r="41" spans="1:7" ht="11.25" customHeight="1">
      <c r="A41" s="458" t="s">
        <v>782</v>
      </c>
      <c r="B41" s="502">
        <v>1072.6530612244896</v>
      </c>
      <c r="C41" s="563" t="s">
        <v>1410</v>
      </c>
      <c r="D41" s="501">
        <v>50000</v>
      </c>
      <c r="E41" s="565">
        <v>1072.6530612244896</v>
      </c>
      <c r="F41" s="460">
        <v>5216.5892543454502</v>
      </c>
      <c r="G41" s="461">
        <v>1072.6530612244896</v>
      </c>
    </row>
    <row r="42" spans="1:7" ht="11.25" customHeight="1">
      <c r="A42" s="458" t="s">
        <v>138</v>
      </c>
      <c r="B42" s="502">
        <v>0.18</v>
      </c>
      <c r="C42" s="563" t="s">
        <v>270</v>
      </c>
      <c r="D42" s="501">
        <v>0.18</v>
      </c>
      <c r="E42" s="565">
        <v>63.498535425025516</v>
      </c>
      <c r="F42" s="460">
        <v>87854.768508615263</v>
      </c>
      <c r="G42" s="461">
        <v>32</v>
      </c>
    </row>
    <row r="43" spans="1:7" ht="11.25" customHeight="1">
      <c r="A43" s="458" t="s">
        <v>612</v>
      </c>
      <c r="B43" s="502">
        <v>11</v>
      </c>
      <c r="C43" s="563" t="s">
        <v>1410</v>
      </c>
      <c r="D43" s="501">
        <v>50000</v>
      </c>
      <c r="E43" s="565">
        <v>100</v>
      </c>
      <c r="F43" s="460" t="s">
        <v>954</v>
      </c>
      <c r="G43" s="461">
        <v>11</v>
      </c>
    </row>
    <row r="44" spans="1:7" ht="11.25" customHeight="1">
      <c r="A44" s="458" t="s">
        <v>779</v>
      </c>
      <c r="B44" s="502">
        <v>20</v>
      </c>
      <c r="C44" s="563" t="s">
        <v>1410</v>
      </c>
      <c r="D44" s="501">
        <v>50000</v>
      </c>
      <c r="E44" s="565" t="s">
        <v>954</v>
      </c>
      <c r="F44" s="460" t="s">
        <v>954</v>
      </c>
      <c r="G44" s="461">
        <v>20</v>
      </c>
    </row>
    <row r="45" spans="1:7" ht="11.25" customHeight="1">
      <c r="A45" s="458" t="s">
        <v>780</v>
      </c>
      <c r="B45" s="502">
        <v>0.19900033728897804</v>
      </c>
      <c r="C45" s="563" t="s">
        <v>870</v>
      </c>
      <c r="D45" s="501">
        <v>50000</v>
      </c>
      <c r="E45" s="565">
        <v>0.19900033728897804</v>
      </c>
      <c r="F45" s="460" t="s">
        <v>954</v>
      </c>
      <c r="G45" s="461">
        <v>11</v>
      </c>
    </row>
    <row r="46" spans="1:7" ht="11.25" customHeight="1">
      <c r="A46" s="458" t="s">
        <v>139</v>
      </c>
      <c r="B46" s="502">
        <v>0.24436179506530475</v>
      </c>
      <c r="C46" s="563" t="s">
        <v>870</v>
      </c>
      <c r="D46" s="501">
        <v>1</v>
      </c>
      <c r="E46" s="565">
        <v>0.24436179506530475</v>
      </c>
      <c r="F46" s="460" t="s">
        <v>954</v>
      </c>
      <c r="G46" s="461">
        <v>2</v>
      </c>
    </row>
    <row r="47" spans="1:7" ht="11.25" customHeight="1">
      <c r="A47" s="458" t="s">
        <v>140</v>
      </c>
      <c r="B47" s="502">
        <v>2.4124513715922085</v>
      </c>
      <c r="C47" s="563" t="s">
        <v>870</v>
      </c>
      <c r="D47" s="501">
        <v>50000</v>
      </c>
      <c r="E47" s="565">
        <v>2.4124513715922085</v>
      </c>
      <c r="F47" s="460" t="s">
        <v>954</v>
      </c>
      <c r="G47" s="461">
        <v>19</v>
      </c>
    </row>
    <row r="48" spans="1:7" ht="11.25" customHeight="1">
      <c r="A48" s="458" t="s">
        <v>141</v>
      </c>
      <c r="B48" s="502">
        <v>2.9</v>
      </c>
      <c r="C48" s="563" t="s">
        <v>1410</v>
      </c>
      <c r="D48" s="501">
        <v>1000</v>
      </c>
      <c r="E48" s="565">
        <v>1300</v>
      </c>
      <c r="F48" s="460" t="s">
        <v>954</v>
      </c>
      <c r="G48" s="461">
        <v>2.9</v>
      </c>
    </row>
    <row r="49" spans="1:7" ht="11.25" customHeight="1">
      <c r="A49" s="458" t="s">
        <v>142</v>
      </c>
      <c r="B49" s="502">
        <v>1</v>
      </c>
      <c r="C49" s="563" t="s">
        <v>1410</v>
      </c>
      <c r="D49" s="501">
        <v>170</v>
      </c>
      <c r="E49" s="565">
        <v>200</v>
      </c>
      <c r="F49" s="460" t="s">
        <v>1394</v>
      </c>
      <c r="G49" s="461">
        <v>1</v>
      </c>
    </row>
    <row r="50" spans="1:7" ht="11.25" customHeight="1">
      <c r="A50" s="462" t="s">
        <v>96</v>
      </c>
      <c r="B50" s="502">
        <v>0.96590800338662852</v>
      </c>
      <c r="C50" s="563" t="s">
        <v>870</v>
      </c>
      <c r="D50" s="501">
        <v>29850</v>
      </c>
      <c r="E50" s="565">
        <v>0.96590800338662852</v>
      </c>
      <c r="F50" s="460" t="s">
        <v>954</v>
      </c>
      <c r="G50" s="461">
        <v>79</v>
      </c>
    </row>
    <row r="51" spans="1:7" ht="11.25" customHeight="1">
      <c r="A51" s="458" t="s">
        <v>97</v>
      </c>
      <c r="B51" s="502">
        <v>200</v>
      </c>
      <c r="C51" s="563" t="s">
        <v>870</v>
      </c>
      <c r="D51" s="501">
        <v>50000</v>
      </c>
      <c r="E51" s="565">
        <v>200</v>
      </c>
      <c r="F51" s="460" t="s">
        <v>954</v>
      </c>
      <c r="G51" s="461">
        <v>300</v>
      </c>
    </row>
    <row r="52" spans="1:7" ht="11.25" customHeight="1">
      <c r="A52" s="458" t="s">
        <v>143</v>
      </c>
      <c r="B52" s="502">
        <v>4.814241578730157E-3</v>
      </c>
      <c r="C52" s="563" t="s">
        <v>870</v>
      </c>
      <c r="D52" s="501">
        <v>1.25</v>
      </c>
      <c r="E52" s="565">
        <v>4.814241578730157E-3</v>
      </c>
      <c r="F52" s="460" t="s">
        <v>954</v>
      </c>
      <c r="G52" s="461">
        <v>0.8</v>
      </c>
    </row>
    <row r="53" spans="1:7" ht="11.25" customHeight="1">
      <c r="A53" s="458" t="s">
        <v>381</v>
      </c>
      <c r="B53" s="502">
        <v>0.04</v>
      </c>
      <c r="C53" s="563" t="s">
        <v>1410</v>
      </c>
      <c r="D53" s="501">
        <v>10</v>
      </c>
      <c r="E53" s="565">
        <v>0.04</v>
      </c>
      <c r="F53" s="460" t="s">
        <v>1394</v>
      </c>
      <c r="G53" s="461">
        <v>0.04</v>
      </c>
    </row>
    <row r="54" spans="1:7" ht="11.25" customHeight="1">
      <c r="A54" s="458" t="s">
        <v>144</v>
      </c>
      <c r="B54" s="502">
        <v>0.87111199475121337</v>
      </c>
      <c r="C54" s="563" t="s">
        <v>870</v>
      </c>
      <c r="D54" s="501">
        <v>50000</v>
      </c>
      <c r="E54" s="565">
        <v>0.87111199475121337</v>
      </c>
      <c r="F54" s="460">
        <v>49363.371203886563</v>
      </c>
      <c r="G54" s="461">
        <v>34</v>
      </c>
    </row>
    <row r="55" spans="1:7" ht="11.25" customHeight="1">
      <c r="A55" s="458" t="s">
        <v>487</v>
      </c>
      <c r="B55" s="502">
        <v>0.04</v>
      </c>
      <c r="C55" s="563" t="s">
        <v>870</v>
      </c>
      <c r="D55" s="501">
        <v>50000</v>
      </c>
      <c r="E55" s="565">
        <v>0.04</v>
      </c>
      <c r="F55" s="460">
        <v>18.617708877383702</v>
      </c>
      <c r="G55" s="461">
        <v>1400</v>
      </c>
    </row>
    <row r="56" spans="1:7" ht="11.25" customHeight="1">
      <c r="A56" s="458" t="s">
        <v>145</v>
      </c>
      <c r="B56" s="502">
        <v>10</v>
      </c>
      <c r="C56" s="563" t="s">
        <v>270</v>
      </c>
      <c r="D56" s="501">
        <v>10</v>
      </c>
      <c r="E56" s="565">
        <v>600</v>
      </c>
      <c r="F56" s="460">
        <v>83377.443722530952</v>
      </c>
      <c r="G56" s="461">
        <v>14</v>
      </c>
    </row>
    <row r="57" spans="1:7" ht="11.25" customHeight="1">
      <c r="A57" s="458" t="s">
        <v>225</v>
      </c>
      <c r="B57" s="502">
        <v>5</v>
      </c>
      <c r="C57" s="563" t="s">
        <v>270</v>
      </c>
      <c r="D57" s="501">
        <v>5</v>
      </c>
      <c r="E57" s="565">
        <v>302.48236483542229</v>
      </c>
      <c r="F57" s="460" t="s">
        <v>1394</v>
      </c>
      <c r="G57" s="461">
        <v>22</v>
      </c>
    </row>
    <row r="58" spans="1:7" ht="11.25" customHeight="1">
      <c r="A58" s="458" t="s">
        <v>226</v>
      </c>
      <c r="B58" s="502">
        <v>5</v>
      </c>
      <c r="C58" s="563" t="s">
        <v>270</v>
      </c>
      <c r="D58" s="501">
        <v>5</v>
      </c>
      <c r="E58" s="565">
        <v>75</v>
      </c>
      <c r="F58" s="460">
        <v>449.85112140655059</v>
      </c>
      <c r="G58" s="461">
        <v>9.4</v>
      </c>
    </row>
    <row r="59" spans="1:7" ht="11.25" customHeight="1">
      <c r="A59" s="458" t="s">
        <v>227</v>
      </c>
      <c r="B59" s="502">
        <v>0.12521244906182924</v>
      </c>
      <c r="C59" s="563" t="s">
        <v>870</v>
      </c>
      <c r="D59" s="501">
        <v>1550</v>
      </c>
      <c r="E59" s="565">
        <v>0.12521244906182924</v>
      </c>
      <c r="F59" s="460" t="s">
        <v>954</v>
      </c>
      <c r="G59" s="461">
        <v>4.5</v>
      </c>
    </row>
    <row r="60" spans="1:7" ht="11.25" customHeight="1">
      <c r="A60" s="458" t="s">
        <v>361</v>
      </c>
      <c r="B60" s="502">
        <v>1.0999999999999999E-2</v>
      </c>
      <c r="C60" s="563" t="s">
        <v>1410</v>
      </c>
      <c r="D60" s="501">
        <v>45</v>
      </c>
      <c r="E60" s="565">
        <v>2.5860506035294707E-2</v>
      </c>
      <c r="F60" s="460" t="s">
        <v>954</v>
      </c>
      <c r="G60" s="461">
        <v>1.0999999999999999E-2</v>
      </c>
    </row>
    <row r="61" spans="1:7" ht="11.25" customHeight="1">
      <c r="A61" s="458" t="s">
        <v>362</v>
      </c>
      <c r="B61" s="502">
        <v>8.8953098238132352E-3</v>
      </c>
      <c r="C61" s="563" t="s">
        <v>870</v>
      </c>
      <c r="D61" s="501">
        <v>20</v>
      </c>
      <c r="E61" s="565">
        <v>8.8953098238132352E-3</v>
      </c>
      <c r="F61" s="460" t="s">
        <v>954</v>
      </c>
      <c r="G61" s="461">
        <v>0.41</v>
      </c>
    </row>
    <row r="62" spans="1:7" ht="11.25" customHeight="1">
      <c r="A62" s="458" t="s">
        <v>363</v>
      </c>
      <c r="B62" s="502">
        <v>1E-3</v>
      </c>
      <c r="C62" s="563" t="s">
        <v>1410</v>
      </c>
      <c r="D62" s="501">
        <v>2.75</v>
      </c>
      <c r="E62" s="565">
        <v>6.177825520156369E-3</v>
      </c>
      <c r="F62" s="460" t="s">
        <v>954</v>
      </c>
      <c r="G62" s="461">
        <v>1E-3</v>
      </c>
    </row>
    <row r="63" spans="1:7" ht="11.25" customHeight="1">
      <c r="A63" s="458" t="s">
        <v>234</v>
      </c>
      <c r="B63" s="502">
        <v>2.7505849956546897</v>
      </c>
      <c r="C63" s="563" t="s">
        <v>870</v>
      </c>
      <c r="D63" s="501">
        <v>50000</v>
      </c>
      <c r="E63" s="565">
        <v>2.7505849956546897</v>
      </c>
      <c r="F63" s="460">
        <v>1093.4471780092338</v>
      </c>
      <c r="G63" s="461">
        <v>47</v>
      </c>
    </row>
    <row r="64" spans="1:7" ht="11.25" customHeight="1">
      <c r="A64" s="458" t="s">
        <v>235</v>
      </c>
      <c r="B64" s="502">
        <v>5</v>
      </c>
      <c r="C64" s="563" t="s">
        <v>870</v>
      </c>
      <c r="D64" s="501">
        <v>7000</v>
      </c>
      <c r="E64" s="565">
        <v>5</v>
      </c>
      <c r="F64" s="460">
        <v>182.45621075944572</v>
      </c>
      <c r="G64" s="461">
        <v>910</v>
      </c>
    </row>
    <row r="65" spans="1:7" ht="11.25" customHeight="1">
      <c r="A65" s="458" t="s">
        <v>294</v>
      </c>
      <c r="B65" s="502">
        <v>7</v>
      </c>
      <c r="C65" s="563" t="s">
        <v>870</v>
      </c>
      <c r="D65" s="501">
        <v>1500</v>
      </c>
      <c r="E65" s="565">
        <v>7</v>
      </c>
      <c r="F65" s="460">
        <v>6624.9382313275155</v>
      </c>
      <c r="G65" s="461">
        <v>25</v>
      </c>
    </row>
    <row r="66" spans="1:7" ht="11.25" customHeight="1">
      <c r="A66" s="458" t="s">
        <v>295</v>
      </c>
      <c r="B66" s="502">
        <v>70</v>
      </c>
      <c r="C66" s="563" t="s">
        <v>870</v>
      </c>
      <c r="D66" s="501">
        <v>50000</v>
      </c>
      <c r="E66" s="565">
        <v>70</v>
      </c>
      <c r="F66" s="460">
        <v>6370.7435851069322</v>
      </c>
      <c r="G66" s="461">
        <v>620</v>
      </c>
    </row>
    <row r="67" spans="1:7" ht="11.25" customHeight="1">
      <c r="A67" s="458" t="s">
        <v>228</v>
      </c>
      <c r="B67" s="502">
        <v>100</v>
      </c>
      <c r="C67" s="563" t="s">
        <v>870</v>
      </c>
      <c r="D67" s="501">
        <v>260</v>
      </c>
      <c r="E67" s="565">
        <v>100</v>
      </c>
      <c r="F67" s="460">
        <v>3298.5200508444436</v>
      </c>
      <c r="G67" s="461">
        <v>558</v>
      </c>
    </row>
    <row r="68" spans="1:7" ht="11.25" customHeight="1">
      <c r="A68" s="458" t="s">
        <v>942</v>
      </c>
      <c r="B68" s="502">
        <v>0.3</v>
      </c>
      <c r="C68" s="563" t="s">
        <v>270</v>
      </c>
      <c r="D68" s="501">
        <v>0.3</v>
      </c>
      <c r="E68" s="565">
        <v>45.691503200709541</v>
      </c>
      <c r="F68" s="460" t="s">
        <v>954</v>
      </c>
      <c r="G68" s="461">
        <v>11</v>
      </c>
    </row>
    <row r="69" spans="1:7" ht="11.25" customHeight="1">
      <c r="A69" s="458" t="s">
        <v>98</v>
      </c>
      <c r="B69" s="502">
        <v>70</v>
      </c>
      <c r="C69" s="563" t="s">
        <v>1410</v>
      </c>
      <c r="D69" s="501">
        <v>50000</v>
      </c>
      <c r="E69" s="565">
        <v>70</v>
      </c>
      <c r="F69" s="460" t="s">
        <v>954</v>
      </c>
      <c r="G69" s="461">
        <v>70</v>
      </c>
    </row>
    <row r="70" spans="1:7" ht="11.25" customHeight="1">
      <c r="A70" s="458" t="s">
        <v>943</v>
      </c>
      <c r="B70" s="502">
        <v>5</v>
      </c>
      <c r="C70" s="563" t="s">
        <v>870</v>
      </c>
      <c r="D70" s="501">
        <v>10</v>
      </c>
      <c r="E70" s="565">
        <v>5</v>
      </c>
      <c r="F70" s="460">
        <v>906.38089810273414</v>
      </c>
      <c r="G70" s="461">
        <v>520</v>
      </c>
    </row>
    <row r="71" spans="1:7" ht="11.25" customHeight="1">
      <c r="A71" s="458" t="s">
        <v>296</v>
      </c>
      <c r="B71" s="502">
        <v>0.06</v>
      </c>
      <c r="C71" s="563" t="s">
        <v>1410</v>
      </c>
      <c r="D71" s="501">
        <v>50000</v>
      </c>
      <c r="E71" s="565">
        <v>0.47246971144685262</v>
      </c>
      <c r="F71" s="460">
        <v>673.73911756880364</v>
      </c>
      <c r="G71" s="461">
        <v>0.06</v>
      </c>
    </row>
    <row r="72" spans="1:7" ht="11.25" customHeight="1">
      <c r="A72" s="458" t="s">
        <v>944</v>
      </c>
      <c r="B72" s="502">
        <v>1.9E-3</v>
      </c>
      <c r="C72" s="563" t="s">
        <v>1410</v>
      </c>
      <c r="D72" s="501">
        <v>41</v>
      </c>
      <c r="E72" s="565">
        <v>3.4549060656200404E-3</v>
      </c>
      <c r="F72" s="460" t="s">
        <v>954</v>
      </c>
      <c r="G72" s="461">
        <v>1.9E-3</v>
      </c>
    </row>
    <row r="73" spans="1:7" ht="11.25" customHeight="1">
      <c r="A73" s="458" t="s">
        <v>945</v>
      </c>
      <c r="B73" s="502">
        <v>210</v>
      </c>
      <c r="C73" s="563" t="s">
        <v>1410</v>
      </c>
      <c r="D73" s="501">
        <v>50000</v>
      </c>
      <c r="E73" s="565">
        <v>14840.349637723393</v>
      </c>
      <c r="F73" s="460" t="s">
        <v>954</v>
      </c>
      <c r="G73" s="461">
        <v>210</v>
      </c>
    </row>
    <row r="74" spans="1:7" ht="11.25" customHeight="1">
      <c r="A74" s="458" t="s">
        <v>947</v>
      </c>
      <c r="B74" s="502">
        <v>120</v>
      </c>
      <c r="C74" s="563" t="s">
        <v>1410</v>
      </c>
      <c r="D74" s="501">
        <v>400</v>
      </c>
      <c r="E74" s="565">
        <v>355.32722285616643</v>
      </c>
      <c r="F74" s="460" t="s">
        <v>954</v>
      </c>
      <c r="G74" s="461">
        <v>120</v>
      </c>
    </row>
    <row r="75" spans="1:7" ht="11.25" customHeight="1">
      <c r="A75" s="458" t="s">
        <v>946</v>
      </c>
      <c r="B75" s="502">
        <v>1100</v>
      </c>
      <c r="C75" s="563" t="s">
        <v>1410</v>
      </c>
      <c r="D75" s="501">
        <v>50000</v>
      </c>
      <c r="E75" s="565">
        <v>186554.34671245472</v>
      </c>
      <c r="F75" s="460" t="s">
        <v>954</v>
      </c>
      <c r="G75" s="461">
        <v>1100</v>
      </c>
    </row>
    <row r="76" spans="1:7" ht="11.25" customHeight="1">
      <c r="A76" s="462" t="s">
        <v>99</v>
      </c>
      <c r="B76" s="502">
        <v>1.9515311927751111</v>
      </c>
      <c r="C76" s="563" t="s">
        <v>870</v>
      </c>
      <c r="D76" s="501">
        <v>50000</v>
      </c>
      <c r="E76" s="565">
        <v>1.9515311927751111</v>
      </c>
      <c r="F76" s="460" t="s">
        <v>954</v>
      </c>
      <c r="G76" s="461">
        <v>10</v>
      </c>
    </row>
    <row r="77" spans="1:7" ht="11.25" customHeight="1">
      <c r="A77" s="458" t="s">
        <v>297</v>
      </c>
      <c r="B77" s="502">
        <v>14.3</v>
      </c>
      <c r="C77" s="563" t="s">
        <v>1410</v>
      </c>
      <c r="D77" s="501">
        <v>50000</v>
      </c>
      <c r="E77" s="565">
        <v>38.830541475137551</v>
      </c>
      <c r="F77" s="460" t="s">
        <v>954</v>
      </c>
      <c r="G77" s="461">
        <v>14.3</v>
      </c>
    </row>
    <row r="78" spans="1:7" ht="11.25" customHeight="1">
      <c r="A78" s="462" t="s">
        <v>100</v>
      </c>
      <c r="B78" s="502">
        <v>0.2374799832189621</v>
      </c>
      <c r="C78" s="563" t="s">
        <v>870</v>
      </c>
      <c r="D78" s="501">
        <v>50000</v>
      </c>
      <c r="E78" s="565">
        <v>0.2374799832189621</v>
      </c>
      <c r="F78" s="460" t="s">
        <v>954</v>
      </c>
      <c r="G78" s="461">
        <v>9.1</v>
      </c>
    </row>
    <row r="79" spans="1:7" ht="11.25" customHeight="1">
      <c r="A79" s="462" t="s">
        <v>101</v>
      </c>
      <c r="B79" s="502">
        <v>4.8541215187419794E-2</v>
      </c>
      <c r="C79" s="563" t="s">
        <v>870</v>
      </c>
      <c r="D79" s="501">
        <v>50000</v>
      </c>
      <c r="E79" s="565">
        <v>4.8541215187419794E-2</v>
      </c>
      <c r="F79" s="460" t="s">
        <v>954</v>
      </c>
      <c r="G79" s="461">
        <v>81</v>
      </c>
    </row>
    <row r="80" spans="1:7" ht="11.25" customHeight="1">
      <c r="A80" s="458" t="s">
        <v>382</v>
      </c>
      <c r="B80" s="502">
        <v>0.45905899511359882</v>
      </c>
      <c r="C80" s="563" t="s">
        <v>870</v>
      </c>
      <c r="D80" s="501">
        <v>50000</v>
      </c>
      <c r="E80" s="565">
        <v>0.45905899511359882</v>
      </c>
      <c r="F80" s="460" t="s">
        <v>1394</v>
      </c>
      <c r="G80" s="461">
        <v>335000</v>
      </c>
    </row>
    <row r="81" spans="1:7" ht="11.25" customHeight="1">
      <c r="A81" s="458" t="s">
        <v>594</v>
      </c>
      <c r="B81" s="502">
        <v>3.1E-9</v>
      </c>
      <c r="C81" s="563" t="s">
        <v>1410</v>
      </c>
      <c r="D81" s="501">
        <v>0.1</v>
      </c>
      <c r="E81" s="565">
        <v>3.0000000000000001E-5</v>
      </c>
      <c r="F81" s="460" t="s">
        <v>954</v>
      </c>
      <c r="G81" s="461">
        <v>3.1E-9</v>
      </c>
    </row>
    <row r="82" spans="1:7" ht="11.25" customHeight="1">
      <c r="A82" s="458" t="s">
        <v>102</v>
      </c>
      <c r="B82" s="502">
        <v>36.050648892392552</v>
      </c>
      <c r="C82" s="563" t="s">
        <v>870</v>
      </c>
      <c r="D82" s="501">
        <v>21000</v>
      </c>
      <c r="E82" s="565">
        <v>36.050648892392552</v>
      </c>
      <c r="F82" s="460" t="s">
        <v>954</v>
      </c>
      <c r="G82" s="461">
        <v>60</v>
      </c>
    </row>
    <row r="83" spans="1:7" ht="11.25" customHeight="1">
      <c r="A83" s="458" t="s">
        <v>370</v>
      </c>
      <c r="B83" s="502">
        <v>8.6999999999999994E-3</v>
      </c>
      <c r="C83" s="563" t="s">
        <v>1410</v>
      </c>
      <c r="D83" s="501">
        <v>162.5</v>
      </c>
      <c r="E83" s="565">
        <v>99.285903454277815</v>
      </c>
      <c r="F83" s="460" t="s">
        <v>954</v>
      </c>
      <c r="G83" s="461">
        <v>8.6999999999999994E-3</v>
      </c>
    </row>
    <row r="84" spans="1:7" ht="11.25" customHeight="1">
      <c r="A84" s="458" t="s">
        <v>337</v>
      </c>
      <c r="B84" s="502">
        <v>2.3E-3</v>
      </c>
      <c r="C84" s="563" t="s">
        <v>1410</v>
      </c>
      <c r="D84" s="501">
        <v>41</v>
      </c>
      <c r="E84" s="565">
        <v>2</v>
      </c>
      <c r="F84" s="460" t="s">
        <v>954</v>
      </c>
      <c r="G84" s="461">
        <v>2.3E-3</v>
      </c>
    </row>
    <row r="85" spans="1:7" ht="11.25" customHeight="1">
      <c r="A85" s="458" t="s">
        <v>28</v>
      </c>
      <c r="B85" s="502">
        <v>0</v>
      </c>
      <c r="C85" s="563" t="s">
        <v>1410</v>
      </c>
      <c r="D85" s="501">
        <v>50000</v>
      </c>
      <c r="E85" s="565" t="s">
        <v>954</v>
      </c>
      <c r="F85" s="460" t="s">
        <v>954</v>
      </c>
      <c r="G85" s="461">
        <v>0</v>
      </c>
    </row>
    <row r="86" spans="1:7" ht="11.25" customHeight="1">
      <c r="A86" s="458" t="s">
        <v>338</v>
      </c>
      <c r="B86" s="502">
        <v>7.3</v>
      </c>
      <c r="C86" s="563" t="s">
        <v>1410</v>
      </c>
      <c r="D86" s="501">
        <v>30</v>
      </c>
      <c r="E86" s="565">
        <v>700</v>
      </c>
      <c r="F86" s="460">
        <v>75701.315782304358</v>
      </c>
      <c r="G86" s="461">
        <v>7.3</v>
      </c>
    </row>
    <row r="87" spans="1:7" ht="11.25" customHeight="1">
      <c r="A87" s="458" t="s">
        <v>339</v>
      </c>
      <c r="B87" s="502">
        <v>0.8</v>
      </c>
      <c r="C87" s="563" t="s">
        <v>1410</v>
      </c>
      <c r="D87" s="501">
        <v>130</v>
      </c>
      <c r="E87" s="565">
        <v>112.98231171872068</v>
      </c>
      <c r="F87" s="460" t="s">
        <v>954</v>
      </c>
      <c r="G87" s="461">
        <v>0.8</v>
      </c>
    </row>
    <row r="88" spans="1:7" ht="11.25" customHeight="1">
      <c r="A88" s="458" t="s">
        <v>340</v>
      </c>
      <c r="B88" s="502">
        <v>3.9</v>
      </c>
      <c r="C88" s="563" t="s">
        <v>1410</v>
      </c>
      <c r="D88" s="501">
        <v>845</v>
      </c>
      <c r="E88" s="565">
        <v>250.08516556490937</v>
      </c>
      <c r="F88" s="460">
        <v>1690</v>
      </c>
      <c r="G88" s="461">
        <v>3.9</v>
      </c>
    </row>
    <row r="89" spans="1:7" ht="11.25" customHeight="1">
      <c r="A89" s="458" t="s">
        <v>103</v>
      </c>
      <c r="B89" s="502">
        <v>700</v>
      </c>
      <c r="C89" s="563" t="s">
        <v>870</v>
      </c>
      <c r="D89" s="501">
        <v>50000</v>
      </c>
      <c r="E89" s="565">
        <v>700</v>
      </c>
      <c r="F89" s="460" t="s">
        <v>954</v>
      </c>
      <c r="G89" s="461">
        <v>1800</v>
      </c>
    </row>
    <row r="90" spans="1:7" ht="11.25" customHeight="1">
      <c r="A90" s="458" t="s">
        <v>341</v>
      </c>
      <c r="B90" s="502">
        <v>3.5999999999999999E-3</v>
      </c>
      <c r="C90" s="563" t="s">
        <v>1410</v>
      </c>
      <c r="D90" s="501">
        <v>20</v>
      </c>
      <c r="E90" s="565">
        <v>0.4</v>
      </c>
      <c r="F90" s="460" t="s">
        <v>954</v>
      </c>
      <c r="G90" s="461">
        <v>3.5999999999999999E-3</v>
      </c>
    </row>
    <row r="91" spans="1:7" ht="11.25" customHeight="1">
      <c r="A91" s="458" t="s">
        <v>342</v>
      </c>
      <c r="B91" s="502">
        <v>3.5999999999999999E-3</v>
      </c>
      <c r="C91" s="563" t="s">
        <v>1410</v>
      </c>
      <c r="D91" s="501">
        <v>100</v>
      </c>
      <c r="E91" s="565">
        <v>0.2</v>
      </c>
      <c r="F91" s="460" t="s">
        <v>954</v>
      </c>
      <c r="G91" s="461">
        <v>3.5999999999999999E-3</v>
      </c>
    </row>
    <row r="92" spans="1:7" ht="11.25" customHeight="1">
      <c r="A92" s="458" t="s">
        <v>371</v>
      </c>
      <c r="B92" s="502">
        <v>2.9999999999999997E-4</v>
      </c>
      <c r="C92" s="563" t="s">
        <v>1410</v>
      </c>
      <c r="D92" s="501">
        <v>3.1</v>
      </c>
      <c r="E92" s="565">
        <v>1</v>
      </c>
      <c r="F92" s="460" t="s">
        <v>954</v>
      </c>
      <c r="G92" s="461">
        <v>2.9999999999999997E-4</v>
      </c>
    </row>
    <row r="93" spans="1:7" ht="11.25" customHeight="1">
      <c r="A93" s="458" t="s">
        <v>343</v>
      </c>
      <c r="B93" s="502">
        <v>0.28185208671381157</v>
      </c>
      <c r="C93" s="563" t="s">
        <v>870</v>
      </c>
      <c r="D93" s="501">
        <v>6</v>
      </c>
      <c r="E93" s="565">
        <v>0.28185208671381157</v>
      </c>
      <c r="F93" s="460" t="s">
        <v>954</v>
      </c>
      <c r="G93" s="461">
        <v>0.3</v>
      </c>
    </row>
    <row r="94" spans="1:7" ht="11.25" customHeight="1">
      <c r="A94" s="458" t="s">
        <v>364</v>
      </c>
      <c r="B94" s="502">
        <v>6.3E-2</v>
      </c>
      <c r="C94" s="563" t="s">
        <v>1410</v>
      </c>
      <c r="D94" s="501">
        <v>3650</v>
      </c>
      <c r="E94" s="565">
        <v>0.2</v>
      </c>
      <c r="F94" s="460" t="s">
        <v>954</v>
      </c>
      <c r="G94" s="461">
        <v>6.3E-2</v>
      </c>
    </row>
    <row r="95" spans="1:7" ht="11.25" customHeight="1">
      <c r="A95" s="458" t="s">
        <v>344</v>
      </c>
      <c r="B95" s="502">
        <v>0.92032782815026715</v>
      </c>
      <c r="C95" s="563" t="s">
        <v>870</v>
      </c>
      <c r="D95" s="501">
        <v>10</v>
      </c>
      <c r="E95" s="565">
        <v>0.92032782815026715</v>
      </c>
      <c r="F95" s="460" t="s">
        <v>954</v>
      </c>
      <c r="G95" s="461">
        <v>12</v>
      </c>
    </row>
    <row r="96" spans="1:7" ht="11.25" customHeight="1">
      <c r="A96" s="458" t="s">
        <v>104</v>
      </c>
      <c r="B96" s="502">
        <v>643.85147502055895</v>
      </c>
      <c r="C96" s="563" t="s">
        <v>870</v>
      </c>
      <c r="D96" s="501">
        <v>50000</v>
      </c>
      <c r="E96" s="565">
        <v>643.85147502055895</v>
      </c>
      <c r="F96" s="460" t="s">
        <v>954</v>
      </c>
      <c r="G96" s="461">
        <v>17000</v>
      </c>
    </row>
    <row r="97" spans="1:7" ht="11.25" customHeight="1">
      <c r="A97" s="458" t="s">
        <v>345</v>
      </c>
      <c r="B97" s="502">
        <v>1.7683609753016836E-2</v>
      </c>
      <c r="C97" s="563" t="s">
        <v>870</v>
      </c>
      <c r="D97" s="501">
        <v>9.5000000000000001E-2</v>
      </c>
      <c r="E97" s="565">
        <v>1.7683609753016836E-2</v>
      </c>
      <c r="F97" s="460" t="s">
        <v>954</v>
      </c>
      <c r="G97" s="461">
        <v>0.28000000000000003</v>
      </c>
    </row>
    <row r="98" spans="1:7" ht="11.25" customHeight="1">
      <c r="A98" s="458" t="s">
        <v>105</v>
      </c>
      <c r="B98" s="502">
        <v>78.070039071294488</v>
      </c>
      <c r="C98" s="563" t="s">
        <v>870</v>
      </c>
      <c r="D98" s="501">
        <v>50000</v>
      </c>
      <c r="E98" s="565">
        <v>78.070039071294488</v>
      </c>
      <c r="F98" s="460" t="s">
        <v>954</v>
      </c>
      <c r="G98" s="461">
        <v>920</v>
      </c>
    </row>
    <row r="99" spans="1:7" ht="11.25" customHeight="1">
      <c r="A99" s="458" t="s">
        <v>346</v>
      </c>
      <c r="B99" s="502">
        <v>5.6</v>
      </c>
      <c r="C99" s="563" t="s">
        <v>1410</v>
      </c>
      <c r="D99" s="501">
        <v>50000</v>
      </c>
      <c r="E99" s="565">
        <v>15</v>
      </c>
      <c r="F99" s="460" t="s">
        <v>954</v>
      </c>
      <c r="G99" s="461">
        <v>5.6</v>
      </c>
    </row>
    <row r="100" spans="1:7" ht="11.25" customHeight="1">
      <c r="A100" s="458" t="s">
        <v>347</v>
      </c>
      <c r="B100" s="502">
        <v>2.5000000000000001E-2</v>
      </c>
      <c r="C100" s="563" t="s">
        <v>1410</v>
      </c>
      <c r="D100" s="501">
        <v>50000</v>
      </c>
      <c r="E100" s="565">
        <v>2</v>
      </c>
      <c r="F100" s="460" t="s">
        <v>954</v>
      </c>
      <c r="G100" s="461">
        <v>2.5000000000000001E-2</v>
      </c>
    </row>
    <row r="101" spans="1:7" ht="11.25" customHeight="1">
      <c r="A101" s="458" t="s">
        <v>348</v>
      </c>
      <c r="B101" s="502">
        <v>0.03</v>
      </c>
      <c r="C101" s="563" t="s">
        <v>1410</v>
      </c>
      <c r="D101" s="501">
        <v>50</v>
      </c>
      <c r="E101" s="565">
        <v>40</v>
      </c>
      <c r="F101" s="460" t="s">
        <v>954</v>
      </c>
      <c r="G101" s="461">
        <v>0.03</v>
      </c>
    </row>
    <row r="102" spans="1:7" ht="11.25" customHeight="1">
      <c r="A102" s="458" t="s">
        <v>350</v>
      </c>
      <c r="B102" s="502">
        <v>8400</v>
      </c>
      <c r="C102" s="563" t="s">
        <v>270</v>
      </c>
      <c r="D102" s="501">
        <v>8400</v>
      </c>
      <c r="E102" s="565">
        <v>9943.3205762492889</v>
      </c>
      <c r="F102" s="460">
        <v>223000000</v>
      </c>
      <c r="G102" s="461">
        <v>14000</v>
      </c>
    </row>
    <row r="103" spans="1:7" ht="11.25" customHeight="1">
      <c r="A103" s="458" t="s">
        <v>351</v>
      </c>
      <c r="B103" s="502">
        <v>170</v>
      </c>
      <c r="C103" s="563" t="s">
        <v>1410</v>
      </c>
      <c r="D103" s="501">
        <v>1300</v>
      </c>
      <c r="E103" s="565">
        <v>35755.102040816324</v>
      </c>
      <c r="F103" s="460">
        <v>19000000</v>
      </c>
      <c r="G103" s="461">
        <v>170</v>
      </c>
    </row>
    <row r="104" spans="1:7" ht="11.25" customHeight="1">
      <c r="A104" s="458" t="s">
        <v>352</v>
      </c>
      <c r="B104" s="502">
        <v>2.8E-3</v>
      </c>
      <c r="C104" s="563" t="s">
        <v>1410</v>
      </c>
      <c r="D104" s="501">
        <v>50000</v>
      </c>
      <c r="E104" s="565">
        <v>1.962844121223863</v>
      </c>
      <c r="F104" s="460" t="s">
        <v>954</v>
      </c>
      <c r="G104" s="461">
        <v>2.8E-3</v>
      </c>
    </row>
    <row r="105" spans="1:7" ht="11.25" customHeight="1">
      <c r="A105" s="458" t="s">
        <v>353</v>
      </c>
      <c r="B105" s="502">
        <v>5</v>
      </c>
      <c r="C105" s="563" t="s">
        <v>270</v>
      </c>
      <c r="D105" s="501">
        <v>5</v>
      </c>
      <c r="E105" s="565">
        <v>14.30439413214298</v>
      </c>
      <c r="F105" s="460">
        <v>31043.943756596891</v>
      </c>
      <c r="G105" s="461">
        <v>730</v>
      </c>
    </row>
    <row r="106" spans="1:7" ht="11.25" customHeight="1">
      <c r="A106" s="458" t="s">
        <v>349</v>
      </c>
      <c r="B106" s="502">
        <v>5</v>
      </c>
      <c r="C106" s="563" t="s">
        <v>870</v>
      </c>
      <c r="D106" s="501">
        <v>9100</v>
      </c>
      <c r="E106" s="565">
        <v>5</v>
      </c>
      <c r="F106" s="460">
        <v>76060.351513941452</v>
      </c>
      <c r="G106" s="461">
        <v>1500</v>
      </c>
    </row>
    <row r="107" spans="1:7" ht="11.25" customHeight="1">
      <c r="A107" s="458" t="s">
        <v>590</v>
      </c>
      <c r="B107" s="502">
        <v>2.1</v>
      </c>
      <c r="C107" s="563" t="s">
        <v>1410</v>
      </c>
      <c r="D107" s="501">
        <v>10</v>
      </c>
      <c r="E107" s="565">
        <v>11.376814592975361</v>
      </c>
      <c r="F107" s="460">
        <v>25800</v>
      </c>
      <c r="G107" s="461">
        <v>2.1</v>
      </c>
    </row>
    <row r="108" spans="1:7" ht="11.25" customHeight="1">
      <c r="A108" s="458" t="s">
        <v>591</v>
      </c>
      <c r="B108" s="502">
        <v>4.7</v>
      </c>
      <c r="C108" s="563" t="s">
        <v>1410</v>
      </c>
      <c r="D108" s="501">
        <v>10</v>
      </c>
      <c r="E108" s="565">
        <v>29.559287502503544</v>
      </c>
      <c r="F108" s="460">
        <v>24600</v>
      </c>
      <c r="G108" s="461">
        <v>4.7</v>
      </c>
    </row>
    <row r="109" spans="1:7" ht="11.25" customHeight="1">
      <c r="A109" s="458" t="s">
        <v>465</v>
      </c>
      <c r="B109" s="502">
        <v>99.283946060627287</v>
      </c>
      <c r="C109" s="563" t="s">
        <v>870</v>
      </c>
      <c r="D109" s="501">
        <v>50000</v>
      </c>
      <c r="E109" s="565">
        <v>99.283946060627287</v>
      </c>
      <c r="F109" s="460" t="s">
        <v>954</v>
      </c>
      <c r="G109" s="461">
        <v>370</v>
      </c>
    </row>
    <row r="110" spans="1:7" ht="11.25" customHeight="1">
      <c r="A110" s="458" t="s">
        <v>466</v>
      </c>
      <c r="B110" s="502">
        <v>12</v>
      </c>
      <c r="C110" s="563" t="s">
        <v>1410</v>
      </c>
      <c r="D110" s="501">
        <v>21</v>
      </c>
      <c r="E110" s="565">
        <v>17</v>
      </c>
      <c r="F110" s="460">
        <v>28777.562790660297</v>
      </c>
      <c r="G110" s="461">
        <v>12</v>
      </c>
    </row>
    <row r="111" spans="1:7" ht="11.25" customHeight="1">
      <c r="A111" s="458" t="s">
        <v>812</v>
      </c>
      <c r="B111" s="502">
        <v>5</v>
      </c>
      <c r="C111" s="563" t="s">
        <v>1410</v>
      </c>
      <c r="D111" s="501">
        <v>50000</v>
      </c>
      <c r="E111" s="565">
        <v>378.45251627361586</v>
      </c>
      <c r="F111" s="460" t="s">
        <v>954</v>
      </c>
      <c r="G111" s="461">
        <v>5</v>
      </c>
    </row>
    <row r="112" spans="1:7" ht="11.25" customHeight="1">
      <c r="A112" s="462" t="s">
        <v>106</v>
      </c>
      <c r="B112" s="502">
        <v>0.14038461538461536</v>
      </c>
      <c r="C112" s="563" t="s">
        <v>870</v>
      </c>
      <c r="D112" s="501">
        <v>50000</v>
      </c>
      <c r="E112" s="565">
        <v>0.14038461538461536</v>
      </c>
      <c r="F112" s="460" t="s">
        <v>1394</v>
      </c>
      <c r="G112" s="461">
        <v>380</v>
      </c>
    </row>
    <row r="113" spans="1:7" ht="11.25" customHeight="1">
      <c r="A113" s="462" t="s">
        <v>107</v>
      </c>
      <c r="B113" s="502">
        <v>1.9602041687573981</v>
      </c>
      <c r="C113" s="563" t="s">
        <v>870</v>
      </c>
      <c r="D113" s="501">
        <v>50000</v>
      </c>
      <c r="E113" s="565">
        <v>1.9602041687573981</v>
      </c>
      <c r="F113" s="460" t="s">
        <v>954</v>
      </c>
      <c r="G113" s="461">
        <v>18</v>
      </c>
    </row>
    <row r="114" spans="1:7" ht="11.25" customHeight="1">
      <c r="A114" s="462" t="s">
        <v>108</v>
      </c>
      <c r="B114" s="502">
        <v>0.31415552893667309</v>
      </c>
      <c r="C114" s="563" t="s">
        <v>870</v>
      </c>
      <c r="D114" s="501">
        <v>50000</v>
      </c>
      <c r="E114" s="565">
        <v>0.31415552893667309</v>
      </c>
      <c r="F114" s="460" t="s">
        <v>1394</v>
      </c>
      <c r="G114" s="461">
        <v>71</v>
      </c>
    </row>
    <row r="115" spans="1:7" ht="11.25" customHeight="1">
      <c r="A115" s="462" t="s">
        <v>109</v>
      </c>
      <c r="B115" s="502">
        <v>1.7483564887195151</v>
      </c>
      <c r="C115" s="563" t="s">
        <v>870</v>
      </c>
      <c r="D115" s="501">
        <v>50000</v>
      </c>
      <c r="E115" s="565">
        <v>1.7483564887195151</v>
      </c>
      <c r="F115" s="460" t="s">
        <v>954</v>
      </c>
      <c r="G115" s="461">
        <v>42</v>
      </c>
    </row>
    <row r="116" spans="1:7" ht="11.25" customHeight="1">
      <c r="A116" s="462" t="s">
        <v>110</v>
      </c>
      <c r="B116" s="502">
        <v>4.2655457130423766</v>
      </c>
      <c r="C116" s="563" t="s">
        <v>870</v>
      </c>
      <c r="D116" s="501">
        <v>50000</v>
      </c>
      <c r="E116" s="565">
        <v>4.2655457130423766</v>
      </c>
      <c r="F116" s="460" t="s">
        <v>954</v>
      </c>
      <c r="G116" s="461">
        <v>46</v>
      </c>
    </row>
    <row r="117" spans="1:7" ht="11.25" customHeight="1">
      <c r="A117" s="458" t="s">
        <v>467</v>
      </c>
      <c r="B117" s="502">
        <v>1</v>
      </c>
      <c r="C117" s="563" t="s">
        <v>870</v>
      </c>
      <c r="D117" s="501">
        <v>30</v>
      </c>
      <c r="E117" s="565">
        <v>1</v>
      </c>
      <c r="F117" s="460" t="s">
        <v>954</v>
      </c>
      <c r="G117" s="461">
        <v>7.9</v>
      </c>
    </row>
    <row r="118" spans="1:7" ht="11.25" customHeight="1">
      <c r="A118" s="462" t="s">
        <v>111</v>
      </c>
      <c r="B118" s="502">
        <v>17.332516072630696</v>
      </c>
      <c r="C118" s="563" t="s">
        <v>870</v>
      </c>
      <c r="D118" s="501">
        <v>21500</v>
      </c>
      <c r="E118" s="565">
        <v>17.332516072630696</v>
      </c>
      <c r="F118" s="460" t="s">
        <v>954</v>
      </c>
      <c r="G118" s="461">
        <v>850000</v>
      </c>
    </row>
    <row r="119" spans="1:7" ht="11.25" customHeight="1">
      <c r="A119" s="458" t="s">
        <v>231</v>
      </c>
      <c r="B119" s="502">
        <v>15</v>
      </c>
      <c r="C119" s="563" t="s">
        <v>870</v>
      </c>
      <c r="D119" s="501">
        <v>50000</v>
      </c>
      <c r="E119" s="565">
        <v>15</v>
      </c>
      <c r="F119" s="460" t="s">
        <v>954</v>
      </c>
      <c r="G119" s="461">
        <v>600</v>
      </c>
    </row>
    <row r="120" spans="1:7" ht="11.25" customHeight="1">
      <c r="A120" s="458" t="s">
        <v>468</v>
      </c>
      <c r="B120" s="502">
        <v>2.2999999999999998</v>
      </c>
      <c r="C120" s="563" t="s">
        <v>1410</v>
      </c>
      <c r="D120" s="501">
        <v>408</v>
      </c>
      <c r="E120" s="565">
        <v>250.08516556490937</v>
      </c>
      <c r="F120" s="460" t="s">
        <v>1394</v>
      </c>
      <c r="G120" s="461">
        <v>2.2999999999999998</v>
      </c>
    </row>
    <row r="121" spans="1:7" ht="11.25" customHeight="1">
      <c r="A121" s="458" t="s">
        <v>469</v>
      </c>
      <c r="B121" s="502">
        <v>58</v>
      </c>
      <c r="C121" s="563" t="s">
        <v>1410</v>
      </c>
      <c r="D121" s="501">
        <v>7900</v>
      </c>
      <c r="E121" s="565">
        <v>5769.529995855768</v>
      </c>
      <c r="F121" s="460" t="s">
        <v>954</v>
      </c>
      <c r="G121" s="461">
        <v>58</v>
      </c>
    </row>
    <row r="122" spans="1:7" ht="11.25" customHeight="1">
      <c r="A122" s="458" t="s">
        <v>365</v>
      </c>
      <c r="B122" s="502">
        <v>1.4E-2</v>
      </c>
      <c r="C122" s="563" t="s">
        <v>1410</v>
      </c>
      <c r="D122" s="501">
        <v>21.5</v>
      </c>
      <c r="E122" s="565">
        <v>0.5</v>
      </c>
      <c r="F122" s="460" t="s">
        <v>954</v>
      </c>
      <c r="G122" s="461">
        <v>1.4E-2</v>
      </c>
    </row>
    <row r="123" spans="1:7" ht="11.25" customHeight="1">
      <c r="A123" s="458" t="s">
        <v>112</v>
      </c>
      <c r="B123" s="502">
        <v>95</v>
      </c>
      <c r="C123" s="563" t="s">
        <v>1410</v>
      </c>
      <c r="D123" s="501">
        <v>50000</v>
      </c>
      <c r="E123" s="565">
        <v>1576.0445630389663</v>
      </c>
      <c r="F123" s="460" t="s">
        <v>954</v>
      </c>
      <c r="G123" s="461">
        <v>95</v>
      </c>
    </row>
    <row r="124" spans="1:7" ht="11.25" customHeight="1">
      <c r="A124" s="458" t="s">
        <v>470</v>
      </c>
      <c r="B124" s="502">
        <v>4.5999999999999996</v>
      </c>
      <c r="C124" s="563" t="s">
        <v>1410</v>
      </c>
      <c r="D124" s="501">
        <v>67.5</v>
      </c>
      <c r="E124" s="565">
        <v>110.15672974106204</v>
      </c>
      <c r="F124" s="460">
        <v>135</v>
      </c>
      <c r="G124" s="461">
        <v>4.5999999999999996</v>
      </c>
    </row>
    <row r="125" spans="1:7" ht="11.25" customHeight="1">
      <c r="A125" s="458" t="s">
        <v>471</v>
      </c>
      <c r="B125" s="502">
        <v>5</v>
      </c>
      <c r="C125" s="563" t="s">
        <v>1410</v>
      </c>
      <c r="D125" s="501">
        <v>50000</v>
      </c>
      <c r="E125" s="565">
        <v>50</v>
      </c>
      <c r="F125" s="460" t="s">
        <v>954</v>
      </c>
      <c r="G125" s="461">
        <v>5</v>
      </c>
    </row>
    <row r="126" spans="1:7" ht="11.25" customHeight="1">
      <c r="A126" s="458" t="s">
        <v>813</v>
      </c>
      <c r="B126" s="502">
        <v>0.1</v>
      </c>
      <c r="C126" s="563" t="s">
        <v>1410</v>
      </c>
      <c r="D126" s="501">
        <v>100</v>
      </c>
      <c r="E126" s="565">
        <v>100.24879588690277</v>
      </c>
      <c r="F126" s="460" t="s">
        <v>954</v>
      </c>
      <c r="G126" s="461">
        <v>0.1</v>
      </c>
    </row>
    <row r="127" spans="1:7" ht="11.25" customHeight="1">
      <c r="A127" s="458" t="s">
        <v>113</v>
      </c>
      <c r="B127" s="502">
        <v>4</v>
      </c>
      <c r="C127" s="563" t="s">
        <v>870</v>
      </c>
      <c r="D127" s="501">
        <v>3100</v>
      </c>
      <c r="E127" s="565">
        <v>4</v>
      </c>
      <c r="F127" s="460" t="s">
        <v>954</v>
      </c>
      <c r="G127" s="461">
        <v>9</v>
      </c>
    </row>
    <row r="128" spans="1:7" ht="11.25" customHeight="1">
      <c r="A128" s="458" t="s">
        <v>472</v>
      </c>
      <c r="B128" s="502">
        <v>10</v>
      </c>
      <c r="C128" s="563" t="s">
        <v>270</v>
      </c>
      <c r="D128" s="501">
        <v>10</v>
      </c>
      <c r="E128" s="565">
        <v>100</v>
      </c>
      <c r="F128" s="460">
        <v>310000</v>
      </c>
      <c r="G128" s="461">
        <v>32</v>
      </c>
    </row>
    <row r="129" spans="1:7" ht="11.25" customHeight="1">
      <c r="A129" s="458" t="s">
        <v>114</v>
      </c>
      <c r="B129" s="502">
        <v>251.31929956026045</v>
      </c>
      <c r="C129" s="563" t="s">
        <v>1410</v>
      </c>
      <c r="D129" s="501">
        <v>50000</v>
      </c>
      <c r="E129" s="565">
        <v>251.31929956026045</v>
      </c>
      <c r="F129" s="460" t="s">
        <v>954</v>
      </c>
      <c r="G129" s="461">
        <v>251.31929956026045</v>
      </c>
    </row>
    <row r="130" spans="1:7" ht="11.25" customHeight="1">
      <c r="A130" s="458" t="s">
        <v>19</v>
      </c>
      <c r="B130" s="502">
        <v>59.526771727540208</v>
      </c>
      <c r="C130" s="563" t="s">
        <v>870</v>
      </c>
      <c r="D130" s="501">
        <v>50000</v>
      </c>
      <c r="E130" s="565">
        <v>59.526771727540208</v>
      </c>
      <c r="F130" s="460" t="s">
        <v>1394</v>
      </c>
      <c r="G130" s="461">
        <v>18000</v>
      </c>
    </row>
    <row r="131" spans="1:7" ht="11.25" customHeight="1">
      <c r="A131" s="458" t="s">
        <v>473</v>
      </c>
      <c r="B131" s="502">
        <v>0.57369738025483408</v>
      </c>
      <c r="C131" s="563" t="s">
        <v>870</v>
      </c>
      <c r="D131" s="501">
        <v>50000</v>
      </c>
      <c r="E131" s="565">
        <v>0.57369738025483408</v>
      </c>
      <c r="F131" s="460" t="s">
        <v>1394</v>
      </c>
      <c r="G131" s="461">
        <v>10.8</v>
      </c>
    </row>
    <row r="132" spans="1:7" ht="11.25" customHeight="1">
      <c r="A132" s="458" t="s">
        <v>474</v>
      </c>
      <c r="B132" s="502">
        <v>7.5738899992116304E-2</v>
      </c>
      <c r="C132" s="563" t="s">
        <v>870</v>
      </c>
      <c r="D132" s="501">
        <v>500</v>
      </c>
      <c r="E132" s="565">
        <v>7.5738899992116304E-2</v>
      </c>
      <c r="F132" s="460">
        <v>240.39246728311088</v>
      </c>
      <c r="G132" s="461">
        <v>200</v>
      </c>
    </row>
    <row r="133" spans="1:7" ht="11.25" customHeight="1">
      <c r="A133" s="458" t="s">
        <v>475</v>
      </c>
      <c r="B133" s="502">
        <v>5</v>
      </c>
      <c r="C133" s="563" t="s">
        <v>870</v>
      </c>
      <c r="D133" s="501">
        <v>170</v>
      </c>
      <c r="E133" s="565">
        <v>5</v>
      </c>
      <c r="F133" s="460">
        <v>194.19961168935555</v>
      </c>
      <c r="G133" s="461">
        <v>53</v>
      </c>
    </row>
    <row r="134" spans="1:7" ht="11.25" customHeight="1">
      <c r="A134" s="458" t="s">
        <v>115</v>
      </c>
      <c r="B134" s="502">
        <v>1.2</v>
      </c>
      <c r="C134" s="563" t="s">
        <v>1410</v>
      </c>
      <c r="D134" s="501">
        <v>11500</v>
      </c>
      <c r="E134" s="565">
        <v>222.64948848261417</v>
      </c>
      <c r="F134" s="460" t="s">
        <v>954</v>
      </c>
      <c r="G134" s="461">
        <v>1.2</v>
      </c>
    </row>
    <row r="135" spans="1:7" ht="11.25" customHeight="1">
      <c r="A135" s="462" t="s">
        <v>116</v>
      </c>
      <c r="B135" s="502">
        <v>220</v>
      </c>
      <c r="C135" s="563" t="s">
        <v>1410</v>
      </c>
      <c r="D135" s="501">
        <v>2500</v>
      </c>
      <c r="E135" s="565">
        <v>1001.1634345604283</v>
      </c>
      <c r="F135" s="460" t="s">
        <v>954</v>
      </c>
      <c r="G135" s="461">
        <v>220</v>
      </c>
    </row>
    <row r="136" spans="1:7" ht="11.25" customHeight="1">
      <c r="A136" s="458" t="s">
        <v>476</v>
      </c>
      <c r="B136" s="502">
        <v>2</v>
      </c>
      <c r="C136" s="563" t="s">
        <v>870</v>
      </c>
      <c r="D136" s="501">
        <v>50000</v>
      </c>
      <c r="E136" s="565">
        <v>2</v>
      </c>
      <c r="F136" s="460" t="s">
        <v>954</v>
      </c>
      <c r="G136" s="461">
        <v>6</v>
      </c>
    </row>
    <row r="137" spans="1:7" ht="11.25" customHeight="1">
      <c r="A137" s="458" t="s">
        <v>366</v>
      </c>
      <c r="B137" s="502">
        <v>9.8000000000000007</v>
      </c>
      <c r="C137" s="563" t="s">
        <v>1410</v>
      </c>
      <c r="D137" s="501">
        <v>40</v>
      </c>
      <c r="E137" s="565">
        <v>1000</v>
      </c>
      <c r="F137" s="460">
        <v>526000</v>
      </c>
      <c r="G137" s="461">
        <v>9.8000000000000007</v>
      </c>
    </row>
    <row r="138" spans="1:7" ht="11.25" customHeight="1">
      <c r="A138" s="458" t="s">
        <v>20</v>
      </c>
      <c r="B138" s="502">
        <v>2.0000000000000001E-4</v>
      </c>
      <c r="C138" s="563" t="s">
        <v>1410</v>
      </c>
      <c r="D138" s="501">
        <v>140</v>
      </c>
      <c r="E138" s="565">
        <v>3</v>
      </c>
      <c r="F138" s="460" t="s">
        <v>954</v>
      </c>
      <c r="G138" s="461">
        <v>2.0000000000000001E-4</v>
      </c>
    </row>
    <row r="139" spans="1:7" ht="11.25" customHeight="1">
      <c r="A139" s="458" t="s">
        <v>57</v>
      </c>
      <c r="B139" s="502">
        <v>73.986001486842099</v>
      </c>
      <c r="C139" s="563" t="s">
        <v>870</v>
      </c>
      <c r="D139" s="501">
        <v>500</v>
      </c>
      <c r="E139" s="565">
        <v>73.986001486842099</v>
      </c>
      <c r="F139" s="460" t="s">
        <v>1394</v>
      </c>
      <c r="G139" s="461">
        <v>500</v>
      </c>
    </row>
    <row r="140" spans="1:7" ht="11.25" customHeight="1">
      <c r="A140" s="458" t="s">
        <v>56</v>
      </c>
      <c r="B140" s="502">
        <v>91.174062952030283</v>
      </c>
      <c r="C140" s="563" t="s">
        <v>870</v>
      </c>
      <c r="D140" s="501">
        <v>500</v>
      </c>
      <c r="E140" s="565">
        <v>91.174062952030283</v>
      </c>
      <c r="F140" s="460" t="s">
        <v>1394</v>
      </c>
      <c r="G140" s="461">
        <v>640</v>
      </c>
    </row>
    <row r="141" spans="1:7" ht="11.25" customHeight="1">
      <c r="A141" s="458" t="s">
        <v>777</v>
      </c>
      <c r="B141" s="502">
        <v>90.983894715319366</v>
      </c>
      <c r="C141" s="563" t="s">
        <v>870</v>
      </c>
      <c r="D141" s="501">
        <v>500</v>
      </c>
      <c r="E141" s="565">
        <v>90.983894715319366</v>
      </c>
      <c r="F141" s="460" t="s">
        <v>954</v>
      </c>
      <c r="G141" s="461">
        <v>640</v>
      </c>
    </row>
    <row r="142" spans="1:7" ht="11.25" customHeight="1">
      <c r="A142" s="458" t="s">
        <v>814</v>
      </c>
      <c r="B142" s="502">
        <v>70</v>
      </c>
      <c r="C142" s="563" t="s">
        <v>870</v>
      </c>
      <c r="D142" s="501">
        <v>3000</v>
      </c>
      <c r="E142" s="565">
        <v>70</v>
      </c>
      <c r="F142" s="460">
        <v>1264.7163081734013</v>
      </c>
      <c r="G142" s="461">
        <v>110</v>
      </c>
    </row>
    <row r="143" spans="1:7" ht="11.25" customHeight="1">
      <c r="A143" s="458" t="s">
        <v>815</v>
      </c>
      <c r="B143" s="502">
        <v>11</v>
      </c>
      <c r="C143" s="563" t="s">
        <v>1410</v>
      </c>
      <c r="D143" s="501">
        <v>970</v>
      </c>
      <c r="E143" s="565">
        <v>200</v>
      </c>
      <c r="F143" s="460">
        <v>340449.97663418204</v>
      </c>
      <c r="G143" s="461">
        <v>11</v>
      </c>
    </row>
    <row r="144" spans="1:7" ht="11.25" customHeight="1">
      <c r="A144" s="458" t="s">
        <v>477</v>
      </c>
      <c r="B144" s="502">
        <v>5</v>
      </c>
      <c r="C144" s="563" t="s">
        <v>870</v>
      </c>
      <c r="D144" s="501">
        <v>50000</v>
      </c>
      <c r="E144" s="565">
        <v>5</v>
      </c>
      <c r="F144" s="460">
        <v>106.62958207144922</v>
      </c>
      <c r="G144" s="461">
        <v>730</v>
      </c>
    </row>
    <row r="145" spans="1:7" ht="11.25" customHeight="1">
      <c r="A145" s="458" t="s">
        <v>478</v>
      </c>
      <c r="B145" s="502">
        <v>5</v>
      </c>
      <c r="C145" s="563" t="s">
        <v>870</v>
      </c>
      <c r="D145" s="501">
        <v>310</v>
      </c>
      <c r="E145" s="565">
        <v>5</v>
      </c>
      <c r="F145" s="460">
        <v>208.89003096783017</v>
      </c>
      <c r="G145" s="461">
        <v>47</v>
      </c>
    </row>
    <row r="146" spans="1:7" ht="11.25" customHeight="1">
      <c r="A146" s="458" t="s">
        <v>479</v>
      </c>
      <c r="B146" s="502">
        <v>1.9</v>
      </c>
      <c r="C146" s="563" t="s">
        <v>1410</v>
      </c>
      <c r="D146" s="501">
        <v>200</v>
      </c>
      <c r="E146" s="565">
        <v>1183.1271661441667</v>
      </c>
      <c r="F146" s="460" t="s">
        <v>954</v>
      </c>
      <c r="G146" s="461">
        <v>1.9</v>
      </c>
    </row>
    <row r="147" spans="1:7" ht="11.25" customHeight="1">
      <c r="A147" s="458" t="s">
        <v>480</v>
      </c>
      <c r="B147" s="502">
        <v>4.111930278580993</v>
      </c>
      <c r="C147" s="563" t="s">
        <v>870</v>
      </c>
      <c r="D147" s="501">
        <v>100</v>
      </c>
      <c r="E147" s="565">
        <v>4.111930278580993</v>
      </c>
      <c r="F147" s="460" t="s">
        <v>954</v>
      </c>
      <c r="G147" s="461">
        <v>4.9000000000000004</v>
      </c>
    </row>
    <row r="148" spans="1:7" ht="11.25" customHeight="1">
      <c r="A148" s="462" t="s">
        <v>117</v>
      </c>
      <c r="B148" s="502">
        <v>159.78212321874378</v>
      </c>
      <c r="C148" s="563" t="s">
        <v>870</v>
      </c>
      <c r="D148" s="501">
        <v>50000</v>
      </c>
      <c r="E148" s="565">
        <v>159.78212321874378</v>
      </c>
      <c r="F148" s="460" t="s">
        <v>954</v>
      </c>
      <c r="G148" s="461">
        <v>686</v>
      </c>
    </row>
    <row r="149" spans="1:7" ht="11.25" customHeight="1">
      <c r="A149" s="458" t="s">
        <v>118</v>
      </c>
      <c r="B149" s="502">
        <v>30</v>
      </c>
      <c r="C149" s="563" t="s">
        <v>1410</v>
      </c>
      <c r="D149" s="501">
        <v>35500</v>
      </c>
      <c r="E149" s="565">
        <v>50</v>
      </c>
      <c r="F149" s="460" t="s">
        <v>954</v>
      </c>
      <c r="G149" s="461">
        <v>30</v>
      </c>
    </row>
    <row r="150" spans="1:7" ht="11.25" customHeight="1">
      <c r="A150" s="458" t="s">
        <v>119</v>
      </c>
      <c r="B150" s="502">
        <v>0.6</v>
      </c>
      <c r="C150" s="563" t="s">
        <v>870</v>
      </c>
      <c r="D150" s="501">
        <v>50000</v>
      </c>
      <c r="E150" s="565">
        <v>0.6</v>
      </c>
      <c r="F150" s="460" t="s">
        <v>1394</v>
      </c>
      <c r="G150" s="461">
        <v>14</v>
      </c>
    </row>
    <row r="151" spans="1:7" ht="11.25" customHeight="1">
      <c r="A151" s="458" t="s">
        <v>120</v>
      </c>
      <c r="B151" s="502">
        <v>3.3315808860737541</v>
      </c>
      <c r="C151" s="563" t="s">
        <v>1410</v>
      </c>
      <c r="D151" s="501">
        <v>50000</v>
      </c>
      <c r="E151" s="565">
        <v>3.3315808860737541</v>
      </c>
      <c r="F151" s="460" t="s">
        <v>1394</v>
      </c>
      <c r="G151" s="461">
        <v>3.3315808860737541</v>
      </c>
    </row>
    <row r="152" spans="1:7" ht="11.25" customHeight="1">
      <c r="A152" s="458" t="s">
        <v>602</v>
      </c>
      <c r="B152" s="502">
        <v>1.1399999999999999</v>
      </c>
      <c r="C152" s="563" t="s">
        <v>1410</v>
      </c>
      <c r="D152" s="501">
        <v>90</v>
      </c>
      <c r="E152" s="565">
        <v>2.1542811625289486</v>
      </c>
      <c r="F152" s="460" t="s">
        <v>954</v>
      </c>
      <c r="G152" s="461">
        <v>1.1399999999999999</v>
      </c>
    </row>
    <row r="153" spans="1:7" ht="11.25" customHeight="1">
      <c r="A153" s="462" t="s">
        <v>939</v>
      </c>
      <c r="B153" s="502">
        <v>10</v>
      </c>
      <c r="C153" s="563" t="s">
        <v>1410</v>
      </c>
      <c r="D153" s="501">
        <v>50000</v>
      </c>
      <c r="E153" s="565">
        <v>348.85609320878808</v>
      </c>
      <c r="F153" s="460" t="s">
        <v>954</v>
      </c>
      <c r="G153" s="461">
        <v>10</v>
      </c>
    </row>
    <row r="154" spans="1:7" ht="11.25" customHeight="1">
      <c r="A154" s="462" t="s">
        <v>603</v>
      </c>
      <c r="B154" s="502">
        <v>39.469382156875795</v>
      </c>
      <c r="C154" s="563" t="s">
        <v>1410</v>
      </c>
      <c r="D154" s="501">
        <v>37000</v>
      </c>
      <c r="E154" s="565">
        <v>39.469382156875795</v>
      </c>
      <c r="F154" s="460" t="s">
        <v>954</v>
      </c>
      <c r="G154" s="461">
        <v>39.469382156875795</v>
      </c>
    </row>
    <row r="155" spans="1:7" ht="11.25" customHeight="1">
      <c r="A155" s="462" t="s">
        <v>605</v>
      </c>
      <c r="B155" s="502">
        <v>2.5352139902671289</v>
      </c>
      <c r="C155" s="563" t="s">
        <v>870</v>
      </c>
      <c r="D155" s="501">
        <v>50000</v>
      </c>
      <c r="E155" s="565">
        <v>2.5352139902671289</v>
      </c>
      <c r="F155" s="460" t="s">
        <v>954</v>
      </c>
      <c r="G155" s="461">
        <v>13</v>
      </c>
    </row>
    <row r="156" spans="1:7" ht="11.25" customHeight="1">
      <c r="A156" s="458" t="s">
        <v>481</v>
      </c>
      <c r="B156" s="502">
        <v>27</v>
      </c>
      <c r="C156" s="563" t="s">
        <v>1410</v>
      </c>
      <c r="D156" s="501">
        <v>50000</v>
      </c>
      <c r="E156" s="565">
        <v>96.249320745069994</v>
      </c>
      <c r="F156" s="460" t="s">
        <v>954</v>
      </c>
      <c r="G156" s="461">
        <v>27</v>
      </c>
    </row>
    <row r="157" spans="1:7" ht="11.25" customHeight="1">
      <c r="A157" s="458" t="s">
        <v>482</v>
      </c>
      <c r="B157" s="502">
        <v>2</v>
      </c>
      <c r="C157" s="563" t="s">
        <v>870</v>
      </c>
      <c r="D157" s="501">
        <v>3400</v>
      </c>
      <c r="E157" s="565">
        <v>2</v>
      </c>
      <c r="F157" s="460">
        <v>18.496958233562776</v>
      </c>
      <c r="G157" s="461">
        <v>930</v>
      </c>
    </row>
    <row r="158" spans="1:7" ht="11.25" customHeight="1">
      <c r="A158" s="458" t="s">
        <v>483</v>
      </c>
      <c r="B158" s="502">
        <v>13</v>
      </c>
      <c r="C158" s="563" t="s">
        <v>1410</v>
      </c>
      <c r="D158" s="501">
        <v>20</v>
      </c>
      <c r="E158" s="565">
        <v>10000</v>
      </c>
      <c r="F158" s="460">
        <v>106000</v>
      </c>
      <c r="G158" s="461">
        <v>13</v>
      </c>
    </row>
    <row r="159" spans="1:7" ht="11.25" customHeight="1" thickBot="1">
      <c r="A159" s="516" t="s">
        <v>484</v>
      </c>
      <c r="B159" s="509">
        <v>22</v>
      </c>
      <c r="C159" s="705" t="s">
        <v>1410</v>
      </c>
      <c r="D159" s="627">
        <v>5000</v>
      </c>
      <c r="E159" s="575">
        <v>5987.048392076199</v>
      </c>
      <c r="F159" s="468" t="s">
        <v>954</v>
      </c>
      <c r="G159" s="469">
        <v>22</v>
      </c>
    </row>
    <row r="160" spans="1:7" ht="11.25" customHeight="1" thickTop="1">
      <c r="A160" s="474" t="s">
        <v>488</v>
      </c>
      <c r="G160" s="476"/>
    </row>
    <row r="161" spans="1:7" ht="11.25" customHeight="1">
      <c r="A161" s="474" t="s">
        <v>255</v>
      </c>
      <c r="G161" s="476"/>
    </row>
    <row r="162" spans="1:7" ht="11.25" customHeight="1">
      <c r="A162" s="474" t="s">
        <v>394</v>
      </c>
      <c r="G162" s="476"/>
    </row>
    <row r="163" spans="1:7" ht="11.25" customHeight="1">
      <c r="A163" s="474"/>
      <c r="G163" s="476"/>
    </row>
    <row r="164" spans="1:7" ht="11.25" customHeight="1">
      <c r="A164" s="479" t="s">
        <v>778</v>
      </c>
      <c r="G164" s="476"/>
    </row>
    <row r="165" spans="1:7" ht="11.25" customHeight="1">
      <c r="A165" s="479" t="s">
        <v>258</v>
      </c>
      <c r="G165" s="476"/>
    </row>
    <row r="166" spans="1:7" ht="11.25" customHeight="1">
      <c r="A166" s="479" t="s">
        <v>776</v>
      </c>
      <c r="G166" s="476"/>
    </row>
    <row r="167" spans="1:7" ht="11.25" customHeight="1">
      <c r="A167" s="479" t="s">
        <v>259</v>
      </c>
      <c r="G167" s="476"/>
    </row>
    <row r="168" spans="1:7" ht="11.25" customHeight="1">
      <c r="A168" s="479" t="s">
        <v>284</v>
      </c>
      <c r="G168" s="476"/>
    </row>
    <row r="169" spans="1:7" ht="11.25" customHeight="1">
      <c r="A169" s="479" t="s">
        <v>1079</v>
      </c>
      <c r="G169" s="476"/>
    </row>
    <row r="170" spans="1:7" ht="11.25" customHeight="1">
      <c r="A170" s="479" t="s">
        <v>260</v>
      </c>
      <c r="G170" s="476"/>
    </row>
    <row r="171" spans="1:7" ht="11.25" customHeight="1">
      <c r="A171" s="479" t="s">
        <v>1080</v>
      </c>
      <c r="G171" s="476"/>
    </row>
    <row r="172" spans="1:7" ht="11.25" customHeight="1">
      <c r="A172" s="479" t="s">
        <v>1161</v>
      </c>
      <c r="G172" s="476"/>
    </row>
    <row r="173" spans="1:7" ht="11.25" customHeight="1">
      <c r="A173" s="479" t="s">
        <v>758</v>
      </c>
      <c r="G173" s="476"/>
    </row>
    <row r="174" spans="1:7" ht="11.25" customHeight="1" thickBot="1">
      <c r="A174" s="706" t="s">
        <v>261</v>
      </c>
      <c r="B174" s="663"/>
      <c r="C174" s="579"/>
      <c r="D174" s="663"/>
      <c r="E174" s="663"/>
      <c r="F174" s="663"/>
      <c r="G174" s="664"/>
    </row>
    <row r="175" spans="1:7" ht="10.5" thickTop="1"/>
  </sheetData>
  <sheetProtection algorithmName="SHA-512" hashValue="BM5gK47pESLOh/pNL/GBCz7chJRGloqUFF1/IkfGo1+hlOcmdK1raRTVw7zjiysM0u4PafDGwK1k34QkYDFFNQ==" saltValue="/2J3KJWbtzJ4082PB1o/pQ==" spinCount="100000" sheet="1" objects="1" scenarios="1"/>
  <mergeCells count="3">
    <mergeCell ref="B4:B5"/>
    <mergeCell ref="A1:G1"/>
    <mergeCell ref="A4:A5"/>
  </mergeCells>
  <phoneticPr fontId="0" type="noConversion"/>
  <printOptions horizontalCentered="1"/>
  <pageMargins left="0.17" right="0.16" top="0.53" bottom="1" header="0.5" footer="0.5"/>
  <pageSetup scale="78" fitToHeight="4" orientation="landscape" r:id="rId1"/>
  <headerFooter alignWithMargins="0">
    <oddFooter>&amp;LHawai'i DOH
Spring 2024&amp;C&amp;8Page &amp;P of &amp;N&amp;R&amp;A</oddFooter>
  </headerFooter>
  <rowBreaks count="1" manualBreakCount="1">
    <brk id="156"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29"/>
    <pageSetUpPr fitToPage="1"/>
  </sheetPr>
  <dimension ref="A1:G175"/>
  <sheetViews>
    <sheetView zoomScaleNormal="100" workbookViewId="0">
      <pane ySplit="3075" topLeftCell="A6" activePane="bottomLeft"/>
      <selection activeCell="B7" sqref="B7"/>
      <selection pane="bottomLeft" activeCell="B17" sqref="B17"/>
    </sheetView>
  </sheetViews>
  <sheetFormatPr defaultColWidth="9.1328125" defaultRowHeight="10.15"/>
  <cols>
    <col min="1" max="1" width="40.73046875" style="1" customWidth="1"/>
    <col min="2" max="2" width="12.59765625" style="475" customWidth="1"/>
    <col min="3" max="3" width="20.73046875" style="609" customWidth="1"/>
    <col min="4" max="4" width="12.265625" style="475" customWidth="1"/>
    <col min="5" max="5" width="8.86328125" style="475" customWidth="1"/>
    <col min="6" max="6" width="15.73046875" style="475" customWidth="1"/>
    <col min="7" max="7" width="13.73046875" style="475" customWidth="1"/>
    <col min="8" max="16384" width="9.1328125" style="1"/>
  </cols>
  <sheetData>
    <row r="1" spans="1:7" s="510" customFormat="1" ht="50.1" customHeight="1">
      <c r="A1" s="1430" t="s">
        <v>209</v>
      </c>
      <c r="B1" s="1434"/>
      <c r="C1" s="1434"/>
      <c r="D1" s="1434"/>
      <c r="E1" s="1434"/>
      <c r="F1" s="1434"/>
      <c r="G1" s="1217"/>
    </row>
    <row r="2" spans="1:7" s="510" customFormat="1" ht="13.9">
      <c r="A2" s="693" t="s">
        <v>30</v>
      </c>
      <c r="B2" s="530"/>
      <c r="C2" s="530"/>
      <c r="D2" s="530"/>
      <c r="E2" s="530"/>
      <c r="F2" s="530"/>
      <c r="G2" s="444"/>
    </row>
    <row r="3" spans="1:7" s="510" customFormat="1" ht="10.5" thickBot="1">
      <c r="A3" s="694"/>
      <c r="B3" s="530"/>
      <c r="C3" s="695"/>
      <c r="D3" s="530"/>
      <c r="E3" s="530"/>
      <c r="F3" s="530"/>
      <c r="G3" s="475"/>
    </row>
    <row r="4" spans="1:7" s="510" customFormat="1" ht="48.75" customHeight="1" thickTop="1">
      <c r="A4" s="1432" t="s">
        <v>613</v>
      </c>
      <c r="B4" s="1428" t="s">
        <v>718</v>
      </c>
      <c r="C4" s="696"/>
      <c r="D4" s="697" t="s">
        <v>256</v>
      </c>
      <c r="E4" s="698" t="s">
        <v>719</v>
      </c>
      <c r="F4" s="699" t="s">
        <v>547</v>
      </c>
      <c r="G4" s="700" t="s">
        <v>178</v>
      </c>
    </row>
    <row r="5" spans="1:7" s="510" customFormat="1" ht="15.75" customHeight="1" thickBot="1">
      <c r="A5" s="1433"/>
      <c r="B5" s="1429"/>
      <c r="C5" s="701" t="s">
        <v>485</v>
      </c>
      <c r="D5" s="702" t="s">
        <v>720</v>
      </c>
      <c r="E5" s="553" t="s">
        <v>808</v>
      </c>
      <c r="F5" s="703" t="s">
        <v>721</v>
      </c>
      <c r="G5" s="704" t="s">
        <v>403</v>
      </c>
    </row>
    <row r="6" spans="1:7" s="510" customFormat="1" ht="11.25" customHeight="1">
      <c r="A6" s="454" t="s">
        <v>548</v>
      </c>
      <c r="B6" s="498">
        <v>20</v>
      </c>
      <c r="C6" s="557" t="s">
        <v>270</v>
      </c>
      <c r="D6" s="497">
        <v>20</v>
      </c>
      <c r="E6" s="559">
        <v>440.71710632991795</v>
      </c>
      <c r="F6" s="456">
        <v>3900</v>
      </c>
      <c r="G6" s="457">
        <v>320</v>
      </c>
    </row>
    <row r="7" spans="1:7" s="510" customFormat="1" ht="11.25" customHeight="1">
      <c r="A7" s="458" t="s">
        <v>549</v>
      </c>
      <c r="B7" s="502">
        <v>300</v>
      </c>
      <c r="C7" s="563" t="s">
        <v>1410</v>
      </c>
      <c r="D7" s="501">
        <v>1965</v>
      </c>
      <c r="E7" s="565">
        <v>300.42394562926046</v>
      </c>
      <c r="F7" s="460" t="s">
        <v>1394</v>
      </c>
      <c r="G7" s="461">
        <v>300</v>
      </c>
    </row>
    <row r="8" spans="1:7" s="510" customFormat="1" ht="11.25" customHeight="1">
      <c r="A8" s="458" t="s">
        <v>550</v>
      </c>
      <c r="B8" s="502">
        <v>6044.7756876580943</v>
      </c>
      <c r="C8" s="563" t="s">
        <v>870</v>
      </c>
      <c r="D8" s="501">
        <v>20000</v>
      </c>
      <c r="E8" s="565">
        <v>6044.7756876580943</v>
      </c>
      <c r="F8" s="460">
        <v>66142841.963876456</v>
      </c>
      <c r="G8" s="461">
        <v>15000</v>
      </c>
    </row>
    <row r="9" spans="1:7" s="510" customFormat="1" ht="11.25" customHeight="1">
      <c r="A9" s="458" t="s">
        <v>551</v>
      </c>
      <c r="B9" s="502">
        <v>1.2053821078383794E-3</v>
      </c>
      <c r="C9" s="563" t="s">
        <v>870</v>
      </c>
      <c r="D9" s="501">
        <v>8.5</v>
      </c>
      <c r="E9" s="565">
        <v>1.2053821078383794E-3</v>
      </c>
      <c r="F9" s="460" t="s">
        <v>954</v>
      </c>
      <c r="G9" s="461">
        <v>1.3</v>
      </c>
    </row>
    <row r="10" spans="1:7" s="510" customFormat="1" ht="11.25" customHeight="1">
      <c r="A10" s="458" t="s">
        <v>161</v>
      </c>
      <c r="B10" s="502">
        <v>152.33581908424497</v>
      </c>
      <c r="C10" s="563" t="s">
        <v>870</v>
      </c>
      <c r="D10" s="501">
        <v>50000</v>
      </c>
      <c r="E10" s="565">
        <v>152.33581908424497</v>
      </c>
      <c r="F10" s="460" t="s">
        <v>954</v>
      </c>
      <c r="G10" s="461">
        <v>1800</v>
      </c>
    </row>
    <row r="11" spans="1:7" s="510" customFormat="1" ht="11.25" customHeight="1">
      <c r="A11" s="462" t="s">
        <v>162</v>
      </c>
      <c r="B11" s="502">
        <v>1.9300404753783804</v>
      </c>
      <c r="C11" s="563" t="s">
        <v>870</v>
      </c>
      <c r="D11" s="501">
        <v>50000</v>
      </c>
      <c r="E11" s="565">
        <v>1.9300404753783804</v>
      </c>
      <c r="F11" s="460" t="s">
        <v>954</v>
      </c>
      <c r="G11" s="461">
        <v>160</v>
      </c>
    </row>
    <row r="12" spans="1:7" s="510" customFormat="1" ht="11.25" customHeight="1">
      <c r="A12" s="462" t="s">
        <v>94</v>
      </c>
      <c r="B12" s="502">
        <v>1.9300404753783804</v>
      </c>
      <c r="C12" s="563" t="s">
        <v>870</v>
      </c>
      <c r="D12" s="501">
        <v>50000</v>
      </c>
      <c r="E12" s="565">
        <v>1.9300404753783804</v>
      </c>
      <c r="F12" s="460" t="s">
        <v>954</v>
      </c>
      <c r="G12" s="461">
        <v>98</v>
      </c>
    </row>
    <row r="13" spans="1:7" s="510" customFormat="1" ht="11.25" customHeight="1">
      <c r="A13" s="458" t="s">
        <v>552</v>
      </c>
      <c r="B13" s="502">
        <v>0.18</v>
      </c>
      <c r="C13" s="563" t="s">
        <v>1410</v>
      </c>
      <c r="D13" s="501">
        <v>21.5</v>
      </c>
      <c r="E13" s="565">
        <v>1555.5081429297898</v>
      </c>
      <c r="F13" s="460">
        <v>43</v>
      </c>
      <c r="G13" s="461">
        <v>0.18</v>
      </c>
    </row>
    <row r="14" spans="1:7" s="510" customFormat="1" ht="11.25" customHeight="1">
      <c r="A14" s="458" t="s">
        <v>553</v>
      </c>
      <c r="B14" s="502">
        <v>6</v>
      </c>
      <c r="C14" s="563" t="s">
        <v>870</v>
      </c>
      <c r="D14" s="501">
        <v>50000</v>
      </c>
      <c r="E14" s="565">
        <v>6</v>
      </c>
      <c r="F14" s="460" t="s">
        <v>954</v>
      </c>
      <c r="G14" s="461">
        <v>180</v>
      </c>
    </row>
    <row r="15" spans="1:7" s="510" customFormat="1" ht="11.25" customHeight="1">
      <c r="A15" s="458" t="s">
        <v>686</v>
      </c>
      <c r="B15" s="502">
        <v>10</v>
      </c>
      <c r="C15" s="563" t="s">
        <v>870</v>
      </c>
      <c r="D15" s="501">
        <v>50000</v>
      </c>
      <c r="E15" s="565">
        <v>10</v>
      </c>
      <c r="F15" s="460" t="s">
        <v>954</v>
      </c>
      <c r="G15" s="461">
        <v>69</v>
      </c>
    </row>
    <row r="16" spans="1:7" s="510" customFormat="1" ht="11.25" customHeight="1">
      <c r="A16" s="458" t="s">
        <v>95</v>
      </c>
      <c r="B16" s="502">
        <v>3</v>
      </c>
      <c r="C16" s="563" t="s">
        <v>870</v>
      </c>
      <c r="D16" s="501">
        <v>20</v>
      </c>
      <c r="E16" s="565">
        <v>3</v>
      </c>
      <c r="F16" s="460" t="s">
        <v>954</v>
      </c>
      <c r="G16" s="461">
        <v>330</v>
      </c>
    </row>
    <row r="17" spans="1:7" s="510" customFormat="1" ht="11.25" customHeight="1">
      <c r="A17" s="458" t="s">
        <v>687</v>
      </c>
      <c r="B17" s="502">
        <v>2000</v>
      </c>
      <c r="C17" s="563" t="s">
        <v>1410</v>
      </c>
      <c r="D17" s="501">
        <v>50000</v>
      </c>
      <c r="E17" s="565">
        <v>2000</v>
      </c>
      <c r="F17" s="460" t="s">
        <v>954</v>
      </c>
      <c r="G17" s="461">
        <v>2000</v>
      </c>
    </row>
    <row r="18" spans="1:7" s="510" customFormat="1" ht="11.25" customHeight="1">
      <c r="A18" s="458" t="s">
        <v>1156</v>
      </c>
      <c r="B18" s="502">
        <v>2.8</v>
      </c>
      <c r="C18" s="563" t="s">
        <v>1410</v>
      </c>
      <c r="D18" s="501">
        <v>1900</v>
      </c>
      <c r="E18" s="565">
        <v>970.75939529186087</v>
      </c>
      <c r="F18" s="460" t="s">
        <v>954</v>
      </c>
      <c r="G18" s="461">
        <v>2.8</v>
      </c>
    </row>
    <row r="19" spans="1:7" s="510" customFormat="1" ht="11.25" customHeight="1">
      <c r="A19" s="458" t="s">
        <v>688</v>
      </c>
      <c r="B19" s="502">
        <v>5</v>
      </c>
      <c r="C19" s="563" t="s">
        <v>870</v>
      </c>
      <c r="D19" s="501">
        <v>170</v>
      </c>
      <c r="E19" s="565">
        <v>5</v>
      </c>
      <c r="F19" s="460">
        <v>2250.3937370979761</v>
      </c>
      <c r="G19" s="461">
        <v>1700</v>
      </c>
    </row>
    <row r="20" spans="1:7" s="510" customFormat="1" ht="11.25" customHeight="1">
      <c r="A20" s="458" t="s">
        <v>689</v>
      </c>
      <c r="B20" s="502">
        <v>5.1725078228107436E-2</v>
      </c>
      <c r="C20" s="563" t="s">
        <v>870</v>
      </c>
      <c r="D20" s="501">
        <v>4.7</v>
      </c>
      <c r="E20" s="565">
        <v>5.1725078228107436E-2</v>
      </c>
      <c r="F20" s="460" t="s">
        <v>954</v>
      </c>
      <c r="G20" s="461">
        <v>300</v>
      </c>
    </row>
    <row r="21" spans="1:7" s="510" customFormat="1" ht="11.25" customHeight="1">
      <c r="A21" s="458" t="s">
        <v>690</v>
      </c>
      <c r="B21" s="502">
        <v>0.2</v>
      </c>
      <c r="C21" s="563" t="s">
        <v>870</v>
      </c>
      <c r="D21" s="501">
        <v>0.8</v>
      </c>
      <c r="E21" s="565">
        <v>0.2</v>
      </c>
      <c r="F21" s="460" t="s">
        <v>954</v>
      </c>
      <c r="G21" s="461">
        <v>300</v>
      </c>
    </row>
    <row r="22" spans="1:7" s="510" customFormat="1" ht="11.25" customHeight="1">
      <c r="A22" s="458" t="s">
        <v>691</v>
      </c>
      <c r="B22" s="502">
        <v>5.8130821430763209E-2</v>
      </c>
      <c r="C22" s="563" t="s">
        <v>870</v>
      </c>
      <c r="D22" s="501">
        <v>0.75</v>
      </c>
      <c r="E22" s="565">
        <v>5.8130821430763209E-2</v>
      </c>
      <c r="F22" s="460" t="s">
        <v>954</v>
      </c>
      <c r="G22" s="461">
        <v>300</v>
      </c>
    </row>
    <row r="23" spans="1:7" s="510" customFormat="1" ht="11.25" customHeight="1">
      <c r="A23" s="458" t="s">
        <v>692</v>
      </c>
      <c r="B23" s="502">
        <v>0.12999999999999998</v>
      </c>
      <c r="C23" s="563" t="s">
        <v>270</v>
      </c>
      <c r="D23" s="501">
        <v>0.12999999999999998</v>
      </c>
      <c r="E23" s="565">
        <v>64.666936648154106</v>
      </c>
      <c r="F23" s="460" t="s">
        <v>954</v>
      </c>
      <c r="G23" s="461">
        <v>300</v>
      </c>
    </row>
    <row r="24" spans="1:7" s="510" customFormat="1" ht="11.25" customHeight="1">
      <c r="A24" s="458" t="s">
        <v>693</v>
      </c>
      <c r="B24" s="502">
        <v>0.36149950113611862</v>
      </c>
      <c r="C24" s="563" t="s">
        <v>870</v>
      </c>
      <c r="D24" s="501">
        <v>0.4</v>
      </c>
      <c r="E24" s="565">
        <v>0.36149950113611862</v>
      </c>
      <c r="F24" s="460" t="s">
        <v>954</v>
      </c>
      <c r="G24" s="461">
        <v>300</v>
      </c>
    </row>
    <row r="25" spans="1:7" s="510" customFormat="1" ht="11.25" customHeight="1">
      <c r="A25" s="458" t="s">
        <v>126</v>
      </c>
      <c r="B25" s="502">
        <v>4</v>
      </c>
      <c r="C25" s="563" t="s">
        <v>870</v>
      </c>
      <c r="D25" s="501">
        <v>50000</v>
      </c>
      <c r="E25" s="565">
        <v>4</v>
      </c>
      <c r="F25" s="460" t="s">
        <v>954</v>
      </c>
      <c r="G25" s="461">
        <v>35</v>
      </c>
    </row>
    <row r="26" spans="1:7" s="510" customFormat="1" ht="11.25" customHeight="1">
      <c r="A26" s="458" t="s">
        <v>233</v>
      </c>
      <c r="B26" s="502">
        <v>0.5</v>
      </c>
      <c r="C26" s="563" t="s">
        <v>270</v>
      </c>
      <c r="D26" s="501">
        <v>0.5</v>
      </c>
      <c r="E26" s="565">
        <v>3.9111581830845297</v>
      </c>
      <c r="F26" s="460" t="s">
        <v>1394</v>
      </c>
      <c r="G26" s="461">
        <v>26</v>
      </c>
    </row>
    <row r="27" spans="1:7" s="510" customFormat="1" ht="11.25" customHeight="1">
      <c r="A27" s="458" t="s">
        <v>127</v>
      </c>
      <c r="B27" s="502">
        <v>1.3650810195927489E-2</v>
      </c>
      <c r="C27" s="563" t="s">
        <v>870</v>
      </c>
      <c r="D27" s="501">
        <v>360</v>
      </c>
      <c r="E27" s="565">
        <v>1.3650810195927489E-2</v>
      </c>
      <c r="F27" s="460">
        <v>175.65607394552634</v>
      </c>
      <c r="G27" s="461">
        <v>23800</v>
      </c>
    </row>
    <row r="28" spans="1:7" s="510" customFormat="1" ht="11.25" customHeight="1">
      <c r="A28" s="503" t="s">
        <v>1103</v>
      </c>
      <c r="B28" s="502">
        <v>0.35711381953846194</v>
      </c>
      <c r="C28" s="563" t="s">
        <v>1410</v>
      </c>
      <c r="D28" s="501">
        <v>320</v>
      </c>
      <c r="E28" s="565">
        <v>0.35711381953846194</v>
      </c>
      <c r="F28" s="460" t="s">
        <v>1394</v>
      </c>
      <c r="G28" s="461">
        <v>0.35711381953846194</v>
      </c>
    </row>
    <row r="29" spans="1:7" s="510" customFormat="1" ht="11.25" customHeight="1">
      <c r="A29" s="458" t="s">
        <v>128</v>
      </c>
      <c r="B29" s="502">
        <v>6</v>
      </c>
      <c r="C29" s="563" t="s">
        <v>870</v>
      </c>
      <c r="D29" s="501">
        <v>135</v>
      </c>
      <c r="E29" s="565">
        <v>6</v>
      </c>
      <c r="F29" s="460" t="s">
        <v>954</v>
      </c>
      <c r="G29" s="461">
        <v>27</v>
      </c>
    </row>
    <row r="30" spans="1:7" s="510" customFormat="1" ht="11.25" customHeight="1">
      <c r="A30" s="458" t="s">
        <v>129</v>
      </c>
      <c r="B30" s="502">
        <v>982.67243959237351</v>
      </c>
      <c r="C30" s="563" t="s">
        <v>870</v>
      </c>
      <c r="D30" s="501">
        <v>50000</v>
      </c>
      <c r="E30" s="565">
        <v>982.67243959237351</v>
      </c>
      <c r="F30" s="460" t="s">
        <v>954</v>
      </c>
      <c r="G30" s="461">
        <v>34000</v>
      </c>
    </row>
    <row r="31" spans="1:7" s="510" customFormat="1" ht="11.25" customHeight="1">
      <c r="A31" s="458" t="s">
        <v>130</v>
      </c>
      <c r="B31" s="502">
        <v>0.13443335759216019</v>
      </c>
      <c r="C31" s="563" t="s">
        <v>870</v>
      </c>
      <c r="D31" s="501">
        <v>50000</v>
      </c>
      <c r="E31" s="565">
        <v>0.13443335759216019</v>
      </c>
      <c r="F31" s="460">
        <v>114.99301190674856</v>
      </c>
      <c r="G31" s="461">
        <v>3100</v>
      </c>
    </row>
    <row r="32" spans="1:7" s="510" customFormat="1" ht="11.25" customHeight="1">
      <c r="A32" s="458" t="s">
        <v>131</v>
      </c>
      <c r="B32" s="502">
        <v>80</v>
      </c>
      <c r="C32" s="563" t="s">
        <v>870</v>
      </c>
      <c r="D32" s="501">
        <v>510</v>
      </c>
      <c r="E32" s="565">
        <v>80</v>
      </c>
      <c r="F32" s="460" t="s">
        <v>954</v>
      </c>
      <c r="G32" s="461">
        <v>1100</v>
      </c>
    </row>
    <row r="33" spans="1:7" s="510" customFormat="1" ht="11.25" customHeight="1">
      <c r="A33" s="458" t="s">
        <v>132</v>
      </c>
      <c r="B33" s="502">
        <v>18.72653049057315</v>
      </c>
      <c r="C33" s="563" t="s">
        <v>870</v>
      </c>
      <c r="D33" s="501">
        <v>50000</v>
      </c>
      <c r="E33" s="565">
        <v>18.72653049057315</v>
      </c>
      <c r="F33" s="460">
        <v>412.95811722027219</v>
      </c>
      <c r="G33" s="461">
        <v>38</v>
      </c>
    </row>
    <row r="34" spans="1:7" s="510" customFormat="1" ht="11.25" customHeight="1">
      <c r="A34" s="458" t="s">
        <v>133</v>
      </c>
      <c r="B34" s="502">
        <v>3</v>
      </c>
      <c r="C34" s="563" t="s">
        <v>1410</v>
      </c>
      <c r="D34" s="501">
        <v>50000</v>
      </c>
      <c r="E34" s="565">
        <v>5</v>
      </c>
      <c r="F34" s="460" t="s">
        <v>954</v>
      </c>
      <c r="G34" s="461">
        <v>3</v>
      </c>
    </row>
    <row r="35" spans="1:7" s="510" customFormat="1" ht="11.25" customHeight="1">
      <c r="A35" s="458" t="s">
        <v>134</v>
      </c>
      <c r="B35" s="502">
        <v>5</v>
      </c>
      <c r="C35" s="563" t="s">
        <v>870</v>
      </c>
      <c r="D35" s="501">
        <v>520</v>
      </c>
      <c r="E35" s="565">
        <v>5</v>
      </c>
      <c r="F35" s="460">
        <v>109.78360683200988</v>
      </c>
      <c r="G35" s="461">
        <v>12000</v>
      </c>
    </row>
    <row r="36" spans="1:7" s="510" customFormat="1" ht="11.25" customHeight="1">
      <c r="A36" s="458" t="s">
        <v>614</v>
      </c>
      <c r="B36" s="502">
        <v>0.09</v>
      </c>
      <c r="C36" s="563" t="s">
        <v>1410</v>
      </c>
      <c r="D36" s="501">
        <v>2.5</v>
      </c>
      <c r="E36" s="565">
        <v>2</v>
      </c>
      <c r="F36" s="460" t="s">
        <v>954</v>
      </c>
      <c r="G36" s="461">
        <v>0.09</v>
      </c>
    </row>
    <row r="37" spans="1:7" s="510" customFormat="1" ht="11.25" customHeight="1">
      <c r="A37" s="458" t="s">
        <v>135</v>
      </c>
      <c r="B37" s="502">
        <v>0.36542309808186513</v>
      </c>
      <c r="C37" s="563" t="s">
        <v>870</v>
      </c>
      <c r="D37" s="501">
        <v>50000</v>
      </c>
      <c r="E37" s="565">
        <v>0.36542309808186513</v>
      </c>
      <c r="F37" s="460" t="s">
        <v>954</v>
      </c>
      <c r="G37" s="461">
        <v>459</v>
      </c>
    </row>
    <row r="38" spans="1:7" s="510" customFormat="1" ht="11.25" customHeight="1">
      <c r="A38" s="458" t="s">
        <v>136</v>
      </c>
      <c r="B38" s="502">
        <v>50</v>
      </c>
      <c r="C38" s="563" t="s">
        <v>270</v>
      </c>
      <c r="D38" s="501">
        <v>50</v>
      </c>
      <c r="E38" s="565">
        <v>100</v>
      </c>
      <c r="F38" s="460">
        <v>12400.875594724155</v>
      </c>
      <c r="G38" s="461">
        <v>220</v>
      </c>
    </row>
    <row r="39" spans="1:7" s="510" customFormat="1" ht="11.25" customHeight="1">
      <c r="A39" s="458" t="s">
        <v>781</v>
      </c>
      <c r="B39" s="502">
        <v>16</v>
      </c>
      <c r="C39" s="563" t="s">
        <v>270</v>
      </c>
      <c r="D39" s="501">
        <v>16</v>
      </c>
      <c r="E39" s="565">
        <v>47673.469387755096</v>
      </c>
      <c r="F39" s="460">
        <v>241595.47466143908</v>
      </c>
      <c r="G39" s="461">
        <v>47673.469387755096</v>
      </c>
    </row>
    <row r="40" spans="1:7" ht="11.25" customHeight="1">
      <c r="A40" s="464" t="s">
        <v>137</v>
      </c>
      <c r="B40" s="502">
        <v>70</v>
      </c>
      <c r="C40" s="563" t="s">
        <v>870</v>
      </c>
      <c r="D40" s="501">
        <v>2400</v>
      </c>
      <c r="E40" s="565">
        <v>70</v>
      </c>
      <c r="F40" s="460">
        <v>108.3094022043858</v>
      </c>
      <c r="G40" s="461">
        <v>490</v>
      </c>
    </row>
    <row r="41" spans="1:7" ht="11.25" customHeight="1">
      <c r="A41" s="458" t="s">
        <v>782</v>
      </c>
      <c r="B41" s="502">
        <v>1072.6530612244896</v>
      </c>
      <c r="C41" s="563" t="s">
        <v>1410</v>
      </c>
      <c r="D41" s="501">
        <v>50000</v>
      </c>
      <c r="E41" s="565">
        <v>1072.6530612244896</v>
      </c>
      <c r="F41" s="460">
        <v>5216.5892543454502</v>
      </c>
      <c r="G41" s="461">
        <v>1072.6530612244896</v>
      </c>
    </row>
    <row r="42" spans="1:7" ht="11.25" customHeight="1">
      <c r="A42" s="458" t="s">
        <v>138</v>
      </c>
      <c r="B42" s="502">
        <v>0.18</v>
      </c>
      <c r="C42" s="563" t="s">
        <v>270</v>
      </c>
      <c r="D42" s="501">
        <v>0.18</v>
      </c>
      <c r="E42" s="565">
        <v>63.498535425025516</v>
      </c>
      <c r="F42" s="460">
        <v>87854.768508615263</v>
      </c>
      <c r="G42" s="461">
        <v>400</v>
      </c>
    </row>
    <row r="43" spans="1:7" ht="11.25" customHeight="1">
      <c r="A43" s="458" t="s">
        <v>612</v>
      </c>
      <c r="B43" s="502">
        <v>16</v>
      </c>
      <c r="C43" s="563" t="s">
        <v>1410</v>
      </c>
      <c r="D43" s="501">
        <v>50000</v>
      </c>
      <c r="E43" s="565">
        <v>100</v>
      </c>
      <c r="F43" s="460" t="s">
        <v>954</v>
      </c>
      <c r="G43" s="461">
        <v>16</v>
      </c>
    </row>
    <row r="44" spans="1:7" ht="11.25" customHeight="1">
      <c r="A44" s="458" t="s">
        <v>779</v>
      </c>
      <c r="B44" s="502">
        <v>570</v>
      </c>
      <c r="C44" s="563" t="s">
        <v>1410</v>
      </c>
      <c r="D44" s="501">
        <v>50000</v>
      </c>
      <c r="E44" s="565" t="s">
        <v>954</v>
      </c>
      <c r="F44" s="460" t="s">
        <v>954</v>
      </c>
      <c r="G44" s="461">
        <v>570</v>
      </c>
    </row>
    <row r="45" spans="1:7" ht="11.25" customHeight="1">
      <c r="A45" s="458" t="s">
        <v>780</v>
      </c>
      <c r="B45" s="502">
        <v>0.19900033728897804</v>
      </c>
      <c r="C45" s="563" t="s">
        <v>870</v>
      </c>
      <c r="D45" s="501">
        <v>50000</v>
      </c>
      <c r="E45" s="565">
        <v>0.19900033728897804</v>
      </c>
      <c r="F45" s="460" t="s">
        <v>954</v>
      </c>
      <c r="G45" s="461">
        <v>16</v>
      </c>
    </row>
    <row r="46" spans="1:7" ht="11.25" customHeight="1">
      <c r="A46" s="458" t="s">
        <v>139</v>
      </c>
      <c r="B46" s="502">
        <v>0.24436179506530475</v>
      </c>
      <c r="C46" s="563" t="s">
        <v>870</v>
      </c>
      <c r="D46" s="501">
        <v>1</v>
      </c>
      <c r="E46" s="565">
        <v>0.24436179506530475</v>
      </c>
      <c r="F46" s="460" t="s">
        <v>954</v>
      </c>
      <c r="G46" s="461">
        <v>300</v>
      </c>
    </row>
    <row r="47" spans="1:7" ht="11.25" customHeight="1">
      <c r="A47" s="458" t="s">
        <v>140</v>
      </c>
      <c r="B47" s="502">
        <v>2.4124513715922085</v>
      </c>
      <c r="C47" s="563" t="s">
        <v>870</v>
      </c>
      <c r="D47" s="501">
        <v>50000</v>
      </c>
      <c r="E47" s="565">
        <v>2.4124513715922085</v>
      </c>
      <c r="F47" s="460" t="s">
        <v>954</v>
      </c>
      <c r="G47" s="461">
        <v>120</v>
      </c>
    </row>
    <row r="48" spans="1:7" ht="11.25" customHeight="1">
      <c r="A48" s="458" t="s">
        <v>141</v>
      </c>
      <c r="B48" s="502">
        <v>2.9</v>
      </c>
      <c r="C48" s="563" t="s">
        <v>1410</v>
      </c>
      <c r="D48" s="501">
        <v>1000</v>
      </c>
      <c r="E48" s="565">
        <v>1300</v>
      </c>
      <c r="F48" s="460" t="s">
        <v>954</v>
      </c>
      <c r="G48" s="461">
        <v>2.9</v>
      </c>
    </row>
    <row r="49" spans="1:7" ht="11.25" customHeight="1">
      <c r="A49" s="458" t="s">
        <v>142</v>
      </c>
      <c r="B49" s="502">
        <v>1</v>
      </c>
      <c r="C49" s="563" t="s">
        <v>1410</v>
      </c>
      <c r="D49" s="501">
        <v>170</v>
      </c>
      <c r="E49" s="565">
        <v>200</v>
      </c>
      <c r="F49" s="460" t="s">
        <v>1394</v>
      </c>
      <c r="G49" s="461">
        <v>1</v>
      </c>
    </row>
    <row r="50" spans="1:7" ht="11.25" customHeight="1">
      <c r="A50" s="462" t="s">
        <v>96</v>
      </c>
      <c r="B50" s="502">
        <v>0.96590800338662852</v>
      </c>
      <c r="C50" s="563" t="s">
        <v>870</v>
      </c>
      <c r="D50" s="501">
        <v>29850</v>
      </c>
      <c r="E50" s="565">
        <v>0.96590800338662852</v>
      </c>
      <c r="F50" s="460" t="s">
        <v>954</v>
      </c>
      <c r="G50" s="461">
        <v>520</v>
      </c>
    </row>
    <row r="51" spans="1:7" ht="11.25" customHeight="1">
      <c r="A51" s="458" t="s">
        <v>97</v>
      </c>
      <c r="B51" s="502">
        <v>200</v>
      </c>
      <c r="C51" s="563" t="s">
        <v>870</v>
      </c>
      <c r="D51" s="501">
        <v>50000</v>
      </c>
      <c r="E51" s="565">
        <v>200</v>
      </c>
      <c r="F51" s="460" t="s">
        <v>954</v>
      </c>
      <c r="G51" s="461">
        <v>3000</v>
      </c>
    </row>
    <row r="52" spans="1:7" ht="11.25" customHeight="1">
      <c r="A52" s="458" t="s">
        <v>143</v>
      </c>
      <c r="B52" s="502">
        <v>4.814241578730157E-3</v>
      </c>
      <c r="C52" s="563" t="s">
        <v>870</v>
      </c>
      <c r="D52" s="501">
        <v>1.25</v>
      </c>
      <c r="E52" s="565">
        <v>4.814241578730157E-3</v>
      </c>
      <c r="F52" s="460" t="s">
        <v>954</v>
      </c>
      <c r="G52" s="461">
        <v>300</v>
      </c>
    </row>
    <row r="53" spans="1:7" ht="11.25" customHeight="1">
      <c r="A53" s="458" t="s">
        <v>381</v>
      </c>
      <c r="B53" s="502">
        <v>0.04</v>
      </c>
      <c r="C53" s="563" t="s">
        <v>1410</v>
      </c>
      <c r="D53" s="501">
        <v>10</v>
      </c>
      <c r="E53" s="565">
        <v>0.04</v>
      </c>
      <c r="F53" s="460" t="s">
        <v>1394</v>
      </c>
      <c r="G53" s="461">
        <v>0.04</v>
      </c>
    </row>
    <row r="54" spans="1:7" ht="11.25" customHeight="1">
      <c r="A54" s="458" t="s">
        <v>144</v>
      </c>
      <c r="B54" s="502">
        <v>0.87111199475121337</v>
      </c>
      <c r="C54" s="563" t="s">
        <v>870</v>
      </c>
      <c r="D54" s="501">
        <v>50000</v>
      </c>
      <c r="E54" s="565">
        <v>0.87111199475121337</v>
      </c>
      <c r="F54" s="460">
        <v>49363.371203886563</v>
      </c>
      <c r="G54" s="461">
        <v>2900</v>
      </c>
    </row>
    <row r="55" spans="1:7" ht="11.25" customHeight="1">
      <c r="A55" s="458" t="s">
        <v>487</v>
      </c>
      <c r="B55" s="502">
        <v>0.04</v>
      </c>
      <c r="C55" s="563" t="s">
        <v>870</v>
      </c>
      <c r="D55" s="501">
        <v>50000</v>
      </c>
      <c r="E55" s="565">
        <v>0.04</v>
      </c>
      <c r="F55" s="460">
        <v>18.617708877383702</v>
      </c>
      <c r="G55" s="461">
        <v>1400</v>
      </c>
    </row>
    <row r="56" spans="1:7" ht="11.25" customHeight="1">
      <c r="A56" s="458" t="s">
        <v>145</v>
      </c>
      <c r="B56" s="502">
        <v>10</v>
      </c>
      <c r="C56" s="563" t="s">
        <v>270</v>
      </c>
      <c r="D56" s="501">
        <v>10</v>
      </c>
      <c r="E56" s="565">
        <v>600</v>
      </c>
      <c r="F56" s="460">
        <v>83377.443722530952</v>
      </c>
      <c r="G56" s="461">
        <v>370</v>
      </c>
    </row>
    <row r="57" spans="1:7" ht="11.25" customHeight="1">
      <c r="A57" s="458" t="s">
        <v>225</v>
      </c>
      <c r="B57" s="502">
        <v>5</v>
      </c>
      <c r="C57" s="563" t="s">
        <v>270</v>
      </c>
      <c r="D57" s="501">
        <v>5</v>
      </c>
      <c r="E57" s="565">
        <v>302.48236483542229</v>
      </c>
      <c r="F57" s="460" t="s">
        <v>1394</v>
      </c>
      <c r="G57" s="461">
        <v>370</v>
      </c>
    </row>
    <row r="58" spans="1:7" ht="11.25" customHeight="1">
      <c r="A58" s="458" t="s">
        <v>226</v>
      </c>
      <c r="B58" s="502">
        <v>5</v>
      </c>
      <c r="C58" s="563" t="s">
        <v>270</v>
      </c>
      <c r="D58" s="501">
        <v>5</v>
      </c>
      <c r="E58" s="565">
        <v>75</v>
      </c>
      <c r="F58" s="460">
        <v>449.85112140655059</v>
      </c>
      <c r="G58" s="461">
        <v>370</v>
      </c>
    </row>
    <row r="59" spans="1:7" ht="11.25" customHeight="1">
      <c r="A59" s="458" t="s">
        <v>227</v>
      </c>
      <c r="B59" s="502">
        <v>0.12521244906182924</v>
      </c>
      <c r="C59" s="563" t="s">
        <v>870</v>
      </c>
      <c r="D59" s="501">
        <v>1550</v>
      </c>
      <c r="E59" s="565">
        <v>0.12521244906182924</v>
      </c>
      <c r="F59" s="460" t="s">
        <v>954</v>
      </c>
      <c r="G59" s="461">
        <v>41</v>
      </c>
    </row>
    <row r="60" spans="1:7" ht="11.25" customHeight="1">
      <c r="A60" s="458" t="s">
        <v>361</v>
      </c>
      <c r="B60" s="502">
        <v>2.5860506035294707E-2</v>
      </c>
      <c r="C60" s="563" t="s">
        <v>870</v>
      </c>
      <c r="D60" s="501">
        <v>45</v>
      </c>
      <c r="E60" s="565">
        <v>2.5860506035294707E-2</v>
      </c>
      <c r="F60" s="460" t="s">
        <v>954</v>
      </c>
      <c r="G60" s="461">
        <v>0.19</v>
      </c>
    </row>
    <row r="61" spans="1:7" ht="11.25" customHeight="1">
      <c r="A61" s="458" t="s">
        <v>362</v>
      </c>
      <c r="B61" s="502">
        <v>8.8953098238132352E-3</v>
      </c>
      <c r="C61" s="563" t="s">
        <v>870</v>
      </c>
      <c r="D61" s="501">
        <v>20</v>
      </c>
      <c r="E61" s="565">
        <v>8.8953098238132352E-3</v>
      </c>
      <c r="F61" s="460" t="s">
        <v>954</v>
      </c>
      <c r="G61" s="461">
        <v>7</v>
      </c>
    </row>
    <row r="62" spans="1:7" ht="11.25" customHeight="1">
      <c r="A62" s="458" t="s">
        <v>363</v>
      </c>
      <c r="B62" s="502">
        <v>6.177825520156369E-3</v>
      </c>
      <c r="C62" s="563" t="s">
        <v>870</v>
      </c>
      <c r="D62" s="501">
        <v>2.75</v>
      </c>
      <c r="E62" s="565">
        <v>6.177825520156369E-3</v>
      </c>
      <c r="F62" s="460" t="s">
        <v>954</v>
      </c>
      <c r="G62" s="461">
        <v>1.2999999999999999E-2</v>
      </c>
    </row>
    <row r="63" spans="1:7" ht="11.25" customHeight="1">
      <c r="A63" s="458" t="s">
        <v>234</v>
      </c>
      <c r="B63" s="502">
        <v>2.7505849956546897</v>
      </c>
      <c r="C63" s="563" t="s">
        <v>870</v>
      </c>
      <c r="D63" s="501">
        <v>50000</v>
      </c>
      <c r="E63" s="565">
        <v>2.7505849956546897</v>
      </c>
      <c r="F63" s="460">
        <v>1093.4471780092338</v>
      </c>
      <c r="G63" s="461">
        <v>830</v>
      </c>
    </row>
    <row r="64" spans="1:7" ht="11.25" customHeight="1">
      <c r="A64" s="458" t="s">
        <v>235</v>
      </c>
      <c r="B64" s="502">
        <v>5</v>
      </c>
      <c r="C64" s="563" t="s">
        <v>870</v>
      </c>
      <c r="D64" s="501">
        <v>7000</v>
      </c>
      <c r="E64" s="565">
        <v>5</v>
      </c>
      <c r="F64" s="460">
        <v>182.45621075944572</v>
      </c>
      <c r="G64" s="461">
        <v>38000</v>
      </c>
    </row>
    <row r="65" spans="1:7" ht="11.25" customHeight="1">
      <c r="A65" s="458" t="s">
        <v>294</v>
      </c>
      <c r="B65" s="502">
        <v>7</v>
      </c>
      <c r="C65" s="563" t="s">
        <v>870</v>
      </c>
      <c r="D65" s="501">
        <v>1500</v>
      </c>
      <c r="E65" s="565">
        <v>7</v>
      </c>
      <c r="F65" s="460">
        <v>6624.9382313275155</v>
      </c>
      <c r="G65" s="461">
        <v>3900</v>
      </c>
    </row>
    <row r="66" spans="1:7" ht="11.25" customHeight="1">
      <c r="A66" s="458" t="s">
        <v>295</v>
      </c>
      <c r="B66" s="502">
        <v>70</v>
      </c>
      <c r="C66" s="563" t="s">
        <v>870</v>
      </c>
      <c r="D66" s="501">
        <v>50000</v>
      </c>
      <c r="E66" s="565">
        <v>70</v>
      </c>
      <c r="F66" s="460">
        <v>6370.7435851069322</v>
      </c>
      <c r="G66" s="461">
        <v>5500</v>
      </c>
    </row>
    <row r="67" spans="1:7" ht="11.25" customHeight="1">
      <c r="A67" s="458" t="s">
        <v>228</v>
      </c>
      <c r="B67" s="502">
        <v>100</v>
      </c>
      <c r="C67" s="563" t="s">
        <v>870</v>
      </c>
      <c r="D67" s="501">
        <v>260</v>
      </c>
      <c r="E67" s="565">
        <v>100</v>
      </c>
      <c r="F67" s="460">
        <v>3298.5200508444436</v>
      </c>
      <c r="G67" s="461">
        <v>10046</v>
      </c>
    </row>
    <row r="68" spans="1:7" ht="11.25" customHeight="1">
      <c r="A68" s="458" t="s">
        <v>942</v>
      </c>
      <c r="B68" s="502">
        <v>0.3</v>
      </c>
      <c r="C68" s="563" t="s">
        <v>270</v>
      </c>
      <c r="D68" s="501">
        <v>0.3</v>
      </c>
      <c r="E68" s="565">
        <v>45.691503200709541</v>
      </c>
      <c r="F68" s="460" t="s">
        <v>954</v>
      </c>
      <c r="G68" s="461">
        <v>670</v>
      </c>
    </row>
    <row r="69" spans="1:7" ht="11.25" customHeight="1">
      <c r="A69" s="458" t="s">
        <v>98</v>
      </c>
      <c r="B69" s="502">
        <v>70</v>
      </c>
      <c r="C69" s="563" t="s">
        <v>870</v>
      </c>
      <c r="D69" s="501">
        <v>50000</v>
      </c>
      <c r="E69" s="565">
        <v>70</v>
      </c>
      <c r="F69" s="460" t="s">
        <v>954</v>
      </c>
      <c r="G69" s="461">
        <v>130</v>
      </c>
    </row>
    <row r="70" spans="1:7" ht="11.25" customHeight="1">
      <c r="A70" s="458" t="s">
        <v>943</v>
      </c>
      <c r="B70" s="502">
        <v>5</v>
      </c>
      <c r="C70" s="563" t="s">
        <v>870</v>
      </c>
      <c r="D70" s="501">
        <v>10</v>
      </c>
      <c r="E70" s="565">
        <v>5</v>
      </c>
      <c r="F70" s="460">
        <v>906.38089810273414</v>
      </c>
      <c r="G70" s="461">
        <v>3400</v>
      </c>
    </row>
    <row r="71" spans="1:7" ht="11.25" customHeight="1">
      <c r="A71" s="458" t="s">
        <v>296</v>
      </c>
      <c r="B71" s="502">
        <v>0.47246971144685262</v>
      </c>
      <c r="C71" s="563" t="s">
        <v>870</v>
      </c>
      <c r="D71" s="501">
        <v>50000</v>
      </c>
      <c r="E71" s="565">
        <v>0.47246971144685262</v>
      </c>
      <c r="F71" s="460">
        <v>673.73911756880364</v>
      </c>
      <c r="G71" s="461">
        <v>260</v>
      </c>
    </row>
    <row r="72" spans="1:7" ht="11.25" customHeight="1">
      <c r="A72" s="458" t="s">
        <v>944</v>
      </c>
      <c r="B72" s="502">
        <v>3.4549060656200404E-3</v>
      </c>
      <c r="C72" s="563" t="s">
        <v>870</v>
      </c>
      <c r="D72" s="501">
        <v>41</v>
      </c>
      <c r="E72" s="565">
        <v>3.4549060656200404E-3</v>
      </c>
      <c r="F72" s="460" t="s">
        <v>954</v>
      </c>
      <c r="G72" s="461">
        <v>0.71</v>
      </c>
    </row>
    <row r="73" spans="1:7" ht="11.25" customHeight="1">
      <c r="A73" s="458" t="s">
        <v>945</v>
      </c>
      <c r="B73" s="502">
        <v>980</v>
      </c>
      <c r="C73" s="563" t="s">
        <v>1410</v>
      </c>
      <c r="D73" s="501">
        <v>50000</v>
      </c>
      <c r="E73" s="565">
        <v>14840.349637723393</v>
      </c>
      <c r="F73" s="460" t="s">
        <v>954</v>
      </c>
      <c r="G73" s="461">
        <v>980</v>
      </c>
    </row>
    <row r="74" spans="1:7" ht="11.25" customHeight="1">
      <c r="A74" s="458" t="s">
        <v>947</v>
      </c>
      <c r="B74" s="502">
        <v>355.32722285616643</v>
      </c>
      <c r="C74" s="563" t="s">
        <v>870</v>
      </c>
      <c r="D74" s="501">
        <v>400</v>
      </c>
      <c r="E74" s="565">
        <v>355.32722285616643</v>
      </c>
      <c r="F74" s="460" t="s">
        <v>954</v>
      </c>
      <c r="G74" s="461">
        <v>700</v>
      </c>
    </row>
    <row r="75" spans="1:7" ht="11.25" customHeight="1">
      <c r="A75" s="458" t="s">
        <v>946</v>
      </c>
      <c r="B75" s="502">
        <v>3200</v>
      </c>
      <c r="C75" s="563" t="s">
        <v>1410</v>
      </c>
      <c r="D75" s="501">
        <v>50000</v>
      </c>
      <c r="E75" s="565">
        <v>186554.34671245472</v>
      </c>
      <c r="F75" s="460" t="s">
        <v>954</v>
      </c>
      <c r="G75" s="461">
        <v>3200</v>
      </c>
    </row>
    <row r="76" spans="1:7" ht="11.25" customHeight="1">
      <c r="A76" s="462" t="s">
        <v>99</v>
      </c>
      <c r="B76" s="502">
        <v>1.9515311927751111</v>
      </c>
      <c r="C76" s="563" t="s">
        <v>870</v>
      </c>
      <c r="D76" s="501">
        <v>50000</v>
      </c>
      <c r="E76" s="565">
        <v>1.9515311927751111</v>
      </c>
      <c r="F76" s="460" t="s">
        <v>954</v>
      </c>
      <c r="G76" s="461">
        <v>100</v>
      </c>
    </row>
    <row r="77" spans="1:7" ht="11.25" customHeight="1">
      <c r="A77" s="458" t="s">
        <v>297</v>
      </c>
      <c r="B77" s="502">
        <v>38.830541475137551</v>
      </c>
      <c r="C77" s="563" t="s">
        <v>870</v>
      </c>
      <c r="D77" s="501">
        <v>50000</v>
      </c>
      <c r="E77" s="565">
        <v>38.830541475137551</v>
      </c>
      <c r="F77" s="460" t="s">
        <v>954</v>
      </c>
      <c r="G77" s="461">
        <v>379</v>
      </c>
    </row>
    <row r="78" spans="1:7" ht="11.25" customHeight="1">
      <c r="A78" s="462" t="s">
        <v>100</v>
      </c>
      <c r="B78" s="502">
        <v>0.2374799832189621</v>
      </c>
      <c r="C78" s="563" t="s">
        <v>870</v>
      </c>
      <c r="D78" s="501">
        <v>50000</v>
      </c>
      <c r="E78" s="565">
        <v>0.2374799832189621</v>
      </c>
      <c r="F78" s="460" t="s">
        <v>954</v>
      </c>
      <c r="G78" s="461">
        <v>110</v>
      </c>
    </row>
    <row r="79" spans="1:7" ht="11.25" customHeight="1">
      <c r="A79" s="462" t="s">
        <v>101</v>
      </c>
      <c r="B79" s="502">
        <v>4.8541215187419794E-2</v>
      </c>
      <c r="C79" s="563" t="s">
        <v>870</v>
      </c>
      <c r="D79" s="501">
        <v>50000</v>
      </c>
      <c r="E79" s="565">
        <v>4.8541215187419794E-2</v>
      </c>
      <c r="F79" s="460" t="s">
        <v>954</v>
      </c>
      <c r="G79" s="461">
        <v>110</v>
      </c>
    </row>
    <row r="80" spans="1:7" ht="11.25" customHeight="1">
      <c r="A80" s="458" t="s">
        <v>382</v>
      </c>
      <c r="B80" s="502">
        <v>0.45905899511359882</v>
      </c>
      <c r="C80" s="563" t="s">
        <v>870</v>
      </c>
      <c r="D80" s="501">
        <v>50000</v>
      </c>
      <c r="E80" s="565">
        <v>0.45905899511359882</v>
      </c>
      <c r="F80" s="460" t="s">
        <v>1394</v>
      </c>
      <c r="G80" s="461">
        <v>3350000</v>
      </c>
    </row>
    <row r="81" spans="1:7" ht="11.25" customHeight="1">
      <c r="A81" s="458" t="s">
        <v>594</v>
      </c>
      <c r="B81" s="502">
        <v>3.0000000000000001E-5</v>
      </c>
      <c r="C81" s="563" t="s">
        <v>870</v>
      </c>
      <c r="D81" s="501">
        <v>0.1</v>
      </c>
      <c r="E81" s="565">
        <v>3.0000000000000001E-5</v>
      </c>
      <c r="F81" s="460" t="s">
        <v>954</v>
      </c>
      <c r="G81" s="461">
        <v>3.0000000000000001E-3</v>
      </c>
    </row>
    <row r="82" spans="1:7" ht="11.25" customHeight="1">
      <c r="A82" s="458" t="s">
        <v>102</v>
      </c>
      <c r="B82" s="502">
        <v>36.050648892392552</v>
      </c>
      <c r="C82" s="563" t="s">
        <v>870</v>
      </c>
      <c r="D82" s="501">
        <v>21000</v>
      </c>
      <c r="E82" s="565">
        <v>36.050648892392552</v>
      </c>
      <c r="F82" s="460" t="s">
        <v>954</v>
      </c>
      <c r="G82" s="461">
        <v>200</v>
      </c>
    </row>
    <row r="83" spans="1:7" ht="11.25" customHeight="1">
      <c r="A83" s="458" t="s">
        <v>370</v>
      </c>
      <c r="B83" s="502">
        <v>3.4000000000000002E-2</v>
      </c>
      <c r="C83" s="563" t="s">
        <v>1410</v>
      </c>
      <c r="D83" s="501">
        <v>162.5</v>
      </c>
      <c r="E83" s="565">
        <v>99.285903454277815</v>
      </c>
      <c r="F83" s="460" t="s">
        <v>954</v>
      </c>
      <c r="G83" s="461">
        <v>3.4000000000000002E-2</v>
      </c>
    </row>
    <row r="84" spans="1:7" ht="11.25" customHeight="1">
      <c r="A84" s="458" t="s">
        <v>337</v>
      </c>
      <c r="B84" s="502">
        <v>3.6999999999999998E-2</v>
      </c>
      <c r="C84" s="563" t="s">
        <v>1410</v>
      </c>
      <c r="D84" s="501">
        <v>41</v>
      </c>
      <c r="E84" s="565">
        <v>2</v>
      </c>
      <c r="F84" s="460" t="s">
        <v>954</v>
      </c>
      <c r="G84" s="461">
        <v>3.6999999999999998E-2</v>
      </c>
    </row>
    <row r="85" spans="1:7" ht="11.25" customHeight="1">
      <c r="A85" s="458" t="s">
        <v>28</v>
      </c>
      <c r="B85" s="502">
        <v>0</v>
      </c>
      <c r="C85" s="563" t="s">
        <v>1410</v>
      </c>
      <c r="D85" s="501">
        <v>50000</v>
      </c>
      <c r="E85" s="565" t="s">
        <v>954</v>
      </c>
      <c r="F85" s="460" t="s">
        <v>954</v>
      </c>
      <c r="G85" s="461">
        <v>0</v>
      </c>
    </row>
    <row r="86" spans="1:7" ht="11.25" customHeight="1">
      <c r="A86" s="458" t="s">
        <v>338</v>
      </c>
      <c r="B86" s="502">
        <v>30</v>
      </c>
      <c r="C86" s="563" t="s">
        <v>270</v>
      </c>
      <c r="D86" s="501">
        <v>30</v>
      </c>
      <c r="E86" s="565">
        <v>700</v>
      </c>
      <c r="F86" s="460">
        <v>75701.315782304358</v>
      </c>
      <c r="G86" s="461">
        <v>140</v>
      </c>
    </row>
    <row r="87" spans="1:7" ht="11.25" customHeight="1">
      <c r="A87" s="458" t="s">
        <v>339</v>
      </c>
      <c r="B87" s="502">
        <v>13</v>
      </c>
      <c r="C87" s="563" t="s">
        <v>1410</v>
      </c>
      <c r="D87" s="501">
        <v>130</v>
      </c>
      <c r="E87" s="565">
        <v>112.98231171872068</v>
      </c>
      <c r="F87" s="460" t="s">
        <v>954</v>
      </c>
      <c r="G87" s="461">
        <v>13</v>
      </c>
    </row>
    <row r="88" spans="1:7" ht="11.25" customHeight="1">
      <c r="A88" s="458" t="s">
        <v>340</v>
      </c>
      <c r="B88" s="502">
        <v>250.08516556490937</v>
      </c>
      <c r="C88" s="563" t="s">
        <v>870</v>
      </c>
      <c r="D88" s="501">
        <v>845</v>
      </c>
      <c r="E88" s="565">
        <v>250.08516556490937</v>
      </c>
      <c r="F88" s="460">
        <v>1690</v>
      </c>
      <c r="G88" s="461">
        <v>300</v>
      </c>
    </row>
    <row r="89" spans="1:7" ht="11.25" customHeight="1">
      <c r="A89" s="458" t="s">
        <v>103</v>
      </c>
      <c r="B89" s="502">
        <v>700</v>
      </c>
      <c r="C89" s="563" t="s">
        <v>870</v>
      </c>
      <c r="D89" s="501">
        <v>50000</v>
      </c>
      <c r="E89" s="565">
        <v>700</v>
      </c>
      <c r="F89" s="460" t="s">
        <v>954</v>
      </c>
      <c r="G89" s="461">
        <v>21500</v>
      </c>
    </row>
    <row r="90" spans="1:7" ht="11.25" customHeight="1">
      <c r="A90" s="458" t="s">
        <v>341</v>
      </c>
      <c r="B90" s="502">
        <v>5.2999999999999999E-2</v>
      </c>
      <c r="C90" s="563" t="s">
        <v>1410</v>
      </c>
      <c r="D90" s="501">
        <v>20</v>
      </c>
      <c r="E90" s="565">
        <v>0.4</v>
      </c>
      <c r="F90" s="460" t="s">
        <v>954</v>
      </c>
      <c r="G90" s="461">
        <v>5.2999999999999999E-2</v>
      </c>
    </row>
    <row r="91" spans="1:7" ht="11.25" customHeight="1">
      <c r="A91" s="458" t="s">
        <v>342</v>
      </c>
      <c r="B91" s="502">
        <v>5.2999999999999999E-2</v>
      </c>
      <c r="C91" s="563" t="s">
        <v>1410</v>
      </c>
      <c r="D91" s="501">
        <v>100</v>
      </c>
      <c r="E91" s="565">
        <v>0.2</v>
      </c>
      <c r="F91" s="460" t="s">
        <v>954</v>
      </c>
      <c r="G91" s="461">
        <v>5.2999999999999999E-2</v>
      </c>
    </row>
    <row r="92" spans="1:7" ht="11.25" customHeight="1">
      <c r="A92" s="458" t="s">
        <v>371</v>
      </c>
      <c r="B92" s="502">
        <v>2.9999999999999997E-4</v>
      </c>
      <c r="C92" s="563" t="s">
        <v>1410</v>
      </c>
      <c r="D92" s="501">
        <v>3.1</v>
      </c>
      <c r="E92" s="565">
        <v>1</v>
      </c>
      <c r="F92" s="460" t="s">
        <v>954</v>
      </c>
      <c r="G92" s="461">
        <v>2.9999999999999997E-4</v>
      </c>
    </row>
    <row r="93" spans="1:7" ht="11.25" customHeight="1">
      <c r="A93" s="458" t="s">
        <v>343</v>
      </c>
      <c r="B93" s="502">
        <v>0.28185208671381157</v>
      </c>
      <c r="C93" s="563" t="s">
        <v>870</v>
      </c>
      <c r="D93" s="501">
        <v>6</v>
      </c>
      <c r="E93" s="565">
        <v>0.28185208671381157</v>
      </c>
      <c r="F93" s="460" t="s">
        <v>954</v>
      </c>
      <c r="G93" s="461">
        <v>11</v>
      </c>
    </row>
    <row r="94" spans="1:7" ht="11.25" customHeight="1">
      <c r="A94" s="458" t="s">
        <v>364</v>
      </c>
      <c r="B94" s="502">
        <v>0.16</v>
      </c>
      <c r="C94" s="563" t="s">
        <v>1410</v>
      </c>
      <c r="D94" s="501">
        <v>3650</v>
      </c>
      <c r="E94" s="565">
        <v>0.2</v>
      </c>
      <c r="F94" s="460" t="s">
        <v>954</v>
      </c>
      <c r="G94" s="461">
        <v>0.16</v>
      </c>
    </row>
    <row r="95" spans="1:7" ht="11.25" customHeight="1">
      <c r="A95" s="458" t="s">
        <v>344</v>
      </c>
      <c r="B95" s="502">
        <v>0.92032782815026715</v>
      </c>
      <c r="C95" s="563" t="s">
        <v>870</v>
      </c>
      <c r="D95" s="501">
        <v>10</v>
      </c>
      <c r="E95" s="565">
        <v>0.92032782815026715</v>
      </c>
      <c r="F95" s="460" t="s">
        <v>954</v>
      </c>
      <c r="G95" s="461">
        <v>310</v>
      </c>
    </row>
    <row r="96" spans="1:7" ht="11.25" customHeight="1">
      <c r="A96" s="458" t="s">
        <v>104</v>
      </c>
      <c r="B96" s="502">
        <v>643.85147502055895</v>
      </c>
      <c r="C96" s="563" t="s">
        <v>870</v>
      </c>
      <c r="D96" s="501">
        <v>50000</v>
      </c>
      <c r="E96" s="565">
        <v>643.85147502055895</v>
      </c>
      <c r="F96" s="460" t="s">
        <v>954</v>
      </c>
      <c r="G96" s="461">
        <v>137000</v>
      </c>
    </row>
    <row r="97" spans="1:7" ht="11.25" customHeight="1">
      <c r="A97" s="458" t="s">
        <v>345</v>
      </c>
      <c r="B97" s="502">
        <v>1.7683609753016836E-2</v>
      </c>
      <c r="C97" s="563" t="s">
        <v>870</v>
      </c>
      <c r="D97" s="501">
        <v>9.5000000000000001E-2</v>
      </c>
      <c r="E97" s="565">
        <v>1.7683609753016836E-2</v>
      </c>
      <c r="F97" s="460" t="s">
        <v>954</v>
      </c>
      <c r="G97" s="461">
        <v>300</v>
      </c>
    </row>
    <row r="98" spans="1:7" ht="11.25" customHeight="1">
      <c r="A98" s="458" t="s">
        <v>105</v>
      </c>
      <c r="B98" s="502">
        <v>78.070039071294488</v>
      </c>
      <c r="C98" s="563" t="s">
        <v>870</v>
      </c>
      <c r="D98" s="501">
        <v>50000</v>
      </c>
      <c r="E98" s="565">
        <v>78.070039071294488</v>
      </c>
      <c r="F98" s="460" t="s">
        <v>954</v>
      </c>
      <c r="G98" s="461">
        <v>4300</v>
      </c>
    </row>
    <row r="99" spans="1:7" ht="11.25" customHeight="1">
      <c r="A99" s="458" t="s">
        <v>346</v>
      </c>
      <c r="B99" s="502">
        <v>15</v>
      </c>
      <c r="C99" s="563" t="s">
        <v>870</v>
      </c>
      <c r="D99" s="501">
        <v>50000</v>
      </c>
      <c r="E99" s="565">
        <v>15</v>
      </c>
      <c r="F99" s="460" t="s">
        <v>954</v>
      </c>
      <c r="G99" s="461">
        <v>29</v>
      </c>
    </row>
    <row r="100" spans="1:7" ht="11.25" customHeight="1">
      <c r="A100" s="458" t="s">
        <v>347</v>
      </c>
      <c r="B100" s="502">
        <v>2</v>
      </c>
      <c r="C100" s="563" t="s">
        <v>870</v>
      </c>
      <c r="D100" s="501">
        <v>50000</v>
      </c>
      <c r="E100" s="565">
        <v>2</v>
      </c>
      <c r="F100" s="460" t="s">
        <v>954</v>
      </c>
      <c r="G100" s="461">
        <v>2.1</v>
      </c>
    </row>
    <row r="101" spans="1:7" ht="11.25" customHeight="1">
      <c r="A101" s="458" t="s">
        <v>348</v>
      </c>
      <c r="B101" s="502">
        <v>0.7</v>
      </c>
      <c r="C101" s="563" t="s">
        <v>1410</v>
      </c>
      <c r="D101" s="501">
        <v>50</v>
      </c>
      <c r="E101" s="565">
        <v>40</v>
      </c>
      <c r="F101" s="460" t="s">
        <v>954</v>
      </c>
      <c r="G101" s="461">
        <v>0.7</v>
      </c>
    </row>
    <row r="102" spans="1:7" ht="11.25" customHeight="1">
      <c r="A102" s="458" t="s">
        <v>350</v>
      </c>
      <c r="B102" s="502">
        <v>8400</v>
      </c>
      <c r="C102" s="563" t="s">
        <v>270</v>
      </c>
      <c r="D102" s="501">
        <v>8400</v>
      </c>
      <c r="E102" s="565">
        <v>9943.3205762492889</v>
      </c>
      <c r="F102" s="460">
        <v>223000000</v>
      </c>
      <c r="G102" s="461">
        <v>200000</v>
      </c>
    </row>
    <row r="103" spans="1:7" ht="11.25" customHeight="1">
      <c r="A103" s="458" t="s">
        <v>351</v>
      </c>
      <c r="B103" s="502">
        <v>1300</v>
      </c>
      <c r="C103" s="563" t="s">
        <v>270</v>
      </c>
      <c r="D103" s="501">
        <v>1300</v>
      </c>
      <c r="E103" s="565">
        <v>35755.102040816324</v>
      </c>
      <c r="F103" s="460">
        <v>19000000</v>
      </c>
      <c r="G103" s="461">
        <v>2200</v>
      </c>
    </row>
    <row r="104" spans="1:7" ht="11.25" customHeight="1">
      <c r="A104" s="458" t="s">
        <v>352</v>
      </c>
      <c r="B104" s="502">
        <v>9.9000000000000005E-2</v>
      </c>
      <c r="C104" s="563" t="s">
        <v>1410</v>
      </c>
      <c r="D104" s="501">
        <v>50000</v>
      </c>
      <c r="E104" s="565">
        <v>1.962844121223863</v>
      </c>
      <c r="F104" s="460" t="s">
        <v>954</v>
      </c>
      <c r="G104" s="461">
        <v>9.9000000000000005E-2</v>
      </c>
    </row>
    <row r="105" spans="1:7" ht="11.25" customHeight="1">
      <c r="A105" s="458" t="s">
        <v>353</v>
      </c>
      <c r="B105" s="502">
        <v>5</v>
      </c>
      <c r="C105" s="563" t="s">
        <v>270</v>
      </c>
      <c r="D105" s="501">
        <v>5</v>
      </c>
      <c r="E105" s="565">
        <v>14.30439413214298</v>
      </c>
      <c r="F105" s="460">
        <v>31043.943756596891</v>
      </c>
      <c r="G105" s="461">
        <v>6500</v>
      </c>
    </row>
    <row r="106" spans="1:7" ht="11.25" customHeight="1">
      <c r="A106" s="458" t="s">
        <v>349</v>
      </c>
      <c r="B106" s="502">
        <v>5</v>
      </c>
      <c r="C106" s="563" t="s">
        <v>870</v>
      </c>
      <c r="D106" s="501">
        <v>9100</v>
      </c>
      <c r="E106" s="565">
        <v>5</v>
      </c>
      <c r="F106" s="460">
        <v>76060.351513941452</v>
      </c>
      <c r="G106" s="461">
        <v>8500</v>
      </c>
    </row>
    <row r="107" spans="1:7" ht="11.25" customHeight="1">
      <c r="A107" s="458" t="s">
        <v>590</v>
      </c>
      <c r="B107" s="502">
        <v>10</v>
      </c>
      <c r="C107" s="563" t="s">
        <v>270</v>
      </c>
      <c r="D107" s="501">
        <v>10</v>
      </c>
      <c r="E107" s="565">
        <v>11.376814592975361</v>
      </c>
      <c r="F107" s="460">
        <v>25800</v>
      </c>
      <c r="G107" s="461">
        <v>37</v>
      </c>
    </row>
    <row r="108" spans="1:7" ht="11.25" customHeight="1">
      <c r="A108" s="458" t="s">
        <v>591</v>
      </c>
      <c r="B108" s="502">
        <v>10</v>
      </c>
      <c r="C108" s="563" t="s">
        <v>270</v>
      </c>
      <c r="D108" s="501">
        <v>10</v>
      </c>
      <c r="E108" s="565">
        <v>29.559287502503544</v>
      </c>
      <c r="F108" s="460">
        <v>24600</v>
      </c>
      <c r="G108" s="461">
        <v>42</v>
      </c>
    </row>
    <row r="109" spans="1:7" ht="11.25" customHeight="1">
      <c r="A109" s="458" t="s">
        <v>465</v>
      </c>
      <c r="B109" s="502">
        <v>99.283946060627287</v>
      </c>
      <c r="C109" s="563" t="s">
        <v>870</v>
      </c>
      <c r="D109" s="501">
        <v>50000</v>
      </c>
      <c r="E109" s="565">
        <v>99.283946060627287</v>
      </c>
      <c r="F109" s="460" t="s">
        <v>954</v>
      </c>
      <c r="G109" s="461">
        <v>7200</v>
      </c>
    </row>
    <row r="110" spans="1:7" ht="11.25" customHeight="1">
      <c r="A110" s="458" t="s">
        <v>466</v>
      </c>
      <c r="B110" s="502">
        <v>17</v>
      </c>
      <c r="C110" s="563" t="s">
        <v>870</v>
      </c>
      <c r="D110" s="501">
        <v>21</v>
      </c>
      <c r="E110" s="565">
        <v>17</v>
      </c>
      <c r="F110" s="460">
        <v>28777.562790660297</v>
      </c>
      <c r="G110" s="461">
        <v>770</v>
      </c>
    </row>
    <row r="111" spans="1:7" ht="11.25" customHeight="1">
      <c r="A111" s="458" t="s">
        <v>812</v>
      </c>
      <c r="B111" s="502">
        <v>5</v>
      </c>
      <c r="C111" s="563" t="s">
        <v>1410</v>
      </c>
      <c r="D111" s="501">
        <v>50000</v>
      </c>
      <c r="E111" s="565">
        <v>378.45251627361586</v>
      </c>
      <c r="F111" s="460" t="s">
        <v>954</v>
      </c>
      <c r="G111" s="461">
        <v>5</v>
      </c>
    </row>
    <row r="112" spans="1:7" ht="11.25" customHeight="1">
      <c r="A112" s="462" t="s">
        <v>106</v>
      </c>
      <c r="B112" s="502">
        <v>0.14038461538461536</v>
      </c>
      <c r="C112" s="563" t="s">
        <v>870</v>
      </c>
      <c r="D112" s="501">
        <v>50000</v>
      </c>
      <c r="E112" s="565">
        <v>0.14038461538461536</v>
      </c>
      <c r="F112" s="460" t="s">
        <v>1394</v>
      </c>
      <c r="G112" s="461">
        <v>2000</v>
      </c>
    </row>
    <row r="113" spans="1:7" ht="11.25" customHeight="1">
      <c r="A113" s="462" t="s">
        <v>107</v>
      </c>
      <c r="B113" s="502">
        <v>1.9602041687573981</v>
      </c>
      <c r="C113" s="563" t="s">
        <v>870</v>
      </c>
      <c r="D113" s="501">
        <v>50000</v>
      </c>
      <c r="E113" s="565">
        <v>1.9602041687573981</v>
      </c>
      <c r="F113" s="460" t="s">
        <v>954</v>
      </c>
      <c r="G113" s="461">
        <v>160</v>
      </c>
    </row>
    <row r="114" spans="1:7" ht="11.25" customHeight="1">
      <c r="A114" s="462" t="s">
        <v>108</v>
      </c>
      <c r="B114" s="502">
        <v>0.31415552893667309</v>
      </c>
      <c r="C114" s="563" t="s">
        <v>870</v>
      </c>
      <c r="D114" s="501">
        <v>50000</v>
      </c>
      <c r="E114" s="565">
        <v>0.31415552893667309</v>
      </c>
      <c r="F114" s="460" t="s">
        <v>1394</v>
      </c>
      <c r="G114" s="461">
        <v>640</v>
      </c>
    </row>
    <row r="115" spans="1:7" ht="11.25" customHeight="1">
      <c r="A115" s="462" t="s">
        <v>109</v>
      </c>
      <c r="B115" s="502">
        <v>1.7483564887195151</v>
      </c>
      <c r="C115" s="563" t="s">
        <v>870</v>
      </c>
      <c r="D115" s="501">
        <v>50000</v>
      </c>
      <c r="E115" s="565">
        <v>1.7483564887195151</v>
      </c>
      <c r="F115" s="460" t="s">
        <v>954</v>
      </c>
      <c r="G115" s="461">
        <v>380</v>
      </c>
    </row>
    <row r="116" spans="1:7" ht="11.25" customHeight="1">
      <c r="A116" s="462" t="s">
        <v>110</v>
      </c>
      <c r="B116" s="502">
        <v>4.2655457130423766</v>
      </c>
      <c r="C116" s="563" t="s">
        <v>870</v>
      </c>
      <c r="D116" s="501">
        <v>50000</v>
      </c>
      <c r="E116" s="565">
        <v>4.2655457130423766</v>
      </c>
      <c r="F116" s="460" t="s">
        <v>954</v>
      </c>
      <c r="G116" s="461">
        <v>410</v>
      </c>
    </row>
    <row r="117" spans="1:7" ht="11.25" customHeight="1">
      <c r="A117" s="458" t="s">
        <v>467</v>
      </c>
      <c r="B117" s="502">
        <v>1</v>
      </c>
      <c r="C117" s="563" t="s">
        <v>870</v>
      </c>
      <c r="D117" s="501">
        <v>30</v>
      </c>
      <c r="E117" s="565">
        <v>1</v>
      </c>
      <c r="F117" s="460" t="s">
        <v>954</v>
      </c>
      <c r="G117" s="461">
        <v>13</v>
      </c>
    </row>
    <row r="118" spans="1:7" ht="11.25" customHeight="1">
      <c r="A118" s="462" t="s">
        <v>111</v>
      </c>
      <c r="B118" s="502">
        <v>17.332516072630696</v>
      </c>
      <c r="C118" s="563" t="s">
        <v>870</v>
      </c>
      <c r="D118" s="501">
        <v>21500</v>
      </c>
      <c r="E118" s="565">
        <v>17.332516072630696</v>
      </c>
      <c r="F118" s="460" t="s">
        <v>954</v>
      </c>
      <c r="G118" s="461">
        <v>850000</v>
      </c>
    </row>
    <row r="119" spans="1:7" ht="11.25" customHeight="1">
      <c r="A119" s="458" t="s">
        <v>231</v>
      </c>
      <c r="B119" s="502">
        <v>15</v>
      </c>
      <c r="C119" s="563" t="s">
        <v>870</v>
      </c>
      <c r="D119" s="501">
        <v>50000</v>
      </c>
      <c r="E119" s="565">
        <v>15</v>
      </c>
      <c r="F119" s="460" t="s">
        <v>954</v>
      </c>
      <c r="G119" s="461">
        <v>5000</v>
      </c>
    </row>
    <row r="120" spans="1:7" ht="11.25" customHeight="1">
      <c r="A120" s="458" t="s">
        <v>468</v>
      </c>
      <c r="B120" s="502">
        <v>250.08516556490937</v>
      </c>
      <c r="C120" s="563" t="s">
        <v>870</v>
      </c>
      <c r="D120" s="501">
        <v>408</v>
      </c>
      <c r="E120" s="565">
        <v>250.08516556490937</v>
      </c>
      <c r="F120" s="460" t="s">
        <v>1394</v>
      </c>
      <c r="G120" s="461">
        <v>300</v>
      </c>
    </row>
    <row r="121" spans="1:7" ht="11.25" customHeight="1">
      <c r="A121" s="458" t="s">
        <v>469</v>
      </c>
      <c r="B121" s="502">
        <v>300</v>
      </c>
      <c r="C121" s="563" t="s">
        <v>1410</v>
      </c>
      <c r="D121" s="501">
        <v>7900</v>
      </c>
      <c r="E121" s="565">
        <v>5769.529995855768</v>
      </c>
      <c r="F121" s="460" t="s">
        <v>954</v>
      </c>
      <c r="G121" s="461">
        <v>300</v>
      </c>
    </row>
    <row r="122" spans="1:7" ht="11.25" customHeight="1">
      <c r="A122" s="458" t="s">
        <v>365</v>
      </c>
      <c r="B122" s="502">
        <v>0.5</v>
      </c>
      <c r="C122" s="563" t="s">
        <v>870</v>
      </c>
      <c r="D122" s="501">
        <v>21.5</v>
      </c>
      <c r="E122" s="565">
        <v>0.5</v>
      </c>
      <c r="F122" s="460" t="s">
        <v>954</v>
      </c>
      <c r="G122" s="461">
        <v>2</v>
      </c>
    </row>
    <row r="123" spans="1:7" ht="11.25" customHeight="1">
      <c r="A123" s="458" t="s">
        <v>112</v>
      </c>
      <c r="B123" s="502">
        <v>425</v>
      </c>
      <c r="C123" s="563" t="s">
        <v>1410</v>
      </c>
      <c r="D123" s="501">
        <v>50000</v>
      </c>
      <c r="E123" s="565">
        <v>1576.0445630389663</v>
      </c>
      <c r="F123" s="460" t="s">
        <v>954</v>
      </c>
      <c r="G123" s="461">
        <v>425</v>
      </c>
    </row>
    <row r="124" spans="1:7" ht="11.25" customHeight="1">
      <c r="A124" s="458" t="s">
        <v>470</v>
      </c>
      <c r="B124" s="502">
        <v>67.5</v>
      </c>
      <c r="C124" s="563" t="s">
        <v>270</v>
      </c>
      <c r="D124" s="501">
        <v>67.5</v>
      </c>
      <c r="E124" s="565">
        <v>110.15672974106204</v>
      </c>
      <c r="F124" s="460">
        <v>135</v>
      </c>
      <c r="G124" s="461">
        <v>300</v>
      </c>
    </row>
    <row r="125" spans="1:7" ht="11.25" customHeight="1">
      <c r="A125" s="458" t="s">
        <v>471</v>
      </c>
      <c r="B125" s="502">
        <v>20</v>
      </c>
      <c r="C125" s="563" t="s">
        <v>1410</v>
      </c>
      <c r="D125" s="501">
        <v>50000</v>
      </c>
      <c r="E125" s="565">
        <v>50</v>
      </c>
      <c r="F125" s="460" t="s">
        <v>954</v>
      </c>
      <c r="G125" s="461">
        <v>20</v>
      </c>
    </row>
    <row r="126" spans="1:7" ht="11.25" customHeight="1">
      <c r="A126" s="458" t="s">
        <v>813</v>
      </c>
      <c r="B126" s="502">
        <v>1</v>
      </c>
      <c r="C126" s="563" t="s">
        <v>1410</v>
      </c>
      <c r="D126" s="501">
        <v>100</v>
      </c>
      <c r="E126" s="565">
        <v>100.24879588690277</v>
      </c>
      <c r="F126" s="460" t="s">
        <v>954</v>
      </c>
      <c r="G126" s="461">
        <v>1</v>
      </c>
    </row>
    <row r="127" spans="1:7" ht="11.25" customHeight="1">
      <c r="A127" s="458" t="s">
        <v>113</v>
      </c>
      <c r="B127" s="502">
        <v>4</v>
      </c>
      <c r="C127" s="563" t="s">
        <v>870</v>
      </c>
      <c r="D127" s="501">
        <v>3100</v>
      </c>
      <c r="E127" s="565">
        <v>4</v>
      </c>
      <c r="F127" s="460" t="s">
        <v>954</v>
      </c>
      <c r="G127" s="461">
        <v>80</v>
      </c>
    </row>
    <row r="128" spans="1:7" ht="11.25" customHeight="1">
      <c r="A128" s="458" t="s">
        <v>472</v>
      </c>
      <c r="B128" s="502">
        <v>10</v>
      </c>
      <c r="C128" s="563" t="s">
        <v>270</v>
      </c>
      <c r="D128" s="501">
        <v>10</v>
      </c>
      <c r="E128" s="565">
        <v>100</v>
      </c>
      <c r="F128" s="460">
        <v>310000</v>
      </c>
      <c r="G128" s="461">
        <v>290</v>
      </c>
    </row>
    <row r="129" spans="1:7" ht="11.25" customHeight="1">
      <c r="A129" s="458" t="s">
        <v>114</v>
      </c>
      <c r="B129" s="502">
        <v>251.31929956026045</v>
      </c>
      <c r="C129" s="563" t="s">
        <v>1410</v>
      </c>
      <c r="D129" s="501">
        <v>50000</v>
      </c>
      <c r="E129" s="565">
        <v>251.31929956026045</v>
      </c>
      <c r="F129" s="460" t="s">
        <v>954</v>
      </c>
      <c r="G129" s="461">
        <v>251.31929956026045</v>
      </c>
    </row>
    <row r="130" spans="1:7" ht="11.25" customHeight="1">
      <c r="A130" s="458" t="s">
        <v>19</v>
      </c>
      <c r="B130" s="502">
        <v>59.526771727540208</v>
      </c>
      <c r="C130" s="563" t="s">
        <v>870</v>
      </c>
      <c r="D130" s="501">
        <v>50000</v>
      </c>
      <c r="E130" s="565">
        <v>59.526771727540208</v>
      </c>
      <c r="F130" s="460" t="s">
        <v>1394</v>
      </c>
      <c r="G130" s="461">
        <v>180000</v>
      </c>
    </row>
    <row r="131" spans="1:7" ht="11.25" customHeight="1">
      <c r="A131" s="458" t="s">
        <v>473</v>
      </c>
      <c r="B131" s="502">
        <v>0.57369738025483408</v>
      </c>
      <c r="C131" s="563" t="s">
        <v>870</v>
      </c>
      <c r="D131" s="501">
        <v>50000</v>
      </c>
      <c r="E131" s="565">
        <v>0.57369738025483408</v>
      </c>
      <c r="F131" s="460" t="s">
        <v>1394</v>
      </c>
      <c r="G131" s="461">
        <v>770</v>
      </c>
    </row>
    <row r="132" spans="1:7" ht="11.25" customHeight="1">
      <c r="A132" s="458" t="s">
        <v>474</v>
      </c>
      <c r="B132" s="502">
        <v>7.5738899992116304E-2</v>
      </c>
      <c r="C132" s="563" t="s">
        <v>870</v>
      </c>
      <c r="D132" s="501">
        <v>500</v>
      </c>
      <c r="E132" s="565">
        <v>7.5738899992116304E-2</v>
      </c>
      <c r="F132" s="460">
        <v>240.39246728311088</v>
      </c>
      <c r="G132" s="461">
        <v>910</v>
      </c>
    </row>
    <row r="133" spans="1:7" ht="11.25" customHeight="1">
      <c r="A133" s="458" t="s">
        <v>475</v>
      </c>
      <c r="B133" s="502">
        <v>5</v>
      </c>
      <c r="C133" s="563" t="s">
        <v>870</v>
      </c>
      <c r="D133" s="501">
        <v>170</v>
      </c>
      <c r="E133" s="565">
        <v>5</v>
      </c>
      <c r="F133" s="460">
        <v>194.19961168935555</v>
      </c>
      <c r="G133" s="461">
        <v>1800</v>
      </c>
    </row>
    <row r="134" spans="1:7" ht="11.25" customHeight="1">
      <c r="A134" s="458" t="s">
        <v>115</v>
      </c>
      <c r="B134" s="502">
        <v>11</v>
      </c>
      <c r="C134" s="563" t="s">
        <v>1410</v>
      </c>
      <c r="D134" s="501">
        <v>11500</v>
      </c>
      <c r="E134" s="565">
        <v>222.64948848261417</v>
      </c>
      <c r="F134" s="460" t="s">
        <v>954</v>
      </c>
      <c r="G134" s="461">
        <v>11</v>
      </c>
    </row>
    <row r="135" spans="1:7" ht="11.25" customHeight="1">
      <c r="A135" s="462" t="s">
        <v>116</v>
      </c>
      <c r="B135" s="502">
        <v>1001.1634345604283</v>
      </c>
      <c r="C135" s="563" t="s">
        <v>870</v>
      </c>
      <c r="D135" s="501">
        <v>2500</v>
      </c>
      <c r="E135" s="565">
        <v>1001.1634345604283</v>
      </c>
      <c r="F135" s="460" t="s">
        <v>954</v>
      </c>
      <c r="G135" s="461">
        <v>1200</v>
      </c>
    </row>
    <row r="136" spans="1:7" ht="11.25" customHeight="1">
      <c r="A136" s="458" t="s">
        <v>476</v>
      </c>
      <c r="B136" s="502">
        <v>2</v>
      </c>
      <c r="C136" s="563" t="s">
        <v>870</v>
      </c>
      <c r="D136" s="501">
        <v>50000</v>
      </c>
      <c r="E136" s="565">
        <v>2</v>
      </c>
      <c r="F136" s="460" t="s">
        <v>954</v>
      </c>
      <c r="G136" s="461">
        <v>470</v>
      </c>
    </row>
    <row r="137" spans="1:7" ht="11.25" customHeight="1">
      <c r="A137" s="458" t="s">
        <v>366</v>
      </c>
      <c r="B137" s="502">
        <v>40</v>
      </c>
      <c r="C137" s="563" t="s">
        <v>270</v>
      </c>
      <c r="D137" s="501">
        <v>40</v>
      </c>
      <c r="E137" s="565">
        <v>1000</v>
      </c>
      <c r="F137" s="460">
        <v>526000</v>
      </c>
      <c r="G137" s="461">
        <v>2100</v>
      </c>
    </row>
    <row r="138" spans="1:7" ht="11.25" customHeight="1">
      <c r="A138" s="458" t="s">
        <v>20</v>
      </c>
      <c r="B138" s="502">
        <v>0.21</v>
      </c>
      <c r="C138" s="563" t="s">
        <v>1410</v>
      </c>
      <c r="D138" s="501">
        <v>140</v>
      </c>
      <c r="E138" s="565">
        <v>3</v>
      </c>
      <c r="F138" s="460" t="s">
        <v>954</v>
      </c>
      <c r="G138" s="461">
        <v>0.21</v>
      </c>
    </row>
    <row r="139" spans="1:7" ht="11.25" customHeight="1">
      <c r="A139" s="458" t="s">
        <v>57</v>
      </c>
      <c r="B139" s="502">
        <v>73.986001486842099</v>
      </c>
      <c r="C139" s="563" t="s">
        <v>870</v>
      </c>
      <c r="D139" s="501">
        <v>500</v>
      </c>
      <c r="E139" s="565">
        <v>73.986001486842099</v>
      </c>
      <c r="F139" s="460" t="s">
        <v>1394</v>
      </c>
      <c r="G139" s="461">
        <v>5000</v>
      </c>
    </row>
    <row r="140" spans="1:7" ht="11.25" customHeight="1">
      <c r="A140" s="458" t="s">
        <v>56</v>
      </c>
      <c r="B140" s="502">
        <v>91.174062952030283</v>
      </c>
      <c r="C140" s="563" t="s">
        <v>870</v>
      </c>
      <c r="D140" s="501">
        <v>500</v>
      </c>
      <c r="E140" s="565">
        <v>91.174062952030283</v>
      </c>
      <c r="F140" s="460" t="s">
        <v>1394</v>
      </c>
      <c r="G140" s="461">
        <v>2500</v>
      </c>
    </row>
    <row r="141" spans="1:7" ht="11.25" customHeight="1">
      <c r="A141" s="458" t="s">
        <v>777</v>
      </c>
      <c r="B141" s="502">
        <v>90.983894715319366</v>
      </c>
      <c r="C141" s="563" t="s">
        <v>870</v>
      </c>
      <c r="D141" s="501">
        <v>500</v>
      </c>
      <c r="E141" s="565">
        <v>90.983894715319366</v>
      </c>
      <c r="F141" s="460" t="s">
        <v>954</v>
      </c>
      <c r="G141" s="461">
        <v>2500</v>
      </c>
    </row>
    <row r="142" spans="1:7" ht="11.25" customHeight="1">
      <c r="A142" s="458" t="s">
        <v>814</v>
      </c>
      <c r="B142" s="502">
        <v>70</v>
      </c>
      <c r="C142" s="563" t="s">
        <v>870</v>
      </c>
      <c r="D142" s="501">
        <v>3000</v>
      </c>
      <c r="E142" s="565">
        <v>70</v>
      </c>
      <c r="F142" s="460">
        <v>1264.7163081734013</v>
      </c>
      <c r="G142" s="461">
        <v>420</v>
      </c>
    </row>
    <row r="143" spans="1:7" ht="11.25" customHeight="1">
      <c r="A143" s="458" t="s">
        <v>815</v>
      </c>
      <c r="B143" s="502">
        <v>200</v>
      </c>
      <c r="C143" s="563" t="s">
        <v>870</v>
      </c>
      <c r="D143" s="501">
        <v>970</v>
      </c>
      <c r="E143" s="565">
        <v>200</v>
      </c>
      <c r="F143" s="460">
        <v>340449.97663418204</v>
      </c>
      <c r="G143" s="461">
        <v>6000</v>
      </c>
    </row>
    <row r="144" spans="1:7" ht="11.25" customHeight="1">
      <c r="A144" s="458" t="s">
        <v>477</v>
      </c>
      <c r="B144" s="502">
        <v>5</v>
      </c>
      <c r="C144" s="563" t="s">
        <v>870</v>
      </c>
      <c r="D144" s="501">
        <v>50000</v>
      </c>
      <c r="E144" s="565">
        <v>5</v>
      </c>
      <c r="F144" s="460">
        <v>106.62958207144922</v>
      </c>
      <c r="G144" s="461">
        <v>5200</v>
      </c>
    </row>
    <row r="145" spans="1:7" ht="11.25" customHeight="1">
      <c r="A145" s="458" t="s">
        <v>478</v>
      </c>
      <c r="B145" s="502">
        <v>5</v>
      </c>
      <c r="C145" s="563" t="s">
        <v>870</v>
      </c>
      <c r="D145" s="501">
        <v>310</v>
      </c>
      <c r="E145" s="565">
        <v>5</v>
      </c>
      <c r="F145" s="460">
        <v>208.89003096783017</v>
      </c>
      <c r="G145" s="461">
        <v>700</v>
      </c>
    </row>
    <row r="146" spans="1:7" ht="11.25" customHeight="1">
      <c r="A146" s="458" t="s">
        <v>479</v>
      </c>
      <c r="B146" s="502">
        <v>17</v>
      </c>
      <c r="C146" s="563" t="s">
        <v>1410</v>
      </c>
      <c r="D146" s="501">
        <v>200</v>
      </c>
      <c r="E146" s="565">
        <v>1183.1271661441667</v>
      </c>
      <c r="F146" s="460" t="s">
        <v>954</v>
      </c>
      <c r="G146" s="461">
        <v>17</v>
      </c>
    </row>
    <row r="147" spans="1:7" ht="11.25" customHeight="1">
      <c r="A147" s="458" t="s">
        <v>480</v>
      </c>
      <c r="B147" s="502">
        <v>4.111930278580993</v>
      </c>
      <c r="C147" s="563" t="s">
        <v>870</v>
      </c>
      <c r="D147" s="501">
        <v>100</v>
      </c>
      <c r="E147" s="565">
        <v>4.111930278580993</v>
      </c>
      <c r="F147" s="460" t="s">
        <v>954</v>
      </c>
      <c r="G147" s="461">
        <v>39</v>
      </c>
    </row>
    <row r="148" spans="1:7" ht="11.25" customHeight="1">
      <c r="A148" s="462" t="s">
        <v>117</v>
      </c>
      <c r="B148" s="502">
        <v>159.78212321874378</v>
      </c>
      <c r="C148" s="563" t="s">
        <v>870</v>
      </c>
      <c r="D148" s="501">
        <v>50000</v>
      </c>
      <c r="E148" s="565">
        <v>159.78212321874378</v>
      </c>
      <c r="F148" s="460" t="s">
        <v>954</v>
      </c>
      <c r="G148" s="461">
        <v>686</v>
      </c>
    </row>
    <row r="149" spans="1:7" ht="11.25" customHeight="1">
      <c r="A149" s="458" t="s">
        <v>118</v>
      </c>
      <c r="B149" s="502">
        <v>50</v>
      </c>
      <c r="C149" s="563" t="s">
        <v>870</v>
      </c>
      <c r="D149" s="501">
        <v>35500</v>
      </c>
      <c r="E149" s="565">
        <v>50</v>
      </c>
      <c r="F149" s="460" t="s">
        <v>954</v>
      </c>
      <c r="G149" s="461">
        <v>270</v>
      </c>
    </row>
    <row r="150" spans="1:7" ht="11.25" customHeight="1">
      <c r="A150" s="458" t="s">
        <v>119</v>
      </c>
      <c r="B150" s="502">
        <v>0.6</v>
      </c>
      <c r="C150" s="563" t="s">
        <v>870</v>
      </c>
      <c r="D150" s="501">
        <v>50000</v>
      </c>
      <c r="E150" s="565">
        <v>0.6</v>
      </c>
      <c r="F150" s="460" t="s">
        <v>1394</v>
      </c>
      <c r="G150" s="461">
        <v>140</v>
      </c>
    </row>
    <row r="151" spans="1:7" ht="11.25" customHeight="1">
      <c r="A151" s="458" t="s">
        <v>120</v>
      </c>
      <c r="B151" s="502">
        <v>3.3315808860737541</v>
      </c>
      <c r="C151" s="563" t="s">
        <v>1410</v>
      </c>
      <c r="D151" s="501">
        <v>50000</v>
      </c>
      <c r="E151" s="565">
        <v>3.3315808860737541</v>
      </c>
      <c r="F151" s="460" t="s">
        <v>1394</v>
      </c>
      <c r="G151" s="461">
        <v>3.3315808860737541</v>
      </c>
    </row>
    <row r="152" spans="1:7" ht="11.25" customHeight="1">
      <c r="A152" s="458" t="s">
        <v>602</v>
      </c>
      <c r="B152" s="502">
        <v>2.1542811625289486</v>
      </c>
      <c r="C152" s="563" t="s">
        <v>870</v>
      </c>
      <c r="D152" s="501">
        <v>90</v>
      </c>
      <c r="E152" s="565">
        <v>2.1542811625289486</v>
      </c>
      <c r="F152" s="460" t="s">
        <v>954</v>
      </c>
      <c r="G152" s="461">
        <v>20.5</v>
      </c>
    </row>
    <row r="153" spans="1:7" ht="11.25" customHeight="1">
      <c r="A153" s="462" t="s">
        <v>939</v>
      </c>
      <c r="B153" s="502">
        <v>27</v>
      </c>
      <c r="C153" s="563" t="s">
        <v>1410</v>
      </c>
      <c r="D153" s="501">
        <v>50000</v>
      </c>
      <c r="E153" s="565">
        <v>348.85609320878808</v>
      </c>
      <c r="F153" s="460" t="s">
        <v>954</v>
      </c>
      <c r="G153" s="461">
        <v>27</v>
      </c>
    </row>
    <row r="154" spans="1:7" ht="11.25" customHeight="1">
      <c r="A154" s="462" t="s">
        <v>603</v>
      </c>
      <c r="B154" s="502">
        <v>39.469382156875795</v>
      </c>
      <c r="C154" s="563" t="s">
        <v>1410</v>
      </c>
      <c r="D154" s="501">
        <v>37000</v>
      </c>
      <c r="E154" s="565">
        <v>39.469382156875795</v>
      </c>
      <c r="F154" s="460" t="s">
        <v>954</v>
      </c>
      <c r="G154" s="461">
        <v>39.469382156875795</v>
      </c>
    </row>
    <row r="155" spans="1:7" ht="11.25" customHeight="1">
      <c r="A155" s="462" t="s">
        <v>605</v>
      </c>
      <c r="B155" s="502">
        <v>2.5352139902671289</v>
      </c>
      <c r="C155" s="563" t="s">
        <v>870</v>
      </c>
      <c r="D155" s="501">
        <v>50000</v>
      </c>
      <c r="E155" s="565">
        <v>2.5352139902671289</v>
      </c>
      <c r="F155" s="460" t="s">
        <v>954</v>
      </c>
      <c r="G155" s="461">
        <v>210</v>
      </c>
    </row>
    <row r="156" spans="1:7" ht="11.25" customHeight="1">
      <c r="A156" s="458" t="s">
        <v>481</v>
      </c>
      <c r="B156" s="502">
        <v>90</v>
      </c>
      <c r="C156" s="563" t="s">
        <v>1410</v>
      </c>
      <c r="D156" s="501">
        <v>50000</v>
      </c>
      <c r="E156" s="565">
        <v>96.249320745069994</v>
      </c>
      <c r="F156" s="460" t="s">
        <v>954</v>
      </c>
      <c r="G156" s="461">
        <v>90</v>
      </c>
    </row>
    <row r="157" spans="1:7" ht="11.25" customHeight="1">
      <c r="A157" s="458" t="s">
        <v>482</v>
      </c>
      <c r="B157" s="502">
        <v>2</v>
      </c>
      <c r="C157" s="563" t="s">
        <v>870</v>
      </c>
      <c r="D157" s="501">
        <v>3400</v>
      </c>
      <c r="E157" s="565">
        <v>2</v>
      </c>
      <c r="F157" s="460">
        <v>18.496958233562776</v>
      </c>
      <c r="G157" s="461">
        <v>8400</v>
      </c>
    </row>
    <row r="158" spans="1:7" ht="11.25" customHeight="1">
      <c r="A158" s="458" t="s">
        <v>483</v>
      </c>
      <c r="B158" s="502">
        <v>20</v>
      </c>
      <c r="C158" s="563" t="s">
        <v>270</v>
      </c>
      <c r="D158" s="501">
        <v>20</v>
      </c>
      <c r="E158" s="565">
        <v>10000</v>
      </c>
      <c r="F158" s="460">
        <v>106000</v>
      </c>
      <c r="G158" s="461">
        <v>230</v>
      </c>
    </row>
    <row r="159" spans="1:7" ht="11.25" customHeight="1" thickBot="1">
      <c r="A159" s="516" t="s">
        <v>484</v>
      </c>
      <c r="B159" s="509">
        <v>22</v>
      </c>
      <c r="C159" s="705" t="s">
        <v>1410</v>
      </c>
      <c r="D159" s="627">
        <v>5000</v>
      </c>
      <c r="E159" s="575">
        <v>5987.048392076199</v>
      </c>
      <c r="F159" s="468" t="s">
        <v>954</v>
      </c>
      <c r="G159" s="469">
        <v>22</v>
      </c>
    </row>
    <row r="160" spans="1:7" ht="11.25" customHeight="1" thickTop="1">
      <c r="A160" s="474" t="s">
        <v>488</v>
      </c>
      <c r="G160" s="476"/>
    </row>
    <row r="161" spans="1:7" ht="11.25" customHeight="1">
      <c r="A161" s="474" t="s">
        <v>255</v>
      </c>
      <c r="G161" s="476"/>
    </row>
    <row r="162" spans="1:7" ht="11.25" customHeight="1">
      <c r="A162" s="474" t="s">
        <v>394</v>
      </c>
      <c r="G162" s="476"/>
    </row>
    <row r="163" spans="1:7" ht="11.25" customHeight="1">
      <c r="A163" s="474"/>
      <c r="G163" s="476"/>
    </row>
    <row r="164" spans="1:7" ht="11.25" customHeight="1">
      <c r="A164" s="479" t="s">
        <v>778</v>
      </c>
      <c r="G164" s="476"/>
    </row>
    <row r="165" spans="1:7" ht="11.25" customHeight="1">
      <c r="A165" s="479" t="s">
        <v>258</v>
      </c>
      <c r="G165" s="476"/>
    </row>
    <row r="166" spans="1:7" ht="11.25" customHeight="1">
      <c r="A166" s="479" t="s">
        <v>776</v>
      </c>
      <c r="G166" s="476"/>
    </row>
    <row r="167" spans="1:7" ht="11.25" customHeight="1">
      <c r="A167" s="479" t="s">
        <v>259</v>
      </c>
      <c r="G167" s="476"/>
    </row>
    <row r="168" spans="1:7" ht="11.25" customHeight="1">
      <c r="A168" s="479" t="s">
        <v>284</v>
      </c>
      <c r="G168" s="476"/>
    </row>
    <row r="169" spans="1:7" ht="11.25" customHeight="1">
      <c r="A169" s="479" t="s">
        <v>1079</v>
      </c>
      <c r="G169" s="476"/>
    </row>
    <row r="170" spans="1:7" ht="11.25" customHeight="1">
      <c r="A170" s="479" t="s">
        <v>260</v>
      </c>
      <c r="G170" s="476"/>
    </row>
    <row r="171" spans="1:7" ht="11.25" customHeight="1">
      <c r="A171" s="479" t="s">
        <v>1080</v>
      </c>
      <c r="G171" s="476"/>
    </row>
    <row r="172" spans="1:7">
      <c r="A172" s="479" t="s">
        <v>1161</v>
      </c>
      <c r="G172" s="476"/>
    </row>
    <row r="173" spans="1:7">
      <c r="A173" s="479" t="s">
        <v>758</v>
      </c>
      <c r="G173" s="476"/>
    </row>
    <row r="174" spans="1:7" ht="10.5" thickBot="1">
      <c r="A174" s="706" t="s">
        <v>261</v>
      </c>
      <c r="B174" s="663"/>
      <c r="C174" s="579"/>
      <c r="D174" s="663"/>
      <c r="E174" s="663"/>
      <c r="F174" s="663"/>
      <c r="G174" s="664"/>
    </row>
    <row r="175" spans="1:7" ht="10.5" thickTop="1"/>
  </sheetData>
  <sheetProtection algorithmName="SHA-512" hashValue="WjC4EmyfFzDluFrWY/82Bq+zNm/pCrEB4USWINAou2TvO4QoDLgmeIXAvCvJ/VH8dTBl/xAay+YzRbfVSSqRlg==" saltValue="34K4W+2J+HLOHN7ErJqejA==" spinCount="100000" sheet="1" objects="1" scenarios="1"/>
  <mergeCells count="3">
    <mergeCell ref="B4:B5"/>
    <mergeCell ref="A1:G1"/>
    <mergeCell ref="A4:A5"/>
  </mergeCells>
  <phoneticPr fontId="0" type="noConversion"/>
  <printOptions horizontalCentered="1"/>
  <pageMargins left="0.17" right="0.16" top="0.53" bottom="1" header="0.5" footer="0.5"/>
  <pageSetup scale="78" fitToHeight="4" orientation="landscape" r:id="rId1"/>
  <headerFooter alignWithMargins="0">
    <oddFooter>&amp;LHawai'i DOH
Spring 2024&amp;C&amp;8Page &amp;P of &amp;N&amp;R&amp;A</oddFooter>
  </headerFooter>
  <rowBreaks count="1" manualBreakCount="1">
    <brk id="156"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29"/>
    <pageSetUpPr fitToPage="1"/>
  </sheetPr>
  <dimension ref="A1:G174"/>
  <sheetViews>
    <sheetView zoomScaleNormal="100" workbookViewId="0">
      <pane ySplit="3105" topLeftCell="A6" activePane="bottomLeft"/>
      <selection activeCell="B7" sqref="B7"/>
      <selection pane="bottomLeft" activeCell="B7" sqref="B7"/>
    </sheetView>
  </sheetViews>
  <sheetFormatPr defaultColWidth="9.1328125" defaultRowHeight="10.15"/>
  <cols>
    <col min="1" max="1" width="40.73046875" style="1" customWidth="1"/>
    <col min="2" max="2" width="12.59765625" style="475" customWidth="1"/>
    <col min="3" max="3" width="20.73046875" style="609" customWidth="1"/>
    <col min="4" max="4" width="12.59765625" style="475" customWidth="1"/>
    <col min="5" max="5" width="15.73046875" style="475" customWidth="1"/>
    <col min="6" max="6" width="13.73046875" style="475" customWidth="1"/>
    <col min="7" max="16384" width="9.1328125" style="1"/>
  </cols>
  <sheetData>
    <row r="1" spans="1:7" s="510" customFormat="1" ht="50.1" customHeight="1">
      <c r="A1" s="1430" t="s">
        <v>282</v>
      </c>
      <c r="B1" s="1435"/>
      <c r="C1" s="1435"/>
      <c r="D1" s="1435"/>
      <c r="E1" s="1435"/>
      <c r="F1" s="1435"/>
    </row>
    <row r="2" spans="1:7" s="510" customFormat="1" ht="13.9">
      <c r="A2" s="693" t="s">
        <v>30</v>
      </c>
      <c r="B2" s="530"/>
      <c r="C2" s="530"/>
      <c r="D2" s="530"/>
      <c r="E2" s="530"/>
      <c r="F2" s="694"/>
    </row>
    <row r="3" spans="1:7" s="510" customFormat="1" ht="13.15" thickBot="1">
      <c r="A3" s="694"/>
      <c r="B3" s="530"/>
      <c r="C3" s="695"/>
      <c r="D3" s="530"/>
      <c r="E3" s="530"/>
      <c r="F3" s="530"/>
      <c r="G3" s="2"/>
    </row>
    <row r="4" spans="1:7" s="510" customFormat="1" ht="48.75" customHeight="1" thickTop="1">
      <c r="A4" s="1432" t="s">
        <v>613</v>
      </c>
      <c r="B4" s="1428" t="s">
        <v>718</v>
      </c>
      <c r="C4" s="696"/>
      <c r="D4" s="697" t="s">
        <v>257</v>
      </c>
      <c r="E4" s="699" t="s">
        <v>547</v>
      </c>
      <c r="F4" s="700" t="s">
        <v>179</v>
      </c>
      <c r="G4" s="2"/>
    </row>
    <row r="5" spans="1:7" s="510" customFormat="1" ht="15.75" customHeight="1" thickBot="1">
      <c r="A5" s="1433"/>
      <c r="B5" s="1429"/>
      <c r="C5" s="701" t="s">
        <v>485</v>
      </c>
      <c r="D5" s="702" t="s">
        <v>210</v>
      </c>
      <c r="E5" s="703" t="s">
        <v>721</v>
      </c>
      <c r="F5" s="704" t="s">
        <v>403</v>
      </c>
      <c r="G5" s="2"/>
    </row>
    <row r="6" spans="1:7" s="510" customFormat="1" ht="11.25" customHeight="1">
      <c r="A6" s="454" t="s">
        <v>548</v>
      </c>
      <c r="B6" s="556">
        <v>15</v>
      </c>
      <c r="C6" s="557" t="s">
        <v>1410</v>
      </c>
      <c r="D6" s="497">
        <v>200</v>
      </c>
      <c r="E6" s="456">
        <v>3900</v>
      </c>
      <c r="F6" s="457">
        <v>15</v>
      </c>
    </row>
    <row r="7" spans="1:7" s="510" customFormat="1" ht="11.25" customHeight="1">
      <c r="A7" s="458" t="s">
        <v>549</v>
      </c>
      <c r="B7" s="562">
        <v>13</v>
      </c>
      <c r="C7" s="563" t="s">
        <v>1410</v>
      </c>
      <c r="D7" s="501">
        <v>1965</v>
      </c>
      <c r="E7" s="460" t="s">
        <v>1394</v>
      </c>
      <c r="F7" s="461">
        <v>13</v>
      </c>
    </row>
    <row r="8" spans="1:7" s="510" customFormat="1" ht="11.25" customHeight="1">
      <c r="A8" s="458" t="s">
        <v>550</v>
      </c>
      <c r="B8" s="562">
        <v>1500</v>
      </c>
      <c r="C8" s="563" t="s">
        <v>1410</v>
      </c>
      <c r="D8" s="501">
        <v>50000</v>
      </c>
      <c r="E8" s="460">
        <v>66142841.963876456</v>
      </c>
      <c r="F8" s="461">
        <v>1500</v>
      </c>
    </row>
    <row r="9" spans="1:7" s="510" customFormat="1" ht="11.25" customHeight="1">
      <c r="A9" s="458" t="s">
        <v>551</v>
      </c>
      <c r="B9" s="562">
        <v>1.3999999999999999E-4</v>
      </c>
      <c r="C9" s="563" t="s">
        <v>1410</v>
      </c>
      <c r="D9" s="501">
        <v>8.5</v>
      </c>
      <c r="E9" s="460" t="s">
        <v>954</v>
      </c>
      <c r="F9" s="461">
        <v>1.3999999999999999E-4</v>
      </c>
    </row>
    <row r="10" spans="1:7" s="510" customFormat="1" ht="11.25" customHeight="1">
      <c r="A10" s="458" t="s">
        <v>161</v>
      </c>
      <c r="B10" s="562">
        <v>700</v>
      </c>
      <c r="C10" s="563" t="s">
        <v>1410</v>
      </c>
      <c r="D10" s="501">
        <v>50000</v>
      </c>
      <c r="E10" s="460" t="s">
        <v>954</v>
      </c>
      <c r="F10" s="461">
        <v>700</v>
      </c>
    </row>
    <row r="11" spans="1:7" s="510" customFormat="1" ht="11.25" customHeight="1">
      <c r="A11" s="462" t="s">
        <v>162</v>
      </c>
      <c r="B11" s="562">
        <v>18</v>
      </c>
      <c r="C11" s="563" t="s">
        <v>1410</v>
      </c>
      <c r="D11" s="501">
        <v>50000</v>
      </c>
      <c r="E11" s="460" t="s">
        <v>954</v>
      </c>
      <c r="F11" s="461">
        <v>18</v>
      </c>
    </row>
    <row r="12" spans="1:7" s="510" customFormat="1" ht="11.25" customHeight="1">
      <c r="A12" s="462" t="s">
        <v>94</v>
      </c>
      <c r="B12" s="562">
        <v>11</v>
      </c>
      <c r="C12" s="563" t="s">
        <v>1410</v>
      </c>
      <c r="D12" s="501">
        <v>50000</v>
      </c>
      <c r="E12" s="460" t="s">
        <v>954</v>
      </c>
      <c r="F12" s="461">
        <v>11</v>
      </c>
    </row>
    <row r="13" spans="1:7" s="510" customFormat="1" ht="11.25" customHeight="1">
      <c r="A13" s="458" t="s">
        <v>552</v>
      </c>
      <c r="B13" s="562">
        <v>0.02</v>
      </c>
      <c r="C13" s="563" t="s">
        <v>1410</v>
      </c>
      <c r="D13" s="501">
        <v>21.5</v>
      </c>
      <c r="E13" s="460">
        <v>43</v>
      </c>
      <c r="F13" s="461">
        <v>0.02</v>
      </c>
    </row>
    <row r="14" spans="1:7" s="510" customFormat="1" ht="11.25" customHeight="1">
      <c r="A14" s="458" t="s">
        <v>553</v>
      </c>
      <c r="B14" s="562">
        <v>30</v>
      </c>
      <c r="C14" s="563" t="s">
        <v>1410</v>
      </c>
      <c r="D14" s="501">
        <v>50000</v>
      </c>
      <c r="E14" s="460" t="s">
        <v>954</v>
      </c>
      <c r="F14" s="461">
        <v>30</v>
      </c>
    </row>
    <row r="15" spans="1:7" s="510" customFormat="1" ht="11.25" customHeight="1">
      <c r="A15" s="458" t="s">
        <v>686</v>
      </c>
      <c r="B15" s="562">
        <v>36</v>
      </c>
      <c r="C15" s="563" t="s">
        <v>1410</v>
      </c>
      <c r="D15" s="501">
        <v>50000</v>
      </c>
      <c r="E15" s="460" t="s">
        <v>954</v>
      </c>
      <c r="F15" s="461">
        <v>36</v>
      </c>
    </row>
    <row r="16" spans="1:7" s="510" customFormat="1" ht="11.25" customHeight="1">
      <c r="A16" s="458" t="s">
        <v>95</v>
      </c>
      <c r="B16" s="562">
        <v>12</v>
      </c>
      <c r="C16" s="563" t="s">
        <v>1410</v>
      </c>
      <c r="D16" s="501">
        <v>17500</v>
      </c>
      <c r="E16" s="460" t="s">
        <v>954</v>
      </c>
      <c r="F16" s="461">
        <v>12</v>
      </c>
    </row>
    <row r="17" spans="1:6" s="510" customFormat="1" ht="11.25" customHeight="1">
      <c r="A17" s="458" t="s">
        <v>687</v>
      </c>
      <c r="B17" s="562">
        <v>220</v>
      </c>
      <c r="C17" s="563" t="s">
        <v>1410</v>
      </c>
      <c r="D17" s="501">
        <v>50000</v>
      </c>
      <c r="E17" s="460" t="s">
        <v>954</v>
      </c>
      <c r="F17" s="461">
        <v>220</v>
      </c>
    </row>
    <row r="18" spans="1:6" s="510" customFormat="1" ht="11.25" customHeight="1">
      <c r="A18" s="458" t="s">
        <v>1156</v>
      </c>
      <c r="B18" s="562">
        <v>0.14000000000000001</v>
      </c>
      <c r="C18" s="563" t="s">
        <v>1410</v>
      </c>
      <c r="D18" s="501">
        <v>1900</v>
      </c>
      <c r="E18" s="460" t="s">
        <v>954</v>
      </c>
      <c r="F18" s="461">
        <v>0.14000000000000001</v>
      </c>
    </row>
    <row r="19" spans="1:6" s="510" customFormat="1" ht="11.25" customHeight="1">
      <c r="A19" s="458" t="s">
        <v>688</v>
      </c>
      <c r="B19" s="562">
        <v>71.3</v>
      </c>
      <c r="C19" s="563" t="s">
        <v>1410</v>
      </c>
      <c r="D19" s="501">
        <v>20000</v>
      </c>
      <c r="E19" s="460">
        <v>2250.3937370979761</v>
      </c>
      <c r="F19" s="461">
        <v>71.3</v>
      </c>
    </row>
    <row r="20" spans="1:6" s="510" customFormat="1" ht="11.25" customHeight="1">
      <c r="A20" s="458" t="s">
        <v>689</v>
      </c>
      <c r="B20" s="562">
        <v>2.7E-2</v>
      </c>
      <c r="C20" s="563" t="s">
        <v>1410</v>
      </c>
      <c r="D20" s="501">
        <v>4.7</v>
      </c>
      <c r="E20" s="460" t="s">
        <v>954</v>
      </c>
      <c r="F20" s="461">
        <v>2.7E-2</v>
      </c>
    </row>
    <row r="21" spans="1:6" s="510" customFormat="1" ht="11.25" customHeight="1">
      <c r="A21" s="458" t="s">
        <v>690</v>
      </c>
      <c r="B21" s="562">
        <v>0.06</v>
      </c>
      <c r="C21" s="563" t="s">
        <v>1410</v>
      </c>
      <c r="D21" s="501">
        <v>0.8</v>
      </c>
      <c r="E21" s="460" t="s">
        <v>954</v>
      </c>
      <c r="F21" s="461">
        <v>0.06</v>
      </c>
    </row>
    <row r="22" spans="1:6" s="510" customFormat="1" ht="11.25" customHeight="1">
      <c r="A22" s="458" t="s">
        <v>691</v>
      </c>
      <c r="B22" s="562">
        <v>0.68</v>
      </c>
      <c r="C22" s="563" t="s">
        <v>1410</v>
      </c>
      <c r="D22" s="501">
        <v>0.75</v>
      </c>
      <c r="E22" s="460" t="s">
        <v>954</v>
      </c>
      <c r="F22" s="461">
        <v>0.68</v>
      </c>
    </row>
    <row r="23" spans="1:6" s="510" customFormat="1" ht="11.25" customHeight="1">
      <c r="A23" s="458" t="s">
        <v>692</v>
      </c>
      <c r="B23" s="562">
        <v>0.12999999999999998</v>
      </c>
      <c r="C23" s="563" t="s">
        <v>270</v>
      </c>
      <c r="D23" s="501">
        <v>0.12999999999999998</v>
      </c>
      <c r="E23" s="460" t="s">
        <v>954</v>
      </c>
      <c r="F23" s="461">
        <v>0.44</v>
      </c>
    </row>
    <row r="24" spans="1:6" s="510" customFormat="1" ht="11.25" customHeight="1">
      <c r="A24" s="458" t="s">
        <v>693</v>
      </c>
      <c r="B24" s="562">
        <v>0.4</v>
      </c>
      <c r="C24" s="563" t="s">
        <v>270</v>
      </c>
      <c r="D24" s="501">
        <v>0.4</v>
      </c>
      <c r="E24" s="460" t="s">
        <v>954</v>
      </c>
      <c r="F24" s="461">
        <v>0.64</v>
      </c>
    </row>
    <row r="25" spans="1:6" s="510" customFormat="1" ht="11.25" customHeight="1">
      <c r="A25" s="458" t="s">
        <v>126</v>
      </c>
      <c r="B25" s="562">
        <v>0.66</v>
      </c>
      <c r="C25" s="563" t="s">
        <v>1410</v>
      </c>
      <c r="D25" s="501">
        <v>50000</v>
      </c>
      <c r="E25" s="460" t="s">
        <v>954</v>
      </c>
      <c r="F25" s="461">
        <v>0.66</v>
      </c>
    </row>
    <row r="26" spans="1:6" s="510" customFormat="1" ht="11.25" customHeight="1">
      <c r="A26" s="458" t="s">
        <v>233</v>
      </c>
      <c r="B26" s="562">
        <v>5</v>
      </c>
      <c r="C26" s="563" t="s">
        <v>270</v>
      </c>
      <c r="D26" s="501">
        <v>5</v>
      </c>
      <c r="E26" s="460" t="s">
        <v>1394</v>
      </c>
      <c r="F26" s="461">
        <v>6.5</v>
      </c>
    </row>
    <row r="27" spans="1:6" s="510" customFormat="1" ht="11.25" customHeight="1">
      <c r="A27" s="458" t="s">
        <v>127</v>
      </c>
      <c r="B27" s="562">
        <v>175.65607394552634</v>
      </c>
      <c r="C27" s="563" t="s">
        <v>673</v>
      </c>
      <c r="D27" s="501">
        <v>3600</v>
      </c>
      <c r="E27" s="460">
        <v>175.65607394552634</v>
      </c>
      <c r="F27" s="461">
        <v>2380</v>
      </c>
    </row>
    <row r="28" spans="1:6" s="510" customFormat="1" ht="11.25" customHeight="1">
      <c r="A28" s="503" t="s">
        <v>1103</v>
      </c>
      <c r="B28" s="562">
        <v>0.35711381953846194</v>
      </c>
      <c r="C28" s="563" t="s">
        <v>1410</v>
      </c>
      <c r="D28" s="501">
        <v>3200</v>
      </c>
      <c r="E28" s="460" t="s">
        <v>1394</v>
      </c>
      <c r="F28" s="461">
        <v>0.35711381953846194</v>
      </c>
    </row>
    <row r="29" spans="1:6" s="510" customFormat="1" ht="11.25" customHeight="1">
      <c r="A29" s="458" t="s">
        <v>128</v>
      </c>
      <c r="B29" s="562">
        <v>3</v>
      </c>
      <c r="C29" s="563" t="s">
        <v>1410</v>
      </c>
      <c r="D29" s="501">
        <v>135</v>
      </c>
      <c r="E29" s="460" t="s">
        <v>954</v>
      </c>
      <c r="F29" s="461">
        <v>3</v>
      </c>
    </row>
    <row r="30" spans="1:6" s="510" customFormat="1" ht="11.25" customHeight="1">
      <c r="A30" s="458" t="s">
        <v>129</v>
      </c>
      <c r="B30" s="562">
        <v>1000</v>
      </c>
      <c r="C30" s="563" t="s">
        <v>1410</v>
      </c>
      <c r="D30" s="501">
        <v>50000</v>
      </c>
      <c r="E30" s="460" t="s">
        <v>954</v>
      </c>
      <c r="F30" s="461">
        <v>1000</v>
      </c>
    </row>
    <row r="31" spans="1:6" s="510" customFormat="1" ht="11.25" customHeight="1">
      <c r="A31" s="458" t="s">
        <v>130</v>
      </c>
      <c r="B31" s="562">
        <v>114.99301190674856</v>
      </c>
      <c r="C31" s="563" t="s">
        <v>673</v>
      </c>
      <c r="D31" s="501">
        <v>50000</v>
      </c>
      <c r="E31" s="460">
        <v>114.99301190674856</v>
      </c>
      <c r="F31" s="461">
        <v>340</v>
      </c>
    </row>
    <row r="32" spans="1:6" s="510" customFormat="1" ht="11.25" customHeight="1">
      <c r="A32" s="458" t="s">
        <v>131</v>
      </c>
      <c r="B32" s="562">
        <v>230</v>
      </c>
      <c r="C32" s="563" t="s">
        <v>1410</v>
      </c>
      <c r="D32" s="501">
        <v>5100</v>
      </c>
      <c r="E32" s="460" t="s">
        <v>954</v>
      </c>
      <c r="F32" s="461">
        <v>230</v>
      </c>
    </row>
    <row r="33" spans="1:6" s="510" customFormat="1" ht="11.25" customHeight="1">
      <c r="A33" s="458" t="s">
        <v>132</v>
      </c>
      <c r="B33" s="562">
        <v>16</v>
      </c>
      <c r="C33" s="563" t="s">
        <v>1410</v>
      </c>
      <c r="D33" s="501">
        <v>50000</v>
      </c>
      <c r="E33" s="460">
        <v>412.95811722027219</v>
      </c>
      <c r="F33" s="461">
        <v>16</v>
      </c>
    </row>
    <row r="34" spans="1:6" s="510" customFormat="1" ht="11.25" customHeight="1">
      <c r="A34" s="458" t="s">
        <v>133</v>
      </c>
      <c r="B34" s="562">
        <v>3</v>
      </c>
      <c r="C34" s="563" t="s">
        <v>1410</v>
      </c>
      <c r="D34" s="501">
        <v>50000</v>
      </c>
      <c r="E34" s="460" t="s">
        <v>954</v>
      </c>
      <c r="F34" s="461">
        <v>3</v>
      </c>
    </row>
    <row r="35" spans="1:6" s="510" customFormat="1" ht="11.25" customHeight="1">
      <c r="A35" s="458" t="s">
        <v>134</v>
      </c>
      <c r="B35" s="562">
        <v>9.8000000000000007</v>
      </c>
      <c r="C35" s="563" t="s">
        <v>1410</v>
      </c>
      <c r="D35" s="501">
        <v>5200</v>
      </c>
      <c r="E35" s="460">
        <v>109.78360683200988</v>
      </c>
      <c r="F35" s="461">
        <v>9.8000000000000007</v>
      </c>
    </row>
    <row r="36" spans="1:6" s="510" customFormat="1" ht="11.25" customHeight="1">
      <c r="A36" s="458" t="s">
        <v>614</v>
      </c>
      <c r="B36" s="562">
        <v>4.0000000000000001E-3</v>
      </c>
      <c r="C36" s="563" t="s">
        <v>1410</v>
      </c>
      <c r="D36" s="501">
        <v>25</v>
      </c>
      <c r="E36" s="460" t="s">
        <v>954</v>
      </c>
      <c r="F36" s="461">
        <v>4.0000000000000001E-3</v>
      </c>
    </row>
    <row r="37" spans="1:6" s="510" customFormat="1" ht="11.25" customHeight="1">
      <c r="A37" s="458" t="s">
        <v>135</v>
      </c>
      <c r="B37" s="562">
        <v>19</v>
      </c>
      <c r="C37" s="563" t="s">
        <v>1410</v>
      </c>
      <c r="D37" s="501">
        <v>50000</v>
      </c>
      <c r="E37" s="460" t="s">
        <v>954</v>
      </c>
      <c r="F37" s="461">
        <v>19</v>
      </c>
    </row>
    <row r="38" spans="1:6" s="510" customFormat="1" ht="11.25" customHeight="1">
      <c r="A38" s="458" t="s">
        <v>136</v>
      </c>
      <c r="B38" s="562">
        <v>25</v>
      </c>
      <c r="C38" s="563" t="s">
        <v>1410</v>
      </c>
      <c r="D38" s="501">
        <v>500</v>
      </c>
      <c r="E38" s="460">
        <v>12400.875594724155</v>
      </c>
      <c r="F38" s="461">
        <v>25</v>
      </c>
    </row>
    <row r="39" spans="1:6" s="510" customFormat="1" ht="11.25" customHeight="1">
      <c r="A39" s="458" t="s">
        <v>781</v>
      </c>
      <c r="B39" s="562">
        <v>160</v>
      </c>
      <c r="C39" s="563" t="s">
        <v>270</v>
      </c>
      <c r="D39" s="501">
        <v>160</v>
      </c>
      <c r="E39" s="460">
        <v>241595.47466143908</v>
      </c>
      <c r="F39" s="461">
        <v>47673.469387755096</v>
      </c>
    </row>
    <row r="40" spans="1:6" ht="11.25" customHeight="1">
      <c r="A40" s="464" t="s">
        <v>137</v>
      </c>
      <c r="B40" s="562">
        <v>28</v>
      </c>
      <c r="C40" s="563" t="s">
        <v>1410</v>
      </c>
      <c r="D40" s="501">
        <v>24000</v>
      </c>
      <c r="E40" s="460">
        <v>108.3094022043858</v>
      </c>
      <c r="F40" s="461">
        <v>28</v>
      </c>
    </row>
    <row r="41" spans="1:6" ht="11.25" customHeight="1">
      <c r="A41" s="458" t="s">
        <v>782</v>
      </c>
      <c r="B41" s="562">
        <v>1072.6530612244896</v>
      </c>
      <c r="C41" s="563" t="s">
        <v>1410</v>
      </c>
      <c r="D41" s="501">
        <v>50000</v>
      </c>
      <c r="E41" s="460">
        <v>5216.5892543454502</v>
      </c>
      <c r="F41" s="461">
        <v>1072.6530612244896</v>
      </c>
    </row>
    <row r="42" spans="1:6" ht="11.25" customHeight="1">
      <c r="A42" s="458" t="s">
        <v>138</v>
      </c>
      <c r="B42" s="562">
        <v>1.8</v>
      </c>
      <c r="C42" s="563" t="s">
        <v>270</v>
      </c>
      <c r="D42" s="501">
        <v>1.8</v>
      </c>
      <c r="E42" s="460">
        <v>87854.768508615263</v>
      </c>
      <c r="F42" s="461">
        <v>32</v>
      </c>
    </row>
    <row r="43" spans="1:6" ht="11.25" customHeight="1">
      <c r="A43" s="458" t="s">
        <v>612</v>
      </c>
      <c r="B43" s="562">
        <v>11</v>
      </c>
      <c r="C43" s="563" t="s">
        <v>1410</v>
      </c>
      <c r="D43" s="501">
        <v>50000</v>
      </c>
      <c r="E43" s="460" t="s">
        <v>954</v>
      </c>
      <c r="F43" s="461">
        <v>11</v>
      </c>
    </row>
    <row r="44" spans="1:6" ht="11.25" customHeight="1">
      <c r="A44" s="458" t="s">
        <v>779</v>
      </c>
      <c r="B44" s="562">
        <v>20</v>
      </c>
      <c r="C44" s="563" t="s">
        <v>1410</v>
      </c>
      <c r="D44" s="501">
        <v>50000</v>
      </c>
      <c r="E44" s="460" t="s">
        <v>954</v>
      </c>
      <c r="F44" s="461">
        <v>20</v>
      </c>
    </row>
    <row r="45" spans="1:6" ht="11.25" customHeight="1">
      <c r="A45" s="458" t="s">
        <v>780</v>
      </c>
      <c r="B45" s="562">
        <v>11</v>
      </c>
      <c r="C45" s="563" t="s">
        <v>1410</v>
      </c>
      <c r="D45" s="501">
        <v>50000</v>
      </c>
      <c r="E45" s="460" t="s">
        <v>954</v>
      </c>
      <c r="F45" s="461">
        <v>11</v>
      </c>
    </row>
    <row r="46" spans="1:6" ht="11.25" customHeight="1">
      <c r="A46" s="458" t="s">
        <v>139</v>
      </c>
      <c r="B46" s="562">
        <v>1</v>
      </c>
      <c r="C46" s="563" t="s">
        <v>270</v>
      </c>
      <c r="D46" s="501">
        <v>1</v>
      </c>
      <c r="E46" s="460" t="s">
        <v>954</v>
      </c>
      <c r="F46" s="461">
        <v>2</v>
      </c>
    </row>
    <row r="47" spans="1:6" ht="11.25" customHeight="1">
      <c r="A47" s="458" t="s">
        <v>140</v>
      </c>
      <c r="B47" s="562">
        <v>19</v>
      </c>
      <c r="C47" s="563" t="s">
        <v>1410</v>
      </c>
      <c r="D47" s="501">
        <v>50000</v>
      </c>
      <c r="E47" s="460" t="s">
        <v>954</v>
      </c>
      <c r="F47" s="461">
        <v>19</v>
      </c>
    </row>
    <row r="48" spans="1:6" ht="11.25" customHeight="1">
      <c r="A48" s="458" t="s">
        <v>141</v>
      </c>
      <c r="B48" s="562">
        <v>2.9</v>
      </c>
      <c r="C48" s="563" t="s">
        <v>1410</v>
      </c>
      <c r="D48" s="501">
        <v>50000</v>
      </c>
      <c r="E48" s="460" t="s">
        <v>954</v>
      </c>
      <c r="F48" s="461">
        <v>2.9</v>
      </c>
    </row>
    <row r="49" spans="1:6" ht="11.25" customHeight="1">
      <c r="A49" s="458" t="s">
        <v>142</v>
      </c>
      <c r="B49" s="562">
        <v>1</v>
      </c>
      <c r="C49" s="563" t="s">
        <v>1410</v>
      </c>
      <c r="D49" s="501">
        <v>1700</v>
      </c>
      <c r="E49" s="460" t="s">
        <v>1394</v>
      </c>
      <c r="F49" s="461">
        <v>1</v>
      </c>
    </row>
    <row r="50" spans="1:6" ht="11.25" customHeight="1">
      <c r="A50" s="462" t="s">
        <v>96</v>
      </c>
      <c r="B50" s="562">
        <v>79</v>
      </c>
      <c r="C50" s="563" t="s">
        <v>1410</v>
      </c>
      <c r="D50" s="501">
        <v>29850</v>
      </c>
      <c r="E50" s="460" t="s">
        <v>954</v>
      </c>
      <c r="F50" s="461">
        <v>79</v>
      </c>
    </row>
    <row r="51" spans="1:6" ht="11.25" customHeight="1">
      <c r="A51" s="458" t="s">
        <v>97</v>
      </c>
      <c r="B51" s="562">
        <v>300</v>
      </c>
      <c r="C51" s="563" t="s">
        <v>1410</v>
      </c>
      <c r="D51" s="501">
        <v>50000</v>
      </c>
      <c r="E51" s="460" t="s">
        <v>954</v>
      </c>
      <c r="F51" s="461">
        <v>300</v>
      </c>
    </row>
    <row r="52" spans="1:6" ht="11.25" customHeight="1">
      <c r="A52" s="458" t="s">
        <v>143</v>
      </c>
      <c r="B52" s="562">
        <v>0.8</v>
      </c>
      <c r="C52" s="563" t="s">
        <v>1410</v>
      </c>
      <c r="D52" s="501">
        <v>1.25</v>
      </c>
      <c r="E52" s="460" t="s">
        <v>954</v>
      </c>
      <c r="F52" s="461">
        <v>0.8</v>
      </c>
    </row>
    <row r="53" spans="1:6" ht="11.25" customHeight="1">
      <c r="A53" s="458" t="s">
        <v>381</v>
      </c>
      <c r="B53" s="562">
        <v>0.04</v>
      </c>
      <c r="C53" s="563" t="s">
        <v>1410</v>
      </c>
      <c r="D53" s="501">
        <v>100</v>
      </c>
      <c r="E53" s="460" t="s">
        <v>1394</v>
      </c>
      <c r="F53" s="461">
        <v>0.04</v>
      </c>
    </row>
    <row r="54" spans="1:6" ht="11.25" customHeight="1">
      <c r="A54" s="458" t="s">
        <v>144</v>
      </c>
      <c r="B54" s="562">
        <v>34</v>
      </c>
      <c r="C54" s="563" t="s">
        <v>1410</v>
      </c>
      <c r="D54" s="501">
        <v>50000</v>
      </c>
      <c r="E54" s="460">
        <v>49363.371203886563</v>
      </c>
      <c r="F54" s="461">
        <v>34</v>
      </c>
    </row>
    <row r="55" spans="1:6" ht="11.25" customHeight="1">
      <c r="A55" s="458" t="s">
        <v>487</v>
      </c>
      <c r="B55" s="562">
        <v>18.617708877383702</v>
      </c>
      <c r="C55" s="563" t="s">
        <v>673</v>
      </c>
      <c r="D55" s="501">
        <v>50000</v>
      </c>
      <c r="E55" s="460">
        <v>18.617708877383702</v>
      </c>
      <c r="F55" s="461">
        <v>1400</v>
      </c>
    </row>
    <row r="56" spans="1:6" ht="11.25" customHeight="1">
      <c r="A56" s="458" t="s">
        <v>145</v>
      </c>
      <c r="B56" s="562">
        <v>14</v>
      </c>
      <c r="C56" s="563" t="s">
        <v>1410</v>
      </c>
      <c r="D56" s="501">
        <v>100</v>
      </c>
      <c r="E56" s="460">
        <v>83377.443722530952</v>
      </c>
      <c r="F56" s="461">
        <v>14</v>
      </c>
    </row>
    <row r="57" spans="1:6" ht="11.25" customHeight="1">
      <c r="A57" s="458" t="s">
        <v>225</v>
      </c>
      <c r="B57" s="562">
        <v>22</v>
      </c>
      <c r="C57" s="563" t="s">
        <v>1410</v>
      </c>
      <c r="D57" s="501">
        <v>50000</v>
      </c>
      <c r="E57" s="460" t="s">
        <v>1394</v>
      </c>
      <c r="F57" s="461">
        <v>22</v>
      </c>
    </row>
    <row r="58" spans="1:6" ht="11.25" customHeight="1">
      <c r="A58" s="458" t="s">
        <v>226</v>
      </c>
      <c r="B58" s="562">
        <v>9.4</v>
      </c>
      <c r="C58" s="563" t="s">
        <v>1410</v>
      </c>
      <c r="D58" s="501">
        <v>110</v>
      </c>
      <c r="E58" s="460">
        <v>449.85112140655059</v>
      </c>
      <c r="F58" s="461">
        <v>9.4</v>
      </c>
    </row>
    <row r="59" spans="1:6" ht="11.25" customHeight="1">
      <c r="A59" s="458" t="s">
        <v>227</v>
      </c>
      <c r="B59" s="562">
        <v>4.5</v>
      </c>
      <c r="C59" s="563" t="s">
        <v>1410</v>
      </c>
      <c r="D59" s="501">
        <v>1550</v>
      </c>
      <c r="E59" s="460" t="s">
        <v>954</v>
      </c>
      <c r="F59" s="461">
        <v>4.5</v>
      </c>
    </row>
    <row r="60" spans="1:6" ht="11.25" customHeight="1">
      <c r="A60" s="458" t="s">
        <v>361</v>
      </c>
      <c r="B60" s="562">
        <v>1.0999999999999999E-2</v>
      </c>
      <c r="C60" s="563" t="s">
        <v>1410</v>
      </c>
      <c r="D60" s="501">
        <v>45</v>
      </c>
      <c r="E60" s="460" t="s">
        <v>954</v>
      </c>
      <c r="F60" s="461">
        <v>1.0999999999999999E-2</v>
      </c>
    </row>
    <row r="61" spans="1:6" ht="11.25" customHeight="1">
      <c r="A61" s="458" t="s">
        <v>362</v>
      </c>
      <c r="B61" s="562">
        <v>0.41</v>
      </c>
      <c r="C61" s="563" t="s">
        <v>1410</v>
      </c>
      <c r="D61" s="501">
        <v>20</v>
      </c>
      <c r="E61" s="460" t="s">
        <v>954</v>
      </c>
      <c r="F61" s="461">
        <v>0.41</v>
      </c>
    </row>
    <row r="62" spans="1:6" ht="11.25" customHeight="1">
      <c r="A62" s="458" t="s">
        <v>363</v>
      </c>
      <c r="B62" s="562">
        <v>1E-3</v>
      </c>
      <c r="C62" s="563" t="s">
        <v>1410</v>
      </c>
      <c r="D62" s="501">
        <v>2.75</v>
      </c>
      <c r="E62" s="460" t="s">
        <v>954</v>
      </c>
      <c r="F62" s="461">
        <v>1E-3</v>
      </c>
    </row>
    <row r="63" spans="1:6" ht="11.25" customHeight="1">
      <c r="A63" s="458" t="s">
        <v>234</v>
      </c>
      <c r="B63" s="562">
        <v>47</v>
      </c>
      <c r="C63" s="563" t="s">
        <v>1410</v>
      </c>
      <c r="D63" s="501">
        <v>50000</v>
      </c>
      <c r="E63" s="460">
        <v>1093.4471780092338</v>
      </c>
      <c r="F63" s="461">
        <v>47</v>
      </c>
    </row>
    <row r="64" spans="1:6" ht="11.25" customHeight="1">
      <c r="A64" s="458" t="s">
        <v>235</v>
      </c>
      <c r="B64" s="562">
        <v>182.45621075944572</v>
      </c>
      <c r="C64" s="563" t="s">
        <v>673</v>
      </c>
      <c r="D64" s="501">
        <v>50000</v>
      </c>
      <c r="E64" s="460">
        <v>182.45621075944572</v>
      </c>
      <c r="F64" s="461">
        <v>910</v>
      </c>
    </row>
    <row r="65" spans="1:6" ht="11.25" customHeight="1">
      <c r="A65" s="458" t="s">
        <v>294</v>
      </c>
      <c r="B65" s="562">
        <v>25</v>
      </c>
      <c r="C65" s="563" t="s">
        <v>1410</v>
      </c>
      <c r="D65" s="501">
        <v>15000</v>
      </c>
      <c r="E65" s="460">
        <v>6624.9382313275155</v>
      </c>
      <c r="F65" s="461">
        <v>25</v>
      </c>
    </row>
    <row r="66" spans="1:6" ht="11.25" customHeight="1">
      <c r="A66" s="458" t="s">
        <v>295</v>
      </c>
      <c r="B66" s="562">
        <v>620</v>
      </c>
      <c r="C66" s="563" t="s">
        <v>1410</v>
      </c>
      <c r="D66" s="501">
        <v>50000</v>
      </c>
      <c r="E66" s="460">
        <v>6370.7435851069322</v>
      </c>
      <c r="F66" s="461">
        <v>620</v>
      </c>
    </row>
    <row r="67" spans="1:6" ht="11.25" customHeight="1">
      <c r="A67" s="458" t="s">
        <v>228</v>
      </c>
      <c r="B67" s="562">
        <v>558</v>
      </c>
      <c r="C67" s="563" t="s">
        <v>1410</v>
      </c>
      <c r="D67" s="501">
        <v>2600</v>
      </c>
      <c r="E67" s="460">
        <v>3298.5200508444436</v>
      </c>
      <c r="F67" s="461">
        <v>558</v>
      </c>
    </row>
    <row r="68" spans="1:6" ht="11.25" customHeight="1">
      <c r="A68" s="458" t="s">
        <v>942</v>
      </c>
      <c r="B68" s="562">
        <v>3</v>
      </c>
      <c r="C68" s="563" t="s">
        <v>270</v>
      </c>
      <c r="D68" s="501">
        <v>3</v>
      </c>
      <c r="E68" s="460" t="s">
        <v>954</v>
      </c>
      <c r="F68" s="461">
        <v>11</v>
      </c>
    </row>
    <row r="69" spans="1:6" ht="11.25" customHeight="1">
      <c r="A69" s="458" t="s">
        <v>98</v>
      </c>
      <c r="B69" s="562">
        <v>70</v>
      </c>
      <c r="C69" s="563" t="s">
        <v>1410</v>
      </c>
      <c r="D69" s="501">
        <v>50000</v>
      </c>
      <c r="E69" s="460" t="s">
        <v>954</v>
      </c>
      <c r="F69" s="461">
        <v>70</v>
      </c>
    </row>
    <row r="70" spans="1:6" ht="11.25" customHeight="1">
      <c r="A70" s="458" t="s">
        <v>943</v>
      </c>
      <c r="B70" s="562">
        <v>100</v>
      </c>
      <c r="C70" s="563" t="s">
        <v>270</v>
      </c>
      <c r="D70" s="501">
        <v>100</v>
      </c>
      <c r="E70" s="460">
        <v>906.38089810273414</v>
      </c>
      <c r="F70" s="461">
        <v>520</v>
      </c>
    </row>
    <row r="71" spans="1:6" ht="11.25" customHeight="1">
      <c r="A71" s="458" t="s">
        <v>296</v>
      </c>
      <c r="B71" s="562">
        <v>0.06</v>
      </c>
      <c r="C71" s="563" t="s">
        <v>1410</v>
      </c>
      <c r="D71" s="501">
        <v>50000</v>
      </c>
      <c r="E71" s="460">
        <v>673.73911756880364</v>
      </c>
      <c r="F71" s="461">
        <v>0.06</v>
      </c>
    </row>
    <row r="72" spans="1:6" ht="11.25" customHeight="1">
      <c r="A72" s="458" t="s">
        <v>944</v>
      </c>
      <c r="B72" s="562">
        <v>1.9E-3</v>
      </c>
      <c r="C72" s="563" t="s">
        <v>1410</v>
      </c>
      <c r="D72" s="501">
        <v>97.5</v>
      </c>
      <c r="E72" s="460" t="s">
        <v>954</v>
      </c>
      <c r="F72" s="461">
        <v>1.9E-3</v>
      </c>
    </row>
    <row r="73" spans="1:6" ht="11.25" customHeight="1">
      <c r="A73" s="458" t="s">
        <v>945</v>
      </c>
      <c r="B73" s="562">
        <v>210</v>
      </c>
      <c r="C73" s="563" t="s">
        <v>1410</v>
      </c>
      <c r="D73" s="501">
        <v>50000</v>
      </c>
      <c r="E73" s="460" t="s">
        <v>954</v>
      </c>
      <c r="F73" s="461">
        <v>210</v>
      </c>
    </row>
    <row r="74" spans="1:6" ht="11.25" customHeight="1">
      <c r="A74" s="458" t="s">
        <v>947</v>
      </c>
      <c r="B74" s="562">
        <v>120</v>
      </c>
      <c r="C74" s="563" t="s">
        <v>1410</v>
      </c>
      <c r="D74" s="501">
        <v>4000</v>
      </c>
      <c r="E74" s="460" t="s">
        <v>954</v>
      </c>
      <c r="F74" s="461">
        <v>120</v>
      </c>
    </row>
    <row r="75" spans="1:6" ht="11.25" customHeight="1">
      <c r="A75" s="458" t="s">
        <v>946</v>
      </c>
      <c r="B75" s="562">
        <v>1100</v>
      </c>
      <c r="C75" s="563" t="s">
        <v>1410</v>
      </c>
      <c r="D75" s="501">
        <v>50000</v>
      </c>
      <c r="E75" s="460" t="s">
        <v>954</v>
      </c>
      <c r="F75" s="461">
        <v>1100</v>
      </c>
    </row>
    <row r="76" spans="1:6" ht="11.25" customHeight="1">
      <c r="A76" s="462" t="s">
        <v>99</v>
      </c>
      <c r="B76" s="562">
        <v>10</v>
      </c>
      <c r="C76" s="563" t="s">
        <v>1410</v>
      </c>
      <c r="D76" s="501">
        <v>50000</v>
      </c>
      <c r="E76" s="460" t="s">
        <v>954</v>
      </c>
      <c r="F76" s="461">
        <v>10</v>
      </c>
    </row>
    <row r="77" spans="1:6" ht="11.25" customHeight="1">
      <c r="A77" s="458" t="s">
        <v>297</v>
      </c>
      <c r="B77" s="562">
        <v>14.3</v>
      </c>
      <c r="C77" s="563" t="s">
        <v>1410</v>
      </c>
      <c r="D77" s="501">
        <v>50000</v>
      </c>
      <c r="E77" s="460" t="s">
        <v>954</v>
      </c>
      <c r="F77" s="461">
        <v>14.3</v>
      </c>
    </row>
    <row r="78" spans="1:6" ht="11.25" customHeight="1">
      <c r="A78" s="462" t="s">
        <v>100</v>
      </c>
      <c r="B78" s="562">
        <v>9.1</v>
      </c>
      <c r="C78" s="563" t="s">
        <v>1410</v>
      </c>
      <c r="D78" s="501">
        <v>50000</v>
      </c>
      <c r="E78" s="460" t="s">
        <v>954</v>
      </c>
      <c r="F78" s="461">
        <v>9.1</v>
      </c>
    </row>
    <row r="79" spans="1:6" ht="11.25" customHeight="1">
      <c r="A79" s="462" t="s">
        <v>101</v>
      </c>
      <c r="B79" s="562">
        <v>81</v>
      </c>
      <c r="C79" s="563" t="s">
        <v>1410</v>
      </c>
      <c r="D79" s="501">
        <v>50000</v>
      </c>
      <c r="E79" s="460" t="s">
        <v>954</v>
      </c>
      <c r="F79" s="461">
        <v>81</v>
      </c>
    </row>
    <row r="80" spans="1:6" ht="11.25" customHeight="1">
      <c r="A80" s="458" t="s">
        <v>382</v>
      </c>
      <c r="B80" s="562">
        <v>50000</v>
      </c>
      <c r="C80" s="563" t="s">
        <v>270</v>
      </c>
      <c r="D80" s="501">
        <v>50000</v>
      </c>
      <c r="E80" s="460" t="s">
        <v>1394</v>
      </c>
      <c r="F80" s="461">
        <v>335000</v>
      </c>
    </row>
    <row r="81" spans="1:6" ht="11.25" customHeight="1">
      <c r="A81" s="458" t="s">
        <v>594</v>
      </c>
      <c r="B81" s="562">
        <v>3.1E-9</v>
      </c>
      <c r="C81" s="563" t="s">
        <v>1410</v>
      </c>
      <c r="D81" s="501">
        <v>0.1</v>
      </c>
      <c r="E81" s="460" t="s">
        <v>954</v>
      </c>
      <c r="F81" s="461">
        <v>3.1E-9</v>
      </c>
    </row>
    <row r="82" spans="1:6" ht="11.25" customHeight="1">
      <c r="A82" s="458" t="s">
        <v>102</v>
      </c>
      <c r="B82" s="562">
        <v>60</v>
      </c>
      <c r="C82" s="563" t="s">
        <v>1410</v>
      </c>
      <c r="D82" s="501">
        <v>21000</v>
      </c>
      <c r="E82" s="460" t="s">
        <v>954</v>
      </c>
      <c r="F82" s="461">
        <v>60</v>
      </c>
    </row>
    <row r="83" spans="1:6" ht="11.25" customHeight="1">
      <c r="A83" s="458" t="s">
        <v>370</v>
      </c>
      <c r="B83" s="562">
        <v>8.6999999999999994E-3</v>
      </c>
      <c r="C83" s="563" t="s">
        <v>1410</v>
      </c>
      <c r="D83" s="501">
        <v>162.5</v>
      </c>
      <c r="E83" s="460" t="s">
        <v>954</v>
      </c>
      <c r="F83" s="461">
        <v>8.6999999999999994E-3</v>
      </c>
    </row>
    <row r="84" spans="1:6" ht="11.25" customHeight="1">
      <c r="A84" s="458" t="s">
        <v>337</v>
      </c>
      <c r="B84" s="562">
        <v>2.3E-3</v>
      </c>
      <c r="C84" s="563" t="s">
        <v>1410</v>
      </c>
      <c r="D84" s="501">
        <v>125</v>
      </c>
      <c r="E84" s="460" t="s">
        <v>954</v>
      </c>
      <c r="F84" s="461">
        <v>2.3E-3</v>
      </c>
    </row>
    <row r="85" spans="1:6" ht="11.25" customHeight="1">
      <c r="A85" s="458" t="s">
        <v>28</v>
      </c>
      <c r="B85" s="562">
        <v>0</v>
      </c>
      <c r="C85" s="563" t="s">
        <v>1410</v>
      </c>
      <c r="D85" s="501">
        <v>50000</v>
      </c>
      <c r="E85" s="460" t="s">
        <v>954</v>
      </c>
      <c r="F85" s="461">
        <v>0</v>
      </c>
    </row>
    <row r="86" spans="1:6" ht="11.25" customHeight="1">
      <c r="A86" s="458" t="s">
        <v>338</v>
      </c>
      <c r="B86" s="562">
        <v>7.3</v>
      </c>
      <c r="C86" s="563" t="s">
        <v>1410</v>
      </c>
      <c r="D86" s="501">
        <v>300</v>
      </c>
      <c r="E86" s="460">
        <v>75701.315782304358</v>
      </c>
      <c r="F86" s="461">
        <v>7.3</v>
      </c>
    </row>
    <row r="87" spans="1:6" ht="11.25" customHeight="1">
      <c r="A87" s="458" t="s">
        <v>339</v>
      </c>
      <c r="B87" s="562">
        <v>0.8</v>
      </c>
      <c r="C87" s="563" t="s">
        <v>1410</v>
      </c>
      <c r="D87" s="501">
        <v>130</v>
      </c>
      <c r="E87" s="460" t="s">
        <v>954</v>
      </c>
      <c r="F87" s="461">
        <v>0.8</v>
      </c>
    </row>
    <row r="88" spans="1:6" ht="11.25" customHeight="1">
      <c r="A88" s="458" t="s">
        <v>340</v>
      </c>
      <c r="B88" s="562">
        <v>3.9</v>
      </c>
      <c r="C88" s="563" t="s">
        <v>1410</v>
      </c>
      <c r="D88" s="501">
        <v>845</v>
      </c>
      <c r="E88" s="460">
        <v>1690</v>
      </c>
      <c r="F88" s="461">
        <v>3.9</v>
      </c>
    </row>
    <row r="89" spans="1:6" ht="11.25" customHeight="1">
      <c r="A89" s="458" t="s">
        <v>103</v>
      </c>
      <c r="B89" s="562">
        <v>1800</v>
      </c>
      <c r="C89" s="563" t="s">
        <v>1410</v>
      </c>
      <c r="D89" s="501">
        <v>50000</v>
      </c>
      <c r="E89" s="460" t="s">
        <v>954</v>
      </c>
      <c r="F89" s="461">
        <v>1800</v>
      </c>
    </row>
    <row r="90" spans="1:6" ht="11.25" customHeight="1">
      <c r="A90" s="458" t="s">
        <v>341</v>
      </c>
      <c r="B90" s="562">
        <v>3.5999999999999999E-3</v>
      </c>
      <c r="C90" s="563" t="s">
        <v>1410</v>
      </c>
      <c r="D90" s="501">
        <v>90</v>
      </c>
      <c r="E90" s="460" t="s">
        <v>954</v>
      </c>
      <c r="F90" s="461">
        <v>3.5999999999999999E-3</v>
      </c>
    </row>
    <row r="91" spans="1:6" ht="11.25" customHeight="1">
      <c r="A91" s="458" t="s">
        <v>342</v>
      </c>
      <c r="B91" s="562">
        <v>3.5999999999999999E-3</v>
      </c>
      <c r="C91" s="563" t="s">
        <v>1410</v>
      </c>
      <c r="D91" s="501">
        <v>100</v>
      </c>
      <c r="E91" s="460" t="s">
        <v>954</v>
      </c>
      <c r="F91" s="461">
        <v>3.5999999999999999E-3</v>
      </c>
    </row>
    <row r="92" spans="1:6" ht="11.25" customHeight="1">
      <c r="A92" s="458" t="s">
        <v>371</v>
      </c>
      <c r="B92" s="562">
        <v>2.9999999999999997E-4</v>
      </c>
      <c r="C92" s="563" t="s">
        <v>1410</v>
      </c>
      <c r="D92" s="501">
        <v>3.1</v>
      </c>
      <c r="E92" s="460" t="s">
        <v>954</v>
      </c>
      <c r="F92" s="461">
        <v>2.9999999999999997E-4</v>
      </c>
    </row>
    <row r="93" spans="1:6" ht="11.25" customHeight="1">
      <c r="A93" s="458" t="s">
        <v>343</v>
      </c>
      <c r="B93" s="562">
        <v>0.3</v>
      </c>
      <c r="C93" s="563" t="s">
        <v>1410</v>
      </c>
      <c r="D93" s="501">
        <v>60</v>
      </c>
      <c r="E93" s="460" t="s">
        <v>954</v>
      </c>
      <c r="F93" s="461">
        <v>0.3</v>
      </c>
    </row>
    <row r="94" spans="1:6" ht="11.25" customHeight="1">
      <c r="A94" s="458" t="s">
        <v>364</v>
      </c>
      <c r="B94" s="562">
        <v>6.3E-2</v>
      </c>
      <c r="C94" s="563" t="s">
        <v>1410</v>
      </c>
      <c r="D94" s="501">
        <v>3650</v>
      </c>
      <c r="E94" s="460" t="s">
        <v>954</v>
      </c>
      <c r="F94" s="461">
        <v>6.3E-2</v>
      </c>
    </row>
    <row r="95" spans="1:6" ht="11.25" customHeight="1">
      <c r="A95" s="458" t="s">
        <v>344</v>
      </c>
      <c r="B95" s="562">
        <v>12</v>
      </c>
      <c r="C95" s="563" t="s">
        <v>1410</v>
      </c>
      <c r="D95" s="501">
        <v>100</v>
      </c>
      <c r="E95" s="460" t="s">
        <v>954</v>
      </c>
      <c r="F95" s="461">
        <v>12</v>
      </c>
    </row>
    <row r="96" spans="1:6" ht="11.25" customHeight="1">
      <c r="A96" s="458" t="s">
        <v>104</v>
      </c>
      <c r="B96" s="562">
        <v>17000</v>
      </c>
      <c r="C96" s="563" t="s">
        <v>1410</v>
      </c>
      <c r="D96" s="501">
        <v>50000</v>
      </c>
      <c r="E96" s="460" t="s">
        <v>954</v>
      </c>
      <c r="F96" s="461">
        <v>17000</v>
      </c>
    </row>
    <row r="97" spans="1:6" ht="11.25" customHeight="1">
      <c r="A97" s="458" t="s">
        <v>345</v>
      </c>
      <c r="B97" s="562">
        <v>9.5000000000000001E-2</v>
      </c>
      <c r="C97" s="563" t="s">
        <v>270</v>
      </c>
      <c r="D97" s="501">
        <v>9.5000000000000001E-2</v>
      </c>
      <c r="E97" s="460" t="s">
        <v>954</v>
      </c>
      <c r="F97" s="461">
        <v>0.28000000000000003</v>
      </c>
    </row>
    <row r="98" spans="1:6" ht="11.25" customHeight="1">
      <c r="A98" s="458" t="s">
        <v>105</v>
      </c>
      <c r="B98" s="562">
        <v>920</v>
      </c>
      <c r="C98" s="563" t="s">
        <v>1410</v>
      </c>
      <c r="D98" s="501">
        <v>50000</v>
      </c>
      <c r="E98" s="460" t="s">
        <v>954</v>
      </c>
      <c r="F98" s="461">
        <v>920</v>
      </c>
    </row>
    <row r="99" spans="1:6" ht="11.25" customHeight="1">
      <c r="A99" s="458" t="s">
        <v>346</v>
      </c>
      <c r="B99" s="562">
        <v>5.6</v>
      </c>
      <c r="C99" s="563" t="s">
        <v>1410</v>
      </c>
      <c r="D99" s="501">
        <v>50000</v>
      </c>
      <c r="E99" s="460" t="s">
        <v>954</v>
      </c>
      <c r="F99" s="461">
        <v>5.6</v>
      </c>
    </row>
    <row r="100" spans="1:6" ht="11.25" customHeight="1">
      <c r="A100" s="458" t="s">
        <v>347</v>
      </c>
      <c r="B100" s="562">
        <v>2.5000000000000001E-2</v>
      </c>
      <c r="C100" s="563" t="s">
        <v>1410</v>
      </c>
      <c r="D100" s="501">
        <v>50000</v>
      </c>
      <c r="E100" s="460" t="s">
        <v>954</v>
      </c>
      <c r="F100" s="461">
        <v>2.5000000000000001E-2</v>
      </c>
    </row>
    <row r="101" spans="1:6" ht="11.25" customHeight="1">
      <c r="A101" s="458" t="s">
        <v>348</v>
      </c>
      <c r="B101" s="562">
        <v>0.03</v>
      </c>
      <c r="C101" s="563" t="s">
        <v>1410</v>
      </c>
      <c r="D101" s="501">
        <v>50</v>
      </c>
      <c r="E101" s="460" t="s">
        <v>954</v>
      </c>
      <c r="F101" s="461">
        <v>0.03</v>
      </c>
    </row>
    <row r="102" spans="1:6" ht="11.25" customHeight="1">
      <c r="A102" s="458" t="s">
        <v>350</v>
      </c>
      <c r="B102" s="562">
        <v>14000</v>
      </c>
      <c r="C102" s="563" t="s">
        <v>1410</v>
      </c>
      <c r="D102" s="501">
        <v>50000</v>
      </c>
      <c r="E102" s="460">
        <v>223000000</v>
      </c>
      <c r="F102" s="461">
        <v>14000</v>
      </c>
    </row>
    <row r="103" spans="1:6" ht="11.25" customHeight="1">
      <c r="A103" s="458" t="s">
        <v>351</v>
      </c>
      <c r="B103" s="562">
        <v>170</v>
      </c>
      <c r="C103" s="563" t="s">
        <v>1410</v>
      </c>
      <c r="D103" s="501">
        <v>13000</v>
      </c>
      <c r="E103" s="460">
        <v>19000000</v>
      </c>
      <c r="F103" s="461">
        <v>170</v>
      </c>
    </row>
    <row r="104" spans="1:6" ht="11.25" customHeight="1">
      <c r="A104" s="458" t="s">
        <v>352</v>
      </c>
      <c r="B104" s="562">
        <v>2.8E-3</v>
      </c>
      <c r="C104" s="563" t="s">
        <v>1410</v>
      </c>
      <c r="D104" s="501">
        <v>50000</v>
      </c>
      <c r="E104" s="460" t="s">
        <v>954</v>
      </c>
      <c r="F104" s="461">
        <v>2.8E-3</v>
      </c>
    </row>
    <row r="105" spans="1:6" ht="11.25" customHeight="1">
      <c r="A105" s="458" t="s">
        <v>353</v>
      </c>
      <c r="B105" s="562">
        <v>730</v>
      </c>
      <c r="C105" s="563" t="s">
        <v>1410</v>
      </c>
      <c r="D105" s="501">
        <v>1800</v>
      </c>
      <c r="E105" s="460">
        <v>31043.943756596891</v>
      </c>
      <c r="F105" s="461">
        <v>730</v>
      </c>
    </row>
    <row r="106" spans="1:6" ht="11.25" customHeight="1">
      <c r="A106" s="458" t="s">
        <v>349</v>
      </c>
      <c r="B106" s="562">
        <v>1500</v>
      </c>
      <c r="C106" s="563" t="s">
        <v>1410</v>
      </c>
      <c r="D106" s="501">
        <v>50000</v>
      </c>
      <c r="E106" s="460">
        <v>76060.351513941452</v>
      </c>
      <c r="F106" s="461">
        <v>1500</v>
      </c>
    </row>
    <row r="107" spans="1:6" ht="11.25" customHeight="1">
      <c r="A107" s="458" t="s">
        <v>590</v>
      </c>
      <c r="B107" s="562">
        <v>2.1</v>
      </c>
      <c r="C107" s="563" t="s">
        <v>1410</v>
      </c>
      <c r="D107" s="501">
        <v>100</v>
      </c>
      <c r="E107" s="460">
        <v>25800</v>
      </c>
      <c r="F107" s="461">
        <v>2.1</v>
      </c>
    </row>
    <row r="108" spans="1:6" ht="11.25" customHeight="1">
      <c r="A108" s="458" t="s">
        <v>591</v>
      </c>
      <c r="B108" s="562">
        <v>4.7</v>
      </c>
      <c r="C108" s="563" t="s">
        <v>1410</v>
      </c>
      <c r="D108" s="501">
        <v>100</v>
      </c>
      <c r="E108" s="460">
        <v>24600</v>
      </c>
      <c r="F108" s="461">
        <v>4.7</v>
      </c>
    </row>
    <row r="109" spans="1:6" ht="11.25" customHeight="1">
      <c r="A109" s="458" t="s">
        <v>465</v>
      </c>
      <c r="B109" s="562">
        <v>370</v>
      </c>
      <c r="C109" s="563" t="s">
        <v>1410</v>
      </c>
      <c r="D109" s="501">
        <v>50000</v>
      </c>
      <c r="E109" s="460" t="s">
        <v>954</v>
      </c>
      <c r="F109" s="461">
        <v>370</v>
      </c>
    </row>
    <row r="110" spans="1:6" ht="11.25" customHeight="1">
      <c r="A110" s="458" t="s">
        <v>466</v>
      </c>
      <c r="B110" s="562">
        <v>12</v>
      </c>
      <c r="C110" s="563" t="s">
        <v>1410</v>
      </c>
      <c r="D110" s="501">
        <v>210</v>
      </c>
      <c r="E110" s="460">
        <v>28777.562790660297</v>
      </c>
      <c r="F110" s="461">
        <v>12</v>
      </c>
    </row>
    <row r="111" spans="1:6" ht="11.25" customHeight="1">
      <c r="A111" s="458" t="s">
        <v>812</v>
      </c>
      <c r="B111" s="562">
        <v>5</v>
      </c>
      <c r="C111" s="563" t="s">
        <v>1410</v>
      </c>
      <c r="D111" s="501">
        <v>50000</v>
      </c>
      <c r="E111" s="460" t="s">
        <v>954</v>
      </c>
      <c r="F111" s="461">
        <v>5</v>
      </c>
    </row>
    <row r="112" spans="1:6" ht="11.25" customHeight="1">
      <c r="A112" s="462" t="s">
        <v>106</v>
      </c>
      <c r="B112" s="562">
        <v>380</v>
      </c>
      <c r="C112" s="563" t="s">
        <v>1410</v>
      </c>
      <c r="D112" s="501">
        <v>50000</v>
      </c>
      <c r="E112" s="460" t="s">
        <v>1394</v>
      </c>
      <c r="F112" s="461">
        <v>380</v>
      </c>
    </row>
    <row r="113" spans="1:6" ht="11.25" customHeight="1">
      <c r="A113" s="462" t="s">
        <v>107</v>
      </c>
      <c r="B113" s="562">
        <v>18</v>
      </c>
      <c r="C113" s="563" t="s">
        <v>1410</v>
      </c>
      <c r="D113" s="501">
        <v>50000</v>
      </c>
      <c r="E113" s="460" t="s">
        <v>954</v>
      </c>
      <c r="F113" s="461">
        <v>18</v>
      </c>
    </row>
    <row r="114" spans="1:6" ht="11.25" customHeight="1">
      <c r="A114" s="462" t="s">
        <v>108</v>
      </c>
      <c r="B114" s="562">
        <v>71</v>
      </c>
      <c r="C114" s="563" t="s">
        <v>1410</v>
      </c>
      <c r="D114" s="501">
        <v>50000</v>
      </c>
      <c r="E114" s="460" t="s">
        <v>1394</v>
      </c>
      <c r="F114" s="461">
        <v>71</v>
      </c>
    </row>
    <row r="115" spans="1:6" ht="11.25" customHeight="1">
      <c r="A115" s="462" t="s">
        <v>109</v>
      </c>
      <c r="B115" s="562">
        <v>42</v>
      </c>
      <c r="C115" s="563" t="s">
        <v>1410</v>
      </c>
      <c r="D115" s="501">
        <v>50000</v>
      </c>
      <c r="E115" s="460" t="s">
        <v>954</v>
      </c>
      <c r="F115" s="461">
        <v>42</v>
      </c>
    </row>
    <row r="116" spans="1:6" ht="11.25" customHeight="1">
      <c r="A116" s="462" t="s">
        <v>110</v>
      </c>
      <c r="B116" s="562">
        <v>46</v>
      </c>
      <c r="C116" s="563" t="s">
        <v>1410</v>
      </c>
      <c r="D116" s="501">
        <v>50000</v>
      </c>
      <c r="E116" s="460" t="s">
        <v>954</v>
      </c>
      <c r="F116" s="461">
        <v>46</v>
      </c>
    </row>
    <row r="117" spans="1:6" ht="11.25" customHeight="1">
      <c r="A117" s="458" t="s">
        <v>467</v>
      </c>
      <c r="B117" s="562">
        <v>7.9</v>
      </c>
      <c r="C117" s="563" t="s">
        <v>1410</v>
      </c>
      <c r="D117" s="501">
        <v>5900</v>
      </c>
      <c r="E117" s="460" t="s">
        <v>954</v>
      </c>
      <c r="F117" s="461">
        <v>7.9</v>
      </c>
    </row>
    <row r="118" spans="1:6" ht="11.25" customHeight="1">
      <c r="A118" s="462" t="s">
        <v>111</v>
      </c>
      <c r="B118" s="562">
        <v>21500</v>
      </c>
      <c r="C118" s="563" t="s">
        <v>270</v>
      </c>
      <c r="D118" s="501">
        <v>21500</v>
      </c>
      <c r="E118" s="460" t="s">
        <v>954</v>
      </c>
      <c r="F118" s="461">
        <v>850000</v>
      </c>
    </row>
    <row r="119" spans="1:6" ht="11.25" customHeight="1">
      <c r="A119" s="458" t="s">
        <v>231</v>
      </c>
      <c r="B119" s="562">
        <v>600</v>
      </c>
      <c r="C119" s="563" t="s">
        <v>1410</v>
      </c>
      <c r="D119" s="501">
        <v>50000</v>
      </c>
      <c r="E119" s="460" t="s">
        <v>954</v>
      </c>
      <c r="F119" s="461">
        <v>600</v>
      </c>
    </row>
    <row r="120" spans="1:6" ht="11.25" customHeight="1">
      <c r="A120" s="458" t="s">
        <v>468</v>
      </c>
      <c r="B120" s="562">
        <v>2.2999999999999998</v>
      </c>
      <c r="C120" s="563" t="s">
        <v>1410</v>
      </c>
      <c r="D120" s="501">
        <v>408</v>
      </c>
      <c r="E120" s="460" t="s">
        <v>1394</v>
      </c>
      <c r="F120" s="461">
        <v>2.2999999999999998</v>
      </c>
    </row>
    <row r="121" spans="1:6" ht="11.25" customHeight="1">
      <c r="A121" s="458" t="s">
        <v>469</v>
      </c>
      <c r="B121" s="562">
        <v>58</v>
      </c>
      <c r="C121" s="563" t="s">
        <v>1410</v>
      </c>
      <c r="D121" s="501">
        <v>50000</v>
      </c>
      <c r="E121" s="460" t="s">
        <v>954</v>
      </c>
      <c r="F121" s="461">
        <v>58</v>
      </c>
    </row>
    <row r="122" spans="1:6" ht="11.25" customHeight="1">
      <c r="A122" s="458" t="s">
        <v>365</v>
      </c>
      <c r="B122" s="562">
        <v>1.4E-2</v>
      </c>
      <c r="C122" s="563" t="s">
        <v>1410</v>
      </c>
      <c r="D122" s="501">
        <v>21.5</v>
      </c>
      <c r="E122" s="460" t="s">
        <v>954</v>
      </c>
      <c r="F122" s="461">
        <v>1.4E-2</v>
      </c>
    </row>
    <row r="123" spans="1:6" ht="11.25" customHeight="1">
      <c r="A123" s="458" t="s">
        <v>112</v>
      </c>
      <c r="B123" s="562">
        <v>95</v>
      </c>
      <c r="C123" s="563" t="s">
        <v>1410</v>
      </c>
      <c r="D123" s="501">
        <v>50000</v>
      </c>
      <c r="E123" s="460" t="s">
        <v>954</v>
      </c>
      <c r="F123" s="461">
        <v>95</v>
      </c>
    </row>
    <row r="124" spans="1:6" ht="11.25" customHeight="1">
      <c r="A124" s="458" t="s">
        <v>470</v>
      </c>
      <c r="B124" s="562">
        <v>4.5999999999999996</v>
      </c>
      <c r="C124" s="563" t="s">
        <v>1410</v>
      </c>
      <c r="D124" s="501">
        <v>67.5</v>
      </c>
      <c r="E124" s="460">
        <v>135</v>
      </c>
      <c r="F124" s="461">
        <v>4.5999999999999996</v>
      </c>
    </row>
    <row r="125" spans="1:6" ht="11.25" customHeight="1">
      <c r="A125" s="458" t="s">
        <v>471</v>
      </c>
      <c r="B125" s="562">
        <v>5</v>
      </c>
      <c r="C125" s="563" t="s">
        <v>1410</v>
      </c>
      <c r="D125" s="501">
        <v>50000</v>
      </c>
      <c r="E125" s="460" t="s">
        <v>954</v>
      </c>
      <c r="F125" s="461">
        <v>5</v>
      </c>
    </row>
    <row r="126" spans="1:6" ht="11.25" customHeight="1">
      <c r="A126" s="458" t="s">
        <v>813</v>
      </c>
      <c r="B126" s="562">
        <v>0.1</v>
      </c>
      <c r="C126" s="563" t="s">
        <v>1410</v>
      </c>
      <c r="D126" s="501">
        <v>50000</v>
      </c>
      <c r="E126" s="460" t="s">
        <v>954</v>
      </c>
      <c r="F126" s="461">
        <v>0.1</v>
      </c>
    </row>
    <row r="127" spans="1:6" ht="11.25" customHeight="1">
      <c r="A127" s="458" t="s">
        <v>113</v>
      </c>
      <c r="B127" s="562">
        <v>9</v>
      </c>
      <c r="C127" s="563" t="s">
        <v>1410</v>
      </c>
      <c r="D127" s="501">
        <v>3100</v>
      </c>
      <c r="E127" s="460" t="s">
        <v>954</v>
      </c>
      <c r="F127" s="461">
        <v>9</v>
      </c>
    </row>
    <row r="128" spans="1:6" ht="11.25" customHeight="1">
      <c r="A128" s="458" t="s">
        <v>472</v>
      </c>
      <c r="B128" s="562">
        <v>32</v>
      </c>
      <c r="C128" s="563" t="s">
        <v>1410</v>
      </c>
      <c r="D128" s="501">
        <v>110</v>
      </c>
      <c r="E128" s="460">
        <v>310000</v>
      </c>
      <c r="F128" s="461">
        <v>32</v>
      </c>
    </row>
    <row r="129" spans="1:6" ht="11.25" customHeight="1">
      <c r="A129" s="458" t="s">
        <v>114</v>
      </c>
      <c r="B129" s="562">
        <v>251.31929956026045</v>
      </c>
      <c r="C129" s="563" t="s">
        <v>1410</v>
      </c>
      <c r="D129" s="501">
        <v>50000</v>
      </c>
      <c r="E129" s="460" t="s">
        <v>954</v>
      </c>
      <c r="F129" s="461">
        <v>251.31929956026045</v>
      </c>
    </row>
    <row r="130" spans="1:6" ht="11.25" customHeight="1">
      <c r="A130" s="458" t="s">
        <v>19</v>
      </c>
      <c r="B130" s="562">
        <v>18000</v>
      </c>
      <c r="C130" s="563" t="s">
        <v>1410</v>
      </c>
      <c r="D130" s="501">
        <v>50000</v>
      </c>
      <c r="E130" s="460" t="s">
        <v>1394</v>
      </c>
      <c r="F130" s="461">
        <v>18000</v>
      </c>
    </row>
    <row r="131" spans="1:6" ht="11.25" customHeight="1">
      <c r="A131" s="458" t="s">
        <v>473</v>
      </c>
      <c r="B131" s="562">
        <v>10.8</v>
      </c>
      <c r="C131" s="563" t="s">
        <v>1410</v>
      </c>
      <c r="D131" s="501">
        <v>50000</v>
      </c>
      <c r="E131" s="460" t="s">
        <v>1394</v>
      </c>
      <c r="F131" s="461">
        <v>10.8</v>
      </c>
    </row>
    <row r="132" spans="1:6" ht="11.25" customHeight="1">
      <c r="A132" s="458" t="s">
        <v>474</v>
      </c>
      <c r="B132" s="562">
        <v>200</v>
      </c>
      <c r="C132" s="563" t="s">
        <v>1410</v>
      </c>
      <c r="D132" s="501">
        <v>5000</v>
      </c>
      <c r="E132" s="460">
        <v>240.39246728311088</v>
      </c>
      <c r="F132" s="461">
        <v>200</v>
      </c>
    </row>
    <row r="133" spans="1:6" ht="11.25" customHeight="1">
      <c r="A133" s="458" t="s">
        <v>475</v>
      </c>
      <c r="B133" s="562">
        <v>53</v>
      </c>
      <c r="C133" s="563" t="s">
        <v>1410</v>
      </c>
      <c r="D133" s="501">
        <v>3000</v>
      </c>
      <c r="E133" s="460">
        <v>194.19961168935555</v>
      </c>
      <c r="F133" s="461">
        <v>53</v>
      </c>
    </row>
    <row r="134" spans="1:6" ht="11.25" customHeight="1">
      <c r="A134" s="458" t="s">
        <v>115</v>
      </c>
      <c r="B134" s="562">
        <v>1.2</v>
      </c>
      <c r="C134" s="563" t="s">
        <v>1410</v>
      </c>
      <c r="D134" s="501">
        <v>11500</v>
      </c>
      <c r="E134" s="460" t="s">
        <v>954</v>
      </c>
      <c r="F134" s="461">
        <v>1.2</v>
      </c>
    </row>
    <row r="135" spans="1:6" ht="11.25" customHeight="1">
      <c r="A135" s="462" t="s">
        <v>116</v>
      </c>
      <c r="B135" s="562">
        <v>220</v>
      </c>
      <c r="C135" s="563" t="s">
        <v>1410</v>
      </c>
      <c r="D135" s="501">
        <v>2500</v>
      </c>
      <c r="E135" s="460" t="s">
        <v>954</v>
      </c>
      <c r="F135" s="461">
        <v>220</v>
      </c>
    </row>
    <row r="136" spans="1:6" ht="11.25" customHeight="1">
      <c r="A136" s="458" t="s">
        <v>476</v>
      </c>
      <c r="B136" s="562">
        <v>6</v>
      </c>
      <c r="C136" s="563" t="s">
        <v>1410</v>
      </c>
      <c r="D136" s="501">
        <v>50000</v>
      </c>
      <c r="E136" s="460" t="s">
        <v>954</v>
      </c>
      <c r="F136" s="461">
        <v>6</v>
      </c>
    </row>
    <row r="137" spans="1:6" ht="11.25" customHeight="1">
      <c r="A137" s="458" t="s">
        <v>366</v>
      </c>
      <c r="B137" s="562">
        <v>9.8000000000000007</v>
      </c>
      <c r="C137" s="563" t="s">
        <v>1410</v>
      </c>
      <c r="D137" s="501">
        <v>400</v>
      </c>
      <c r="E137" s="460">
        <v>526000</v>
      </c>
      <c r="F137" s="461">
        <v>9.8000000000000007</v>
      </c>
    </row>
    <row r="138" spans="1:6" ht="11.25" customHeight="1">
      <c r="A138" s="458" t="s">
        <v>20</v>
      </c>
      <c r="B138" s="562">
        <v>2.0000000000000001E-4</v>
      </c>
      <c r="C138" s="563" t="s">
        <v>1410</v>
      </c>
      <c r="D138" s="501">
        <v>140</v>
      </c>
      <c r="E138" s="460" t="s">
        <v>954</v>
      </c>
      <c r="F138" s="461">
        <v>2.0000000000000001E-4</v>
      </c>
    </row>
    <row r="139" spans="1:6" ht="11.25" customHeight="1">
      <c r="A139" s="458" t="s">
        <v>57</v>
      </c>
      <c r="B139" s="562">
        <v>500</v>
      </c>
      <c r="C139" s="563" t="s">
        <v>1410</v>
      </c>
      <c r="D139" s="501">
        <v>5000</v>
      </c>
      <c r="E139" s="460" t="s">
        <v>1394</v>
      </c>
      <c r="F139" s="461">
        <v>500</v>
      </c>
    </row>
    <row r="140" spans="1:6" ht="11.25" customHeight="1">
      <c r="A140" s="458" t="s">
        <v>56</v>
      </c>
      <c r="B140" s="562">
        <v>640</v>
      </c>
      <c r="C140" s="563" t="s">
        <v>1410</v>
      </c>
      <c r="D140" s="501">
        <v>5000</v>
      </c>
      <c r="E140" s="460" t="s">
        <v>1394</v>
      </c>
      <c r="F140" s="461">
        <v>640</v>
      </c>
    </row>
    <row r="141" spans="1:6" ht="11.25" customHeight="1">
      <c r="A141" s="458" t="s">
        <v>777</v>
      </c>
      <c r="B141" s="562">
        <v>640</v>
      </c>
      <c r="C141" s="563" t="s">
        <v>1410</v>
      </c>
      <c r="D141" s="501">
        <v>5000</v>
      </c>
      <c r="E141" s="460" t="s">
        <v>954</v>
      </c>
      <c r="F141" s="461">
        <v>640</v>
      </c>
    </row>
    <row r="142" spans="1:6" ht="11.25" customHeight="1">
      <c r="A142" s="458" t="s">
        <v>814</v>
      </c>
      <c r="B142" s="562">
        <v>110</v>
      </c>
      <c r="C142" s="563" t="s">
        <v>1410</v>
      </c>
      <c r="D142" s="501">
        <v>24500</v>
      </c>
      <c r="E142" s="460">
        <v>1264.7163081734013</v>
      </c>
      <c r="F142" s="461">
        <v>110</v>
      </c>
    </row>
    <row r="143" spans="1:6" ht="11.25" customHeight="1">
      <c r="A143" s="458" t="s">
        <v>815</v>
      </c>
      <c r="B143" s="562">
        <v>11</v>
      </c>
      <c r="C143" s="563" t="s">
        <v>1410</v>
      </c>
      <c r="D143" s="501">
        <v>50000</v>
      </c>
      <c r="E143" s="460">
        <v>340449.97663418204</v>
      </c>
      <c r="F143" s="461">
        <v>11</v>
      </c>
    </row>
    <row r="144" spans="1:6" ht="11.25" customHeight="1">
      <c r="A144" s="458" t="s">
        <v>477</v>
      </c>
      <c r="B144" s="562">
        <v>106.62958207144922</v>
      </c>
      <c r="C144" s="563" t="s">
        <v>673</v>
      </c>
      <c r="D144" s="501">
        <v>50000</v>
      </c>
      <c r="E144" s="460">
        <v>106.62958207144922</v>
      </c>
      <c r="F144" s="461">
        <v>730</v>
      </c>
    </row>
    <row r="145" spans="1:6" ht="11.25" customHeight="1">
      <c r="A145" s="458" t="s">
        <v>478</v>
      </c>
      <c r="B145" s="562">
        <v>47</v>
      </c>
      <c r="C145" s="563" t="s">
        <v>1410</v>
      </c>
      <c r="D145" s="501">
        <v>50000</v>
      </c>
      <c r="E145" s="460">
        <v>208.89003096783017</v>
      </c>
      <c r="F145" s="461">
        <v>47</v>
      </c>
    </row>
    <row r="146" spans="1:6" ht="11.25" customHeight="1">
      <c r="A146" s="458" t="s">
        <v>479</v>
      </c>
      <c r="B146" s="562">
        <v>1.9</v>
      </c>
      <c r="C146" s="563" t="s">
        <v>1410</v>
      </c>
      <c r="D146" s="501">
        <v>2000</v>
      </c>
      <c r="E146" s="460" t="s">
        <v>954</v>
      </c>
      <c r="F146" s="461">
        <v>1.9</v>
      </c>
    </row>
    <row r="147" spans="1:6" ht="11.25" customHeight="1">
      <c r="A147" s="458" t="s">
        <v>480</v>
      </c>
      <c r="B147" s="562">
        <v>4.9000000000000004</v>
      </c>
      <c r="C147" s="563" t="s">
        <v>1410</v>
      </c>
      <c r="D147" s="501">
        <v>1000</v>
      </c>
      <c r="E147" s="460" t="s">
        <v>954</v>
      </c>
      <c r="F147" s="461">
        <v>4.9000000000000004</v>
      </c>
    </row>
    <row r="148" spans="1:6" ht="11.25" customHeight="1">
      <c r="A148" s="462" t="s">
        <v>117</v>
      </c>
      <c r="B148" s="562">
        <v>686</v>
      </c>
      <c r="C148" s="563" t="s">
        <v>1410</v>
      </c>
      <c r="D148" s="501">
        <v>50000</v>
      </c>
      <c r="E148" s="460" t="s">
        <v>954</v>
      </c>
      <c r="F148" s="461">
        <v>686</v>
      </c>
    </row>
    <row r="149" spans="1:6" ht="11.25" customHeight="1">
      <c r="A149" s="458" t="s">
        <v>118</v>
      </c>
      <c r="B149" s="562">
        <v>30</v>
      </c>
      <c r="C149" s="563" t="s">
        <v>1410</v>
      </c>
      <c r="D149" s="501">
        <v>35500</v>
      </c>
      <c r="E149" s="460" t="s">
        <v>954</v>
      </c>
      <c r="F149" s="461">
        <v>30</v>
      </c>
    </row>
    <row r="150" spans="1:6" ht="11.25" customHeight="1">
      <c r="A150" s="458" t="s">
        <v>119</v>
      </c>
      <c r="B150" s="562">
        <v>14</v>
      </c>
      <c r="C150" s="563" t="s">
        <v>1410</v>
      </c>
      <c r="D150" s="501">
        <v>50000</v>
      </c>
      <c r="E150" s="460" t="s">
        <v>1394</v>
      </c>
      <c r="F150" s="461">
        <v>14</v>
      </c>
    </row>
    <row r="151" spans="1:6" ht="11.25" customHeight="1">
      <c r="A151" s="458" t="s">
        <v>120</v>
      </c>
      <c r="B151" s="562">
        <v>3.3315808860737541</v>
      </c>
      <c r="C151" s="563" t="s">
        <v>1410</v>
      </c>
      <c r="D151" s="501">
        <v>50000</v>
      </c>
      <c r="E151" s="460" t="s">
        <v>1394</v>
      </c>
      <c r="F151" s="461">
        <v>3.3315808860737541</v>
      </c>
    </row>
    <row r="152" spans="1:6" ht="11.25" customHeight="1">
      <c r="A152" s="458" t="s">
        <v>602</v>
      </c>
      <c r="B152" s="562">
        <v>1.1399999999999999</v>
      </c>
      <c r="C152" s="563" t="s">
        <v>1410</v>
      </c>
      <c r="D152" s="501">
        <v>90</v>
      </c>
      <c r="E152" s="460" t="s">
        <v>954</v>
      </c>
      <c r="F152" s="461">
        <v>1.1399999999999999</v>
      </c>
    </row>
    <row r="153" spans="1:6" ht="11.25" customHeight="1">
      <c r="A153" s="462" t="s">
        <v>939</v>
      </c>
      <c r="B153" s="562">
        <v>10</v>
      </c>
      <c r="C153" s="563" t="s">
        <v>1410</v>
      </c>
      <c r="D153" s="501">
        <v>50000</v>
      </c>
      <c r="E153" s="460" t="s">
        <v>954</v>
      </c>
      <c r="F153" s="461">
        <v>10</v>
      </c>
    </row>
    <row r="154" spans="1:6" ht="11.25" customHeight="1">
      <c r="A154" s="462" t="s">
        <v>603</v>
      </c>
      <c r="B154" s="562">
        <v>39.469382156875795</v>
      </c>
      <c r="C154" s="563" t="s">
        <v>1410</v>
      </c>
      <c r="D154" s="501">
        <v>37000</v>
      </c>
      <c r="E154" s="460" t="s">
        <v>954</v>
      </c>
      <c r="F154" s="461">
        <v>39.469382156875795</v>
      </c>
    </row>
    <row r="155" spans="1:6" ht="11.25" customHeight="1">
      <c r="A155" s="462" t="s">
        <v>605</v>
      </c>
      <c r="B155" s="562">
        <v>13</v>
      </c>
      <c r="C155" s="563" t="s">
        <v>1410</v>
      </c>
      <c r="D155" s="501">
        <v>50000</v>
      </c>
      <c r="E155" s="460" t="s">
        <v>954</v>
      </c>
      <c r="F155" s="461">
        <v>13</v>
      </c>
    </row>
    <row r="156" spans="1:6" ht="11.25" customHeight="1">
      <c r="A156" s="458" t="s">
        <v>481</v>
      </c>
      <c r="B156" s="562">
        <v>27</v>
      </c>
      <c r="C156" s="563" t="s">
        <v>1410</v>
      </c>
      <c r="D156" s="501">
        <v>50000</v>
      </c>
      <c r="E156" s="460" t="s">
        <v>954</v>
      </c>
      <c r="F156" s="461">
        <v>27</v>
      </c>
    </row>
    <row r="157" spans="1:6" ht="11.25" customHeight="1">
      <c r="A157" s="458" t="s">
        <v>482</v>
      </c>
      <c r="B157" s="562">
        <v>18.496958233562776</v>
      </c>
      <c r="C157" s="563" t="s">
        <v>673</v>
      </c>
      <c r="D157" s="501">
        <v>34000</v>
      </c>
      <c r="E157" s="460">
        <v>18.496958233562776</v>
      </c>
      <c r="F157" s="461">
        <v>930</v>
      </c>
    </row>
    <row r="158" spans="1:6" ht="11.25" customHeight="1">
      <c r="A158" s="458" t="s">
        <v>483</v>
      </c>
      <c r="B158" s="562">
        <v>13</v>
      </c>
      <c r="C158" s="563" t="s">
        <v>1410</v>
      </c>
      <c r="D158" s="501">
        <v>5300</v>
      </c>
      <c r="E158" s="460">
        <v>106000</v>
      </c>
      <c r="F158" s="461">
        <v>13</v>
      </c>
    </row>
    <row r="159" spans="1:6" ht="11.25" customHeight="1" thickBot="1">
      <c r="A159" s="516" t="s">
        <v>484</v>
      </c>
      <c r="B159" s="572">
        <v>22</v>
      </c>
      <c r="C159" s="705" t="s">
        <v>1410</v>
      </c>
      <c r="D159" s="627">
        <v>50000</v>
      </c>
      <c r="E159" s="468" t="s">
        <v>954</v>
      </c>
      <c r="F159" s="469">
        <v>22</v>
      </c>
    </row>
    <row r="160" spans="1:6" ht="11.25" customHeight="1" thickTop="1">
      <c r="A160" s="474" t="s">
        <v>488</v>
      </c>
      <c r="F160" s="476"/>
    </row>
    <row r="161" spans="1:6" ht="11.25" customHeight="1">
      <c r="A161" s="474" t="s">
        <v>262</v>
      </c>
      <c r="F161" s="476"/>
    </row>
    <row r="162" spans="1:6" ht="11.25" customHeight="1">
      <c r="A162" s="474" t="s">
        <v>394</v>
      </c>
      <c r="F162" s="476"/>
    </row>
    <row r="163" spans="1:6" ht="11.25" customHeight="1">
      <c r="A163" s="474"/>
      <c r="F163" s="476"/>
    </row>
    <row r="164" spans="1:6" ht="11.25" customHeight="1">
      <c r="A164" s="479" t="s">
        <v>778</v>
      </c>
      <c r="F164" s="476"/>
    </row>
    <row r="165" spans="1:6" ht="11.25" customHeight="1">
      <c r="A165" s="479" t="s">
        <v>258</v>
      </c>
      <c r="F165" s="476"/>
    </row>
    <row r="166" spans="1:6" ht="11.25" customHeight="1">
      <c r="A166" s="479" t="s">
        <v>776</v>
      </c>
      <c r="F166" s="476"/>
    </row>
    <row r="167" spans="1:6" ht="11.25" customHeight="1">
      <c r="A167" s="479" t="s">
        <v>284</v>
      </c>
      <c r="F167" s="476"/>
    </row>
    <row r="168" spans="1:6" ht="11.25" customHeight="1">
      <c r="A168" s="479" t="s">
        <v>1079</v>
      </c>
      <c r="F168" s="476"/>
    </row>
    <row r="169" spans="1:6" ht="11.25" customHeight="1">
      <c r="A169" s="479" t="s">
        <v>260</v>
      </c>
      <c r="F169" s="476"/>
    </row>
    <row r="170" spans="1:6" ht="11.25" customHeight="1">
      <c r="A170" s="479" t="s">
        <v>1080</v>
      </c>
      <c r="F170" s="476"/>
    </row>
    <row r="171" spans="1:6" ht="11.25" customHeight="1">
      <c r="A171" s="479" t="s">
        <v>1161</v>
      </c>
      <c r="F171" s="476"/>
    </row>
    <row r="172" spans="1:6" ht="11.25" customHeight="1">
      <c r="A172" s="479" t="s">
        <v>758</v>
      </c>
      <c r="F172" s="476"/>
    </row>
    <row r="173" spans="1:6" ht="11.25" customHeight="1" thickBot="1">
      <c r="A173" s="479" t="s">
        <v>261</v>
      </c>
      <c r="F173" s="476"/>
    </row>
    <row r="174" spans="1:6" ht="11.25" customHeight="1" thickTop="1">
      <c r="A174" s="707"/>
      <c r="B174" s="472"/>
      <c r="C174" s="708"/>
      <c r="D174" s="472"/>
      <c r="E174" s="472"/>
      <c r="F174" s="472"/>
    </row>
  </sheetData>
  <sheetProtection algorithmName="SHA-512" hashValue="TlNrXtt9aThM1rmSldH5iuY/7UH3pk2+pBHDiIoCKtSiih2FHEoU9XmzD+o+a78CrlK+vVOfsP2NReU3RObf5Q==" saltValue="1xDltBvKBffkFW7VNcw53w==" spinCount="100000" sheet="1" objects="1" scenarios="1"/>
  <mergeCells count="3">
    <mergeCell ref="A1:F1"/>
    <mergeCell ref="A4:A5"/>
    <mergeCell ref="B4:B5"/>
  </mergeCells>
  <phoneticPr fontId="18" type="noConversion"/>
  <printOptions horizontalCentered="1"/>
  <pageMargins left="0.75" right="0.75" top="0.54" bottom="1" header="0.5" footer="0.5"/>
  <pageSetup scale="78" fitToHeight="4" orientation="landscape" r:id="rId1"/>
  <headerFooter alignWithMargins="0">
    <oddFooter>&amp;LHawai'i DOH
Spring 2024&amp;CPage &amp;P of &amp;N&amp;R&amp;A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29"/>
    <pageSetUpPr fitToPage="1"/>
  </sheetPr>
  <dimension ref="A1:G174"/>
  <sheetViews>
    <sheetView zoomScaleNormal="100" workbookViewId="0">
      <pane ySplit="3105" topLeftCell="A6" activePane="bottomLeft"/>
      <selection activeCell="B7" sqref="B7"/>
      <selection pane="bottomLeft" activeCell="B7" sqref="B7"/>
    </sheetView>
  </sheetViews>
  <sheetFormatPr defaultColWidth="9.1328125" defaultRowHeight="10.15"/>
  <cols>
    <col min="1" max="1" width="40.73046875" style="1" customWidth="1"/>
    <col min="2" max="2" width="12.59765625" style="475" customWidth="1"/>
    <col min="3" max="3" width="20.73046875" style="609" customWidth="1"/>
    <col min="4" max="4" width="12.1328125" style="475" customWidth="1"/>
    <col min="5" max="5" width="15.73046875" style="475" customWidth="1"/>
    <col min="6" max="6" width="13.73046875" style="475" customWidth="1"/>
    <col min="7" max="16384" width="9.1328125" style="1"/>
  </cols>
  <sheetData>
    <row r="1" spans="1:7" s="510" customFormat="1" ht="50.1" customHeight="1">
      <c r="A1" s="1430" t="s">
        <v>283</v>
      </c>
      <c r="B1" s="1431"/>
      <c r="C1" s="1431"/>
      <c r="D1" s="1431"/>
      <c r="E1" s="1431"/>
      <c r="F1" s="1181"/>
    </row>
    <row r="2" spans="1:7" s="510" customFormat="1" ht="13.9">
      <c r="A2" s="693" t="s">
        <v>30</v>
      </c>
      <c r="B2" s="530"/>
      <c r="C2" s="530"/>
      <c r="D2" s="530"/>
      <c r="E2" s="530"/>
      <c r="F2" s="694"/>
    </row>
    <row r="3" spans="1:7" s="510" customFormat="1" ht="13.15" thickBot="1">
      <c r="A3" s="694"/>
      <c r="B3" s="530"/>
      <c r="C3" s="695"/>
      <c r="D3" s="530"/>
      <c r="E3" s="530"/>
      <c r="F3" s="530"/>
      <c r="G3" s="2"/>
    </row>
    <row r="4" spans="1:7" s="510" customFormat="1" ht="48.75" customHeight="1" thickTop="1">
      <c r="A4" s="1432" t="s">
        <v>613</v>
      </c>
      <c r="B4" s="1428" t="s">
        <v>718</v>
      </c>
      <c r="C4" s="696"/>
      <c r="D4" s="697" t="s">
        <v>257</v>
      </c>
      <c r="E4" s="699" t="s">
        <v>547</v>
      </c>
      <c r="F4" s="700" t="s">
        <v>178</v>
      </c>
      <c r="G4" s="2"/>
    </row>
    <row r="5" spans="1:7" s="510" customFormat="1" ht="15.75" customHeight="1" thickBot="1">
      <c r="A5" s="1433"/>
      <c r="B5" s="1429"/>
      <c r="C5" s="701" t="s">
        <v>485</v>
      </c>
      <c r="D5" s="702" t="s">
        <v>210</v>
      </c>
      <c r="E5" s="703" t="s">
        <v>721</v>
      </c>
      <c r="F5" s="704" t="s">
        <v>403</v>
      </c>
      <c r="G5" s="2"/>
    </row>
    <row r="6" spans="1:7" s="510" customFormat="1" ht="11.25" customHeight="1">
      <c r="A6" s="454" t="s">
        <v>548</v>
      </c>
      <c r="B6" s="556">
        <v>200</v>
      </c>
      <c r="C6" s="557" t="s">
        <v>270</v>
      </c>
      <c r="D6" s="497">
        <v>200</v>
      </c>
      <c r="E6" s="456">
        <v>3900</v>
      </c>
      <c r="F6" s="457">
        <v>320</v>
      </c>
    </row>
    <row r="7" spans="1:7" s="510" customFormat="1" ht="11.25" customHeight="1">
      <c r="A7" s="458" t="s">
        <v>549</v>
      </c>
      <c r="B7" s="562">
        <v>300</v>
      </c>
      <c r="C7" s="563" t="s">
        <v>1410</v>
      </c>
      <c r="D7" s="501">
        <v>1965</v>
      </c>
      <c r="E7" s="460" t="s">
        <v>1394</v>
      </c>
      <c r="F7" s="461">
        <v>300</v>
      </c>
    </row>
    <row r="8" spans="1:7" s="510" customFormat="1" ht="11.25" customHeight="1">
      <c r="A8" s="458" t="s">
        <v>550</v>
      </c>
      <c r="B8" s="562">
        <v>15000</v>
      </c>
      <c r="C8" s="563" t="s">
        <v>1410</v>
      </c>
      <c r="D8" s="501">
        <v>50000</v>
      </c>
      <c r="E8" s="460">
        <v>66142841.963876456</v>
      </c>
      <c r="F8" s="461">
        <v>15000</v>
      </c>
    </row>
    <row r="9" spans="1:7" s="510" customFormat="1" ht="11.25" customHeight="1">
      <c r="A9" s="458" t="s">
        <v>551</v>
      </c>
      <c r="B9" s="562">
        <v>1.3</v>
      </c>
      <c r="C9" s="563" t="s">
        <v>1410</v>
      </c>
      <c r="D9" s="501">
        <v>8.5</v>
      </c>
      <c r="E9" s="460" t="s">
        <v>954</v>
      </c>
      <c r="F9" s="461">
        <v>1.3</v>
      </c>
    </row>
    <row r="10" spans="1:7" s="510" customFormat="1" ht="11.25" customHeight="1">
      <c r="A10" s="458" t="s">
        <v>161</v>
      </c>
      <c r="B10" s="562">
        <v>1800</v>
      </c>
      <c r="C10" s="563" t="s">
        <v>1410</v>
      </c>
      <c r="D10" s="501">
        <v>50000</v>
      </c>
      <c r="E10" s="460" t="s">
        <v>954</v>
      </c>
      <c r="F10" s="461">
        <v>1800</v>
      </c>
    </row>
    <row r="11" spans="1:7" s="510" customFormat="1" ht="11.25" customHeight="1">
      <c r="A11" s="462" t="s">
        <v>162</v>
      </c>
      <c r="B11" s="562">
        <v>160</v>
      </c>
      <c r="C11" s="563" t="s">
        <v>1410</v>
      </c>
      <c r="D11" s="501">
        <v>50000</v>
      </c>
      <c r="E11" s="460" t="s">
        <v>954</v>
      </c>
      <c r="F11" s="461">
        <v>160</v>
      </c>
    </row>
    <row r="12" spans="1:7" s="510" customFormat="1" ht="11.25" customHeight="1">
      <c r="A12" s="462" t="s">
        <v>94</v>
      </c>
      <c r="B12" s="562">
        <v>98</v>
      </c>
      <c r="C12" s="563" t="s">
        <v>1410</v>
      </c>
      <c r="D12" s="501">
        <v>50000</v>
      </c>
      <c r="E12" s="460" t="s">
        <v>954</v>
      </c>
      <c r="F12" s="461">
        <v>98</v>
      </c>
    </row>
    <row r="13" spans="1:7" s="510" customFormat="1" ht="11.25" customHeight="1">
      <c r="A13" s="458" t="s">
        <v>552</v>
      </c>
      <c r="B13" s="562">
        <v>0.18</v>
      </c>
      <c r="C13" s="563" t="s">
        <v>1410</v>
      </c>
      <c r="D13" s="501">
        <v>21.5</v>
      </c>
      <c r="E13" s="460">
        <v>43</v>
      </c>
      <c r="F13" s="461">
        <v>0.18</v>
      </c>
    </row>
    <row r="14" spans="1:7" s="510" customFormat="1" ht="11.25" customHeight="1">
      <c r="A14" s="458" t="s">
        <v>553</v>
      </c>
      <c r="B14" s="562">
        <v>180</v>
      </c>
      <c r="C14" s="563" t="s">
        <v>1410</v>
      </c>
      <c r="D14" s="501">
        <v>50000</v>
      </c>
      <c r="E14" s="460" t="s">
        <v>954</v>
      </c>
      <c r="F14" s="461">
        <v>180</v>
      </c>
    </row>
    <row r="15" spans="1:7" s="510" customFormat="1" ht="11.25" customHeight="1">
      <c r="A15" s="458" t="s">
        <v>686</v>
      </c>
      <c r="B15" s="562">
        <v>69</v>
      </c>
      <c r="C15" s="563" t="s">
        <v>1410</v>
      </c>
      <c r="D15" s="501">
        <v>50000</v>
      </c>
      <c r="E15" s="460" t="s">
        <v>954</v>
      </c>
      <c r="F15" s="461">
        <v>69</v>
      </c>
    </row>
    <row r="16" spans="1:7" s="510" customFormat="1" ht="11.25" customHeight="1">
      <c r="A16" s="458" t="s">
        <v>95</v>
      </c>
      <c r="B16" s="562">
        <v>330</v>
      </c>
      <c r="C16" s="563" t="s">
        <v>1410</v>
      </c>
      <c r="D16" s="501">
        <v>17500</v>
      </c>
      <c r="E16" s="460" t="s">
        <v>954</v>
      </c>
      <c r="F16" s="461">
        <v>330</v>
      </c>
    </row>
    <row r="17" spans="1:6" s="510" customFormat="1" ht="11.25" customHeight="1">
      <c r="A17" s="458" t="s">
        <v>687</v>
      </c>
      <c r="B17" s="562">
        <v>2000</v>
      </c>
      <c r="C17" s="563" t="s">
        <v>1410</v>
      </c>
      <c r="D17" s="501">
        <v>50000</v>
      </c>
      <c r="E17" s="460" t="s">
        <v>954</v>
      </c>
      <c r="F17" s="461">
        <v>2000</v>
      </c>
    </row>
    <row r="18" spans="1:6" s="510" customFormat="1" ht="11.25" customHeight="1">
      <c r="A18" s="458" t="s">
        <v>1156</v>
      </c>
      <c r="B18" s="562">
        <v>2.8</v>
      </c>
      <c r="C18" s="563" t="s">
        <v>1410</v>
      </c>
      <c r="D18" s="501">
        <v>1900</v>
      </c>
      <c r="E18" s="460" t="s">
        <v>954</v>
      </c>
      <c r="F18" s="461">
        <v>2.8</v>
      </c>
    </row>
    <row r="19" spans="1:6" s="510" customFormat="1" ht="11.25" customHeight="1">
      <c r="A19" s="458" t="s">
        <v>688</v>
      </c>
      <c r="B19" s="562">
        <v>1700</v>
      </c>
      <c r="C19" s="563" t="s">
        <v>1410</v>
      </c>
      <c r="D19" s="501">
        <v>20000</v>
      </c>
      <c r="E19" s="460">
        <v>2250.3937370979761</v>
      </c>
      <c r="F19" s="461">
        <v>1700</v>
      </c>
    </row>
    <row r="20" spans="1:6" s="510" customFormat="1" ht="11.25" customHeight="1">
      <c r="A20" s="458" t="s">
        <v>689</v>
      </c>
      <c r="B20" s="562">
        <v>4.7</v>
      </c>
      <c r="C20" s="563" t="s">
        <v>270</v>
      </c>
      <c r="D20" s="501">
        <v>4.7</v>
      </c>
      <c r="E20" s="460" t="s">
        <v>954</v>
      </c>
      <c r="F20" s="461">
        <v>300</v>
      </c>
    </row>
    <row r="21" spans="1:6" s="510" customFormat="1" ht="11.25" customHeight="1">
      <c r="A21" s="458" t="s">
        <v>690</v>
      </c>
      <c r="B21" s="562">
        <v>0.8</v>
      </c>
      <c r="C21" s="563" t="s">
        <v>270</v>
      </c>
      <c r="D21" s="501">
        <v>0.8</v>
      </c>
      <c r="E21" s="460" t="s">
        <v>954</v>
      </c>
      <c r="F21" s="461">
        <v>300</v>
      </c>
    </row>
    <row r="22" spans="1:6" s="510" customFormat="1" ht="11.25" customHeight="1">
      <c r="A22" s="458" t="s">
        <v>691</v>
      </c>
      <c r="B22" s="562">
        <v>0.75</v>
      </c>
      <c r="C22" s="563" t="s">
        <v>270</v>
      </c>
      <c r="D22" s="501">
        <v>0.75</v>
      </c>
      <c r="E22" s="460" t="s">
        <v>954</v>
      </c>
      <c r="F22" s="461">
        <v>300</v>
      </c>
    </row>
    <row r="23" spans="1:6" s="510" customFormat="1" ht="11.25" customHeight="1">
      <c r="A23" s="458" t="s">
        <v>692</v>
      </c>
      <c r="B23" s="562">
        <v>0.12999999999999998</v>
      </c>
      <c r="C23" s="563" t="s">
        <v>270</v>
      </c>
      <c r="D23" s="501">
        <v>0.12999999999999998</v>
      </c>
      <c r="E23" s="460" t="s">
        <v>954</v>
      </c>
      <c r="F23" s="461">
        <v>300</v>
      </c>
    </row>
    <row r="24" spans="1:6" s="510" customFormat="1" ht="11.25" customHeight="1">
      <c r="A24" s="458" t="s">
        <v>693</v>
      </c>
      <c r="B24" s="562">
        <v>0.4</v>
      </c>
      <c r="C24" s="563" t="s">
        <v>270</v>
      </c>
      <c r="D24" s="501">
        <v>0.4</v>
      </c>
      <c r="E24" s="460" t="s">
        <v>954</v>
      </c>
      <c r="F24" s="461">
        <v>300</v>
      </c>
    </row>
    <row r="25" spans="1:6" s="510" customFormat="1" ht="11.25" customHeight="1">
      <c r="A25" s="458" t="s">
        <v>126</v>
      </c>
      <c r="B25" s="562">
        <v>35</v>
      </c>
      <c r="C25" s="563" t="s">
        <v>1410</v>
      </c>
      <c r="D25" s="501">
        <v>50000</v>
      </c>
      <c r="E25" s="460" t="s">
        <v>954</v>
      </c>
      <c r="F25" s="461">
        <v>35</v>
      </c>
    </row>
    <row r="26" spans="1:6" s="510" customFormat="1" ht="11.25" customHeight="1">
      <c r="A26" s="458" t="s">
        <v>233</v>
      </c>
      <c r="B26" s="562">
        <v>5</v>
      </c>
      <c r="C26" s="563" t="s">
        <v>270</v>
      </c>
      <c r="D26" s="501">
        <v>5</v>
      </c>
      <c r="E26" s="460" t="s">
        <v>1394</v>
      </c>
      <c r="F26" s="461">
        <v>26</v>
      </c>
    </row>
    <row r="27" spans="1:6" s="510" customFormat="1" ht="11.25" customHeight="1">
      <c r="A27" s="458" t="s">
        <v>127</v>
      </c>
      <c r="B27" s="562">
        <v>175.65607394552634</v>
      </c>
      <c r="C27" s="563" t="s">
        <v>673</v>
      </c>
      <c r="D27" s="501">
        <v>3600</v>
      </c>
      <c r="E27" s="460">
        <v>175.65607394552634</v>
      </c>
      <c r="F27" s="461">
        <v>23800</v>
      </c>
    </row>
    <row r="28" spans="1:6" s="510" customFormat="1" ht="11.25" customHeight="1">
      <c r="A28" s="503" t="s">
        <v>1103</v>
      </c>
      <c r="B28" s="562">
        <v>0.35711381953846194</v>
      </c>
      <c r="C28" s="563" t="s">
        <v>1410</v>
      </c>
      <c r="D28" s="501">
        <v>3200</v>
      </c>
      <c r="E28" s="460" t="s">
        <v>1394</v>
      </c>
      <c r="F28" s="461">
        <v>0.35711381953846194</v>
      </c>
    </row>
    <row r="29" spans="1:6" s="510" customFormat="1" ht="11.25" customHeight="1">
      <c r="A29" s="458" t="s">
        <v>128</v>
      </c>
      <c r="B29" s="562">
        <v>27</v>
      </c>
      <c r="C29" s="563" t="s">
        <v>1410</v>
      </c>
      <c r="D29" s="501">
        <v>135</v>
      </c>
      <c r="E29" s="460" t="s">
        <v>954</v>
      </c>
      <c r="F29" s="461">
        <v>27</v>
      </c>
    </row>
    <row r="30" spans="1:6" s="510" customFormat="1" ht="11.25" customHeight="1">
      <c r="A30" s="458" t="s">
        <v>129</v>
      </c>
      <c r="B30" s="562">
        <v>34000</v>
      </c>
      <c r="C30" s="563" t="s">
        <v>1410</v>
      </c>
      <c r="D30" s="501">
        <v>50000</v>
      </c>
      <c r="E30" s="460" t="s">
        <v>954</v>
      </c>
      <c r="F30" s="461">
        <v>34000</v>
      </c>
    </row>
    <row r="31" spans="1:6" s="510" customFormat="1" ht="11.25" customHeight="1">
      <c r="A31" s="458" t="s">
        <v>130</v>
      </c>
      <c r="B31" s="562">
        <v>114.99301190674856</v>
      </c>
      <c r="C31" s="563" t="s">
        <v>673</v>
      </c>
      <c r="D31" s="501">
        <v>50000</v>
      </c>
      <c r="E31" s="460">
        <v>114.99301190674856</v>
      </c>
      <c r="F31" s="461">
        <v>3100</v>
      </c>
    </row>
    <row r="32" spans="1:6" s="510" customFormat="1" ht="11.25" customHeight="1">
      <c r="A32" s="458" t="s">
        <v>131</v>
      </c>
      <c r="B32" s="562">
        <v>1100</v>
      </c>
      <c r="C32" s="563" t="s">
        <v>1410</v>
      </c>
      <c r="D32" s="501">
        <v>5100</v>
      </c>
      <c r="E32" s="460" t="s">
        <v>954</v>
      </c>
      <c r="F32" s="461">
        <v>1100</v>
      </c>
    </row>
    <row r="33" spans="1:6" s="510" customFormat="1" ht="11.25" customHeight="1">
      <c r="A33" s="458" t="s">
        <v>132</v>
      </c>
      <c r="B33" s="562">
        <v>38</v>
      </c>
      <c r="C33" s="563" t="s">
        <v>1410</v>
      </c>
      <c r="D33" s="501">
        <v>50000</v>
      </c>
      <c r="E33" s="460">
        <v>412.95811722027219</v>
      </c>
      <c r="F33" s="461">
        <v>38</v>
      </c>
    </row>
    <row r="34" spans="1:6" s="510" customFormat="1" ht="11.25" customHeight="1">
      <c r="A34" s="458" t="s">
        <v>133</v>
      </c>
      <c r="B34" s="562">
        <v>3</v>
      </c>
      <c r="C34" s="563" t="s">
        <v>1410</v>
      </c>
      <c r="D34" s="501">
        <v>50000</v>
      </c>
      <c r="E34" s="460" t="s">
        <v>954</v>
      </c>
      <c r="F34" s="461">
        <v>3</v>
      </c>
    </row>
    <row r="35" spans="1:6" s="510" customFormat="1" ht="11.25" customHeight="1">
      <c r="A35" s="458" t="s">
        <v>134</v>
      </c>
      <c r="B35" s="562">
        <v>109.78360683200988</v>
      </c>
      <c r="C35" s="563" t="s">
        <v>673</v>
      </c>
      <c r="D35" s="501">
        <v>5200</v>
      </c>
      <c r="E35" s="460">
        <v>109.78360683200988</v>
      </c>
      <c r="F35" s="461">
        <v>12000</v>
      </c>
    </row>
    <row r="36" spans="1:6" s="510" customFormat="1" ht="11.25" customHeight="1">
      <c r="A36" s="458" t="s">
        <v>614</v>
      </c>
      <c r="B36" s="562">
        <v>0.09</v>
      </c>
      <c r="C36" s="563" t="s">
        <v>1410</v>
      </c>
      <c r="D36" s="501">
        <v>25</v>
      </c>
      <c r="E36" s="460" t="s">
        <v>954</v>
      </c>
      <c r="F36" s="461">
        <v>0.09</v>
      </c>
    </row>
    <row r="37" spans="1:6" s="510" customFormat="1" ht="11.25" customHeight="1">
      <c r="A37" s="458" t="s">
        <v>135</v>
      </c>
      <c r="B37" s="562">
        <v>459</v>
      </c>
      <c r="C37" s="563" t="s">
        <v>1410</v>
      </c>
      <c r="D37" s="501">
        <v>50000</v>
      </c>
      <c r="E37" s="460" t="s">
        <v>954</v>
      </c>
      <c r="F37" s="461">
        <v>459</v>
      </c>
    </row>
    <row r="38" spans="1:6" s="510" customFormat="1" ht="11.25" customHeight="1">
      <c r="A38" s="458" t="s">
        <v>136</v>
      </c>
      <c r="B38" s="562">
        <v>220</v>
      </c>
      <c r="C38" s="563" t="s">
        <v>1410</v>
      </c>
      <c r="D38" s="501">
        <v>500</v>
      </c>
      <c r="E38" s="460">
        <v>12400.875594724155</v>
      </c>
      <c r="F38" s="461">
        <v>220</v>
      </c>
    </row>
    <row r="39" spans="1:6" s="510" customFormat="1" ht="11.25" customHeight="1">
      <c r="A39" s="458" t="s">
        <v>781</v>
      </c>
      <c r="B39" s="562">
        <v>160</v>
      </c>
      <c r="C39" s="563" t="s">
        <v>270</v>
      </c>
      <c r="D39" s="501">
        <v>160</v>
      </c>
      <c r="E39" s="460">
        <v>241595.47466143908</v>
      </c>
      <c r="F39" s="461">
        <v>47673.469387755096</v>
      </c>
    </row>
    <row r="40" spans="1:6" ht="11.25" customHeight="1">
      <c r="A40" s="464" t="s">
        <v>137</v>
      </c>
      <c r="B40" s="562">
        <v>108.3094022043858</v>
      </c>
      <c r="C40" s="563" t="s">
        <v>673</v>
      </c>
      <c r="D40" s="501">
        <v>24000</v>
      </c>
      <c r="E40" s="460">
        <v>108.3094022043858</v>
      </c>
      <c r="F40" s="461">
        <v>490</v>
      </c>
    </row>
    <row r="41" spans="1:6" ht="11.25" customHeight="1">
      <c r="A41" s="458" t="s">
        <v>782</v>
      </c>
      <c r="B41" s="562">
        <v>1072.6530612244896</v>
      </c>
      <c r="C41" s="563" t="s">
        <v>1410</v>
      </c>
      <c r="D41" s="501">
        <v>50000</v>
      </c>
      <c r="E41" s="460">
        <v>5216.5892543454502</v>
      </c>
      <c r="F41" s="461">
        <v>1072.6530612244896</v>
      </c>
    </row>
    <row r="42" spans="1:6" ht="11.25" customHeight="1">
      <c r="A42" s="458" t="s">
        <v>138</v>
      </c>
      <c r="B42" s="562">
        <v>1.8</v>
      </c>
      <c r="C42" s="563" t="s">
        <v>270</v>
      </c>
      <c r="D42" s="501">
        <v>1.8</v>
      </c>
      <c r="E42" s="460">
        <v>87854.768508615263</v>
      </c>
      <c r="F42" s="461">
        <v>400</v>
      </c>
    </row>
    <row r="43" spans="1:6" ht="11.25" customHeight="1">
      <c r="A43" s="458" t="s">
        <v>612</v>
      </c>
      <c r="B43" s="562">
        <v>16</v>
      </c>
      <c r="C43" s="563" t="s">
        <v>1410</v>
      </c>
      <c r="D43" s="501">
        <v>50000</v>
      </c>
      <c r="E43" s="460" t="s">
        <v>954</v>
      </c>
      <c r="F43" s="461">
        <v>16</v>
      </c>
    </row>
    <row r="44" spans="1:6" ht="11.25" customHeight="1">
      <c r="A44" s="458" t="s">
        <v>779</v>
      </c>
      <c r="B44" s="562">
        <v>570</v>
      </c>
      <c r="C44" s="563" t="s">
        <v>1410</v>
      </c>
      <c r="D44" s="501">
        <v>50000</v>
      </c>
      <c r="E44" s="460" t="s">
        <v>954</v>
      </c>
      <c r="F44" s="461">
        <v>570</v>
      </c>
    </row>
    <row r="45" spans="1:6" ht="11.25" customHeight="1">
      <c r="A45" s="458" t="s">
        <v>780</v>
      </c>
      <c r="B45" s="562">
        <v>16</v>
      </c>
      <c r="C45" s="563" t="s">
        <v>1410</v>
      </c>
      <c r="D45" s="501">
        <v>50000</v>
      </c>
      <c r="E45" s="460" t="s">
        <v>954</v>
      </c>
      <c r="F45" s="461">
        <v>16</v>
      </c>
    </row>
    <row r="46" spans="1:6" ht="11.25" customHeight="1">
      <c r="A46" s="458" t="s">
        <v>139</v>
      </c>
      <c r="B46" s="562">
        <v>1</v>
      </c>
      <c r="C46" s="563" t="s">
        <v>270</v>
      </c>
      <c r="D46" s="501">
        <v>1</v>
      </c>
      <c r="E46" s="460" t="s">
        <v>954</v>
      </c>
      <c r="F46" s="461">
        <v>300</v>
      </c>
    </row>
    <row r="47" spans="1:6" ht="11.25" customHeight="1">
      <c r="A47" s="458" t="s">
        <v>140</v>
      </c>
      <c r="B47" s="562">
        <v>120</v>
      </c>
      <c r="C47" s="563" t="s">
        <v>1410</v>
      </c>
      <c r="D47" s="501">
        <v>50000</v>
      </c>
      <c r="E47" s="460" t="s">
        <v>954</v>
      </c>
      <c r="F47" s="461">
        <v>120</v>
      </c>
    </row>
    <row r="48" spans="1:6" ht="11.25" customHeight="1">
      <c r="A48" s="458" t="s">
        <v>141</v>
      </c>
      <c r="B48" s="562">
        <v>2.9</v>
      </c>
      <c r="C48" s="563" t="s">
        <v>1410</v>
      </c>
      <c r="D48" s="501">
        <v>50000</v>
      </c>
      <c r="E48" s="460" t="s">
        <v>954</v>
      </c>
      <c r="F48" s="461">
        <v>2.9</v>
      </c>
    </row>
    <row r="49" spans="1:6" ht="11.25" customHeight="1">
      <c r="A49" s="458" t="s">
        <v>142</v>
      </c>
      <c r="B49" s="562">
        <v>1</v>
      </c>
      <c r="C49" s="563" t="s">
        <v>1410</v>
      </c>
      <c r="D49" s="501">
        <v>1700</v>
      </c>
      <c r="E49" s="460" t="s">
        <v>1394</v>
      </c>
      <c r="F49" s="461">
        <v>1</v>
      </c>
    </row>
    <row r="50" spans="1:6" ht="11.25" customHeight="1">
      <c r="A50" s="462" t="s">
        <v>96</v>
      </c>
      <c r="B50" s="562">
        <v>520</v>
      </c>
      <c r="C50" s="563" t="s">
        <v>1410</v>
      </c>
      <c r="D50" s="501">
        <v>29850</v>
      </c>
      <c r="E50" s="460" t="s">
        <v>954</v>
      </c>
      <c r="F50" s="461">
        <v>520</v>
      </c>
    </row>
    <row r="51" spans="1:6" ht="11.25" customHeight="1">
      <c r="A51" s="458" t="s">
        <v>97</v>
      </c>
      <c r="B51" s="562">
        <v>3000</v>
      </c>
      <c r="C51" s="563" t="s">
        <v>1410</v>
      </c>
      <c r="D51" s="501">
        <v>50000</v>
      </c>
      <c r="E51" s="460" t="s">
        <v>954</v>
      </c>
      <c r="F51" s="461">
        <v>3000</v>
      </c>
    </row>
    <row r="52" spans="1:6" ht="11.25" customHeight="1">
      <c r="A52" s="458" t="s">
        <v>143</v>
      </c>
      <c r="B52" s="562">
        <v>1.25</v>
      </c>
      <c r="C52" s="563" t="s">
        <v>270</v>
      </c>
      <c r="D52" s="501">
        <v>1.25</v>
      </c>
      <c r="E52" s="460" t="s">
        <v>954</v>
      </c>
      <c r="F52" s="461">
        <v>300</v>
      </c>
    </row>
    <row r="53" spans="1:6" ht="11.25" customHeight="1">
      <c r="A53" s="458" t="s">
        <v>381</v>
      </c>
      <c r="B53" s="562">
        <v>0.04</v>
      </c>
      <c r="C53" s="563" t="s">
        <v>1410</v>
      </c>
      <c r="D53" s="501">
        <v>100</v>
      </c>
      <c r="E53" s="460" t="s">
        <v>1394</v>
      </c>
      <c r="F53" s="461">
        <v>0.04</v>
      </c>
    </row>
    <row r="54" spans="1:6" ht="11.25" customHeight="1">
      <c r="A54" s="458" t="s">
        <v>144</v>
      </c>
      <c r="B54" s="562">
        <v>2900</v>
      </c>
      <c r="C54" s="563" t="s">
        <v>1410</v>
      </c>
      <c r="D54" s="501">
        <v>50000</v>
      </c>
      <c r="E54" s="460">
        <v>49363.371203886563</v>
      </c>
      <c r="F54" s="461">
        <v>2900</v>
      </c>
    </row>
    <row r="55" spans="1:6" ht="11.25" customHeight="1">
      <c r="A55" s="458" t="s">
        <v>487</v>
      </c>
      <c r="B55" s="562">
        <v>18.617708877383702</v>
      </c>
      <c r="C55" s="563" t="s">
        <v>673</v>
      </c>
      <c r="D55" s="501">
        <v>50000</v>
      </c>
      <c r="E55" s="460">
        <v>18.617708877383702</v>
      </c>
      <c r="F55" s="461">
        <v>1400</v>
      </c>
    </row>
    <row r="56" spans="1:6" ht="11.25" customHeight="1">
      <c r="A56" s="458" t="s">
        <v>145</v>
      </c>
      <c r="B56" s="562">
        <v>100</v>
      </c>
      <c r="C56" s="563" t="s">
        <v>270</v>
      </c>
      <c r="D56" s="501">
        <v>100</v>
      </c>
      <c r="E56" s="460">
        <v>83377.443722530952</v>
      </c>
      <c r="F56" s="461">
        <v>370</v>
      </c>
    </row>
    <row r="57" spans="1:6" ht="11.25" customHeight="1">
      <c r="A57" s="458" t="s">
        <v>225</v>
      </c>
      <c r="B57" s="562">
        <v>370</v>
      </c>
      <c r="C57" s="563" t="s">
        <v>1410</v>
      </c>
      <c r="D57" s="501">
        <v>50000</v>
      </c>
      <c r="E57" s="460" t="s">
        <v>1394</v>
      </c>
      <c r="F57" s="461">
        <v>370</v>
      </c>
    </row>
    <row r="58" spans="1:6" ht="11.25" customHeight="1">
      <c r="A58" s="458" t="s">
        <v>226</v>
      </c>
      <c r="B58" s="562">
        <v>110</v>
      </c>
      <c r="C58" s="563" t="s">
        <v>270</v>
      </c>
      <c r="D58" s="501">
        <v>110</v>
      </c>
      <c r="E58" s="460">
        <v>449.85112140655059</v>
      </c>
      <c r="F58" s="461">
        <v>370</v>
      </c>
    </row>
    <row r="59" spans="1:6" ht="11.25" customHeight="1">
      <c r="A59" s="458" t="s">
        <v>227</v>
      </c>
      <c r="B59" s="562">
        <v>41</v>
      </c>
      <c r="C59" s="563" t="s">
        <v>1410</v>
      </c>
      <c r="D59" s="501">
        <v>1550</v>
      </c>
      <c r="E59" s="460" t="s">
        <v>954</v>
      </c>
      <c r="F59" s="461">
        <v>41</v>
      </c>
    </row>
    <row r="60" spans="1:6" ht="11.25" customHeight="1">
      <c r="A60" s="458" t="s">
        <v>361</v>
      </c>
      <c r="B60" s="562">
        <v>0.19</v>
      </c>
      <c r="C60" s="563" t="s">
        <v>1410</v>
      </c>
      <c r="D60" s="501">
        <v>45</v>
      </c>
      <c r="E60" s="460" t="s">
        <v>954</v>
      </c>
      <c r="F60" s="461">
        <v>0.19</v>
      </c>
    </row>
    <row r="61" spans="1:6" ht="11.25" customHeight="1">
      <c r="A61" s="458" t="s">
        <v>362</v>
      </c>
      <c r="B61" s="562">
        <v>7</v>
      </c>
      <c r="C61" s="563" t="s">
        <v>1410</v>
      </c>
      <c r="D61" s="501">
        <v>20</v>
      </c>
      <c r="E61" s="460" t="s">
        <v>954</v>
      </c>
      <c r="F61" s="461">
        <v>7</v>
      </c>
    </row>
    <row r="62" spans="1:6" ht="11.25" customHeight="1">
      <c r="A62" s="458" t="s">
        <v>363</v>
      </c>
      <c r="B62" s="562">
        <v>1.2999999999999999E-2</v>
      </c>
      <c r="C62" s="563" t="s">
        <v>1410</v>
      </c>
      <c r="D62" s="501">
        <v>2.75</v>
      </c>
      <c r="E62" s="460" t="s">
        <v>954</v>
      </c>
      <c r="F62" s="461">
        <v>1.2999999999999999E-2</v>
      </c>
    </row>
    <row r="63" spans="1:6" ht="11.25" customHeight="1">
      <c r="A63" s="458" t="s">
        <v>234</v>
      </c>
      <c r="B63" s="562">
        <v>830</v>
      </c>
      <c r="C63" s="563" t="s">
        <v>1410</v>
      </c>
      <c r="D63" s="501">
        <v>50000</v>
      </c>
      <c r="E63" s="460">
        <v>1093.4471780092338</v>
      </c>
      <c r="F63" s="461">
        <v>830</v>
      </c>
    </row>
    <row r="64" spans="1:6" ht="11.25" customHeight="1">
      <c r="A64" s="458" t="s">
        <v>235</v>
      </c>
      <c r="B64" s="562">
        <v>182.45621075944572</v>
      </c>
      <c r="C64" s="563" t="s">
        <v>673</v>
      </c>
      <c r="D64" s="501">
        <v>50000</v>
      </c>
      <c r="E64" s="460">
        <v>182.45621075944572</v>
      </c>
      <c r="F64" s="461">
        <v>38000</v>
      </c>
    </row>
    <row r="65" spans="1:6" ht="11.25" customHeight="1">
      <c r="A65" s="458" t="s">
        <v>294</v>
      </c>
      <c r="B65" s="562">
        <v>3900</v>
      </c>
      <c r="C65" s="563" t="s">
        <v>1410</v>
      </c>
      <c r="D65" s="501">
        <v>15000</v>
      </c>
      <c r="E65" s="460">
        <v>6624.9382313275155</v>
      </c>
      <c r="F65" s="461">
        <v>3900</v>
      </c>
    </row>
    <row r="66" spans="1:6" ht="11.25" customHeight="1">
      <c r="A66" s="458" t="s">
        <v>295</v>
      </c>
      <c r="B66" s="562">
        <v>5500</v>
      </c>
      <c r="C66" s="563" t="s">
        <v>1410</v>
      </c>
      <c r="D66" s="501">
        <v>50000</v>
      </c>
      <c r="E66" s="460">
        <v>6370.7435851069322</v>
      </c>
      <c r="F66" s="461">
        <v>5500</v>
      </c>
    </row>
    <row r="67" spans="1:6" ht="11.25" customHeight="1">
      <c r="A67" s="458" t="s">
        <v>228</v>
      </c>
      <c r="B67" s="562">
        <v>2600</v>
      </c>
      <c r="C67" s="563" t="s">
        <v>270</v>
      </c>
      <c r="D67" s="501">
        <v>2600</v>
      </c>
      <c r="E67" s="460">
        <v>3298.5200508444436</v>
      </c>
      <c r="F67" s="461">
        <v>10046</v>
      </c>
    </row>
    <row r="68" spans="1:6" ht="11.25" customHeight="1">
      <c r="A68" s="458" t="s">
        <v>942</v>
      </c>
      <c r="B68" s="562">
        <v>3</v>
      </c>
      <c r="C68" s="563" t="s">
        <v>270</v>
      </c>
      <c r="D68" s="501">
        <v>3</v>
      </c>
      <c r="E68" s="460" t="s">
        <v>954</v>
      </c>
      <c r="F68" s="461">
        <v>670</v>
      </c>
    </row>
    <row r="69" spans="1:6" ht="11.25" customHeight="1">
      <c r="A69" s="458" t="s">
        <v>98</v>
      </c>
      <c r="B69" s="562">
        <v>130</v>
      </c>
      <c r="C69" s="563" t="s">
        <v>1410</v>
      </c>
      <c r="D69" s="501">
        <v>50000</v>
      </c>
      <c r="E69" s="460" t="s">
        <v>954</v>
      </c>
      <c r="F69" s="461">
        <v>130</v>
      </c>
    </row>
    <row r="70" spans="1:6" ht="11.25" customHeight="1">
      <c r="A70" s="458" t="s">
        <v>943</v>
      </c>
      <c r="B70" s="562">
        <v>100</v>
      </c>
      <c r="C70" s="563" t="s">
        <v>270</v>
      </c>
      <c r="D70" s="501">
        <v>100</v>
      </c>
      <c r="E70" s="460">
        <v>906.38089810273414</v>
      </c>
      <c r="F70" s="461">
        <v>3400</v>
      </c>
    </row>
    <row r="71" spans="1:6" ht="11.25" customHeight="1">
      <c r="A71" s="458" t="s">
        <v>296</v>
      </c>
      <c r="B71" s="562">
        <v>260</v>
      </c>
      <c r="C71" s="563" t="s">
        <v>1410</v>
      </c>
      <c r="D71" s="501">
        <v>50000</v>
      </c>
      <c r="E71" s="460">
        <v>673.73911756880364</v>
      </c>
      <c r="F71" s="461">
        <v>260</v>
      </c>
    </row>
    <row r="72" spans="1:6" ht="11.25" customHeight="1">
      <c r="A72" s="458" t="s">
        <v>944</v>
      </c>
      <c r="B72" s="562">
        <v>0.71</v>
      </c>
      <c r="C72" s="563" t="s">
        <v>1410</v>
      </c>
      <c r="D72" s="501">
        <v>97.5</v>
      </c>
      <c r="E72" s="460" t="s">
        <v>954</v>
      </c>
      <c r="F72" s="461">
        <v>0.71</v>
      </c>
    </row>
    <row r="73" spans="1:6" ht="11.25" customHeight="1">
      <c r="A73" s="458" t="s">
        <v>945</v>
      </c>
      <c r="B73" s="562">
        <v>980</v>
      </c>
      <c r="C73" s="563" t="s">
        <v>1410</v>
      </c>
      <c r="D73" s="501">
        <v>50000</v>
      </c>
      <c r="E73" s="460" t="s">
        <v>954</v>
      </c>
      <c r="F73" s="461">
        <v>980</v>
      </c>
    </row>
    <row r="74" spans="1:6" ht="11.25" customHeight="1">
      <c r="A74" s="458" t="s">
        <v>947</v>
      </c>
      <c r="B74" s="562">
        <v>700</v>
      </c>
      <c r="C74" s="563" t="s">
        <v>1410</v>
      </c>
      <c r="D74" s="501">
        <v>4000</v>
      </c>
      <c r="E74" s="460" t="s">
        <v>954</v>
      </c>
      <c r="F74" s="461">
        <v>700</v>
      </c>
    </row>
    <row r="75" spans="1:6" ht="11.25" customHeight="1">
      <c r="A75" s="458" t="s">
        <v>946</v>
      </c>
      <c r="B75" s="562">
        <v>3200</v>
      </c>
      <c r="C75" s="563" t="s">
        <v>1410</v>
      </c>
      <c r="D75" s="501">
        <v>50000</v>
      </c>
      <c r="E75" s="460" t="s">
        <v>954</v>
      </c>
      <c r="F75" s="461">
        <v>3200</v>
      </c>
    </row>
    <row r="76" spans="1:6" ht="11.25" customHeight="1">
      <c r="A76" s="462" t="s">
        <v>99</v>
      </c>
      <c r="B76" s="562">
        <v>100</v>
      </c>
      <c r="C76" s="563" t="s">
        <v>1410</v>
      </c>
      <c r="D76" s="501">
        <v>50000</v>
      </c>
      <c r="E76" s="460" t="s">
        <v>954</v>
      </c>
      <c r="F76" s="461">
        <v>100</v>
      </c>
    </row>
    <row r="77" spans="1:6" ht="11.25" customHeight="1">
      <c r="A77" s="458" t="s">
        <v>297</v>
      </c>
      <c r="B77" s="562">
        <v>379</v>
      </c>
      <c r="C77" s="563" t="s">
        <v>1410</v>
      </c>
      <c r="D77" s="501">
        <v>50000</v>
      </c>
      <c r="E77" s="460" t="s">
        <v>954</v>
      </c>
      <c r="F77" s="461">
        <v>379</v>
      </c>
    </row>
    <row r="78" spans="1:6" ht="11.25" customHeight="1">
      <c r="A78" s="462" t="s">
        <v>100</v>
      </c>
      <c r="B78" s="562">
        <v>110</v>
      </c>
      <c r="C78" s="563" t="s">
        <v>1410</v>
      </c>
      <c r="D78" s="501">
        <v>50000</v>
      </c>
      <c r="E78" s="460" t="s">
        <v>954</v>
      </c>
      <c r="F78" s="461">
        <v>110</v>
      </c>
    </row>
    <row r="79" spans="1:6" ht="11.25" customHeight="1">
      <c r="A79" s="462" t="s">
        <v>101</v>
      </c>
      <c r="B79" s="562">
        <v>110</v>
      </c>
      <c r="C79" s="563" t="s">
        <v>1410</v>
      </c>
      <c r="D79" s="501">
        <v>50000</v>
      </c>
      <c r="E79" s="460" t="s">
        <v>954</v>
      </c>
      <c r="F79" s="461">
        <v>110</v>
      </c>
    </row>
    <row r="80" spans="1:6" ht="11.25" customHeight="1">
      <c r="A80" s="458" t="s">
        <v>382</v>
      </c>
      <c r="B80" s="562">
        <v>50000</v>
      </c>
      <c r="C80" s="563" t="s">
        <v>270</v>
      </c>
      <c r="D80" s="501">
        <v>50000</v>
      </c>
      <c r="E80" s="460" t="s">
        <v>1394</v>
      </c>
      <c r="F80" s="461">
        <v>3350000</v>
      </c>
    </row>
    <row r="81" spans="1:6" ht="11.25" customHeight="1">
      <c r="A81" s="458" t="s">
        <v>594</v>
      </c>
      <c r="B81" s="562">
        <v>3.0000000000000001E-3</v>
      </c>
      <c r="C81" s="563" t="s">
        <v>1410</v>
      </c>
      <c r="D81" s="501">
        <v>0.1</v>
      </c>
      <c r="E81" s="460" t="s">
        <v>954</v>
      </c>
      <c r="F81" s="461">
        <v>3.0000000000000001E-3</v>
      </c>
    </row>
    <row r="82" spans="1:6" ht="11.25" customHeight="1">
      <c r="A82" s="458" t="s">
        <v>102</v>
      </c>
      <c r="B82" s="562">
        <v>200</v>
      </c>
      <c r="C82" s="563" t="s">
        <v>1410</v>
      </c>
      <c r="D82" s="501">
        <v>21000</v>
      </c>
      <c r="E82" s="460" t="s">
        <v>954</v>
      </c>
      <c r="F82" s="461">
        <v>200</v>
      </c>
    </row>
    <row r="83" spans="1:6" ht="11.25" customHeight="1">
      <c r="A83" s="458" t="s">
        <v>370</v>
      </c>
      <c r="B83" s="562">
        <v>3.4000000000000002E-2</v>
      </c>
      <c r="C83" s="563" t="s">
        <v>1410</v>
      </c>
      <c r="D83" s="501">
        <v>162.5</v>
      </c>
      <c r="E83" s="460" t="s">
        <v>954</v>
      </c>
      <c r="F83" s="461">
        <v>3.4000000000000002E-2</v>
      </c>
    </row>
    <row r="84" spans="1:6" ht="11.25" customHeight="1">
      <c r="A84" s="458" t="s">
        <v>337</v>
      </c>
      <c r="B84" s="562">
        <v>3.6999999999999998E-2</v>
      </c>
      <c r="C84" s="563" t="s">
        <v>1410</v>
      </c>
      <c r="D84" s="501">
        <v>125</v>
      </c>
      <c r="E84" s="460" t="s">
        <v>954</v>
      </c>
      <c r="F84" s="461">
        <v>3.6999999999999998E-2</v>
      </c>
    </row>
    <row r="85" spans="1:6" ht="11.25" customHeight="1">
      <c r="A85" s="458" t="s">
        <v>28</v>
      </c>
      <c r="B85" s="562">
        <v>0</v>
      </c>
      <c r="C85" s="563" t="s">
        <v>1410</v>
      </c>
      <c r="D85" s="501">
        <v>50000</v>
      </c>
      <c r="E85" s="460" t="s">
        <v>954</v>
      </c>
      <c r="F85" s="461">
        <v>0</v>
      </c>
    </row>
    <row r="86" spans="1:6" ht="11.25" customHeight="1">
      <c r="A86" s="458" t="s">
        <v>338</v>
      </c>
      <c r="B86" s="562">
        <v>140</v>
      </c>
      <c r="C86" s="563" t="s">
        <v>1410</v>
      </c>
      <c r="D86" s="501">
        <v>300</v>
      </c>
      <c r="E86" s="460">
        <v>75701.315782304358</v>
      </c>
      <c r="F86" s="461">
        <v>140</v>
      </c>
    </row>
    <row r="87" spans="1:6" ht="11.25" customHeight="1">
      <c r="A87" s="458" t="s">
        <v>339</v>
      </c>
      <c r="B87" s="562">
        <v>13</v>
      </c>
      <c r="C87" s="563" t="s">
        <v>1410</v>
      </c>
      <c r="D87" s="501">
        <v>130</v>
      </c>
      <c r="E87" s="460" t="s">
        <v>954</v>
      </c>
      <c r="F87" s="461">
        <v>13</v>
      </c>
    </row>
    <row r="88" spans="1:6" ht="11.25" customHeight="1">
      <c r="A88" s="458" t="s">
        <v>340</v>
      </c>
      <c r="B88" s="562">
        <v>300</v>
      </c>
      <c r="C88" s="563" t="s">
        <v>1410</v>
      </c>
      <c r="D88" s="501">
        <v>845</v>
      </c>
      <c r="E88" s="460">
        <v>1690</v>
      </c>
      <c r="F88" s="461">
        <v>300</v>
      </c>
    </row>
    <row r="89" spans="1:6" ht="11.25" customHeight="1">
      <c r="A89" s="458" t="s">
        <v>103</v>
      </c>
      <c r="B89" s="562">
        <v>21500</v>
      </c>
      <c r="C89" s="563" t="s">
        <v>1410</v>
      </c>
      <c r="D89" s="501">
        <v>50000</v>
      </c>
      <c r="E89" s="460" t="s">
        <v>954</v>
      </c>
      <c r="F89" s="461">
        <v>21500</v>
      </c>
    </row>
    <row r="90" spans="1:6" ht="11.25" customHeight="1">
      <c r="A90" s="458" t="s">
        <v>341</v>
      </c>
      <c r="B90" s="562">
        <v>5.2999999999999999E-2</v>
      </c>
      <c r="C90" s="563" t="s">
        <v>1410</v>
      </c>
      <c r="D90" s="501">
        <v>90</v>
      </c>
      <c r="E90" s="460" t="s">
        <v>954</v>
      </c>
      <c r="F90" s="461">
        <v>5.2999999999999999E-2</v>
      </c>
    </row>
    <row r="91" spans="1:6" ht="11.25" customHeight="1">
      <c r="A91" s="458" t="s">
        <v>342</v>
      </c>
      <c r="B91" s="562">
        <v>5.2999999999999999E-2</v>
      </c>
      <c r="C91" s="563" t="s">
        <v>1410</v>
      </c>
      <c r="D91" s="501">
        <v>100</v>
      </c>
      <c r="E91" s="460" t="s">
        <v>954</v>
      </c>
      <c r="F91" s="461">
        <v>5.2999999999999999E-2</v>
      </c>
    </row>
    <row r="92" spans="1:6" ht="11.25" customHeight="1">
      <c r="A92" s="458" t="s">
        <v>371</v>
      </c>
      <c r="B92" s="562">
        <v>2.9999999999999997E-4</v>
      </c>
      <c r="C92" s="563" t="s">
        <v>1410</v>
      </c>
      <c r="D92" s="501">
        <v>3.1</v>
      </c>
      <c r="E92" s="460" t="s">
        <v>954</v>
      </c>
      <c r="F92" s="461">
        <v>2.9999999999999997E-4</v>
      </c>
    </row>
    <row r="93" spans="1:6" ht="11.25" customHeight="1">
      <c r="A93" s="458" t="s">
        <v>343</v>
      </c>
      <c r="B93" s="562">
        <v>11</v>
      </c>
      <c r="C93" s="563" t="s">
        <v>1410</v>
      </c>
      <c r="D93" s="501">
        <v>60</v>
      </c>
      <c r="E93" s="460" t="s">
        <v>954</v>
      </c>
      <c r="F93" s="461">
        <v>11</v>
      </c>
    </row>
    <row r="94" spans="1:6" ht="11.25" customHeight="1">
      <c r="A94" s="458" t="s">
        <v>364</v>
      </c>
      <c r="B94" s="562">
        <v>0.16</v>
      </c>
      <c r="C94" s="563" t="s">
        <v>1410</v>
      </c>
      <c r="D94" s="501">
        <v>3650</v>
      </c>
      <c r="E94" s="460" t="s">
        <v>954</v>
      </c>
      <c r="F94" s="461">
        <v>0.16</v>
      </c>
    </row>
    <row r="95" spans="1:6" ht="11.25" customHeight="1">
      <c r="A95" s="458" t="s">
        <v>344</v>
      </c>
      <c r="B95" s="562">
        <v>100</v>
      </c>
      <c r="C95" s="563" t="s">
        <v>270</v>
      </c>
      <c r="D95" s="501">
        <v>100</v>
      </c>
      <c r="E95" s="460" t="s">
        <v>954</v>
      </c>
      <c r="F95" s="461">
        <v>310</v>
      </c>
    </row>
    <row r="96" spans="1:6" ht="11.25" customHeight="1">
      <c r="A96" s="458" t="s">
        <v>104</v>
      </c>
      <c r="B96" s="562">
        <v>50000</v>
      </c>
      <c r="C96" s="563" t="s">
        <v>270</v>
      </c>
      <c r="D96" s="501">
        <v>50000</v>
      </c>
      <c r="E96" s="460" t="s">
        <v>954</v>
      </c>
      <c r="F96" s="461">
        <v>137000</v>
      </c>
    </row>
    <row r="97" spans="1:6" ht="11.25" customHeight="1">
      <c r="A97" s="458" t="s">
        <v>345</v>
      </c>
      <c r="B97" s="562">
        <v>9.5000000000000001E-2</v>
      </c>
      <c r="C97" s="563" t="s">
        <v>270</v>
      </c>
      <c r="D97" s="501">
        <v>9.5000000000000001E-2</v>
      </c>
      <c r="E97" s="460" t="s">
        <v>954</v>
      </c>
      <c r="F97" s="461">
        <v>300</v>
      </c>
    </row>
    <row r="98" spans="1:6" ht="11.25" customHeight="1">
      <c r="A98" s="458" t="s">
        <v>105</v>
      </c>
      <c r="B98" s="562">
        <v>4300</v>
      </c>
      <c r="C98" s="563" t="s">
        <v>1410</v>
      </c>
      <c r="D98" s="501">
        <v>50000</v>
      </c>
      <c r="E98" s="460" t="s">
        <v>954</v>
      </c>
      <c r="F98" s="461">
        <v>4300</v>
      </c>
    </row>
    <row r="99" spans="1:6" ht="11.25" customHeight="1">
      <c r="A99" s="458" t="s">
        <v>346</v>
      </c>
      <c r="B99" s="562">
        <v>29</v>
      </c>
      <c r="C99" s="563" t="s">
        <v>1410</v>
      </c>
      <c r="D99" s="501">
        <v>50000</v>
      </c>
      <c r="E99" s="460" t="s">
        <v>954</v>
      </c>
      <c r="F99" s="461">
        <v>29</v>
      </c>
    </row>
    <row r="100" spans="1:6" ht="11.25" customHeight="1">
      <c r="A100" s="458" t="s">
        <v>347</v>
      </c>
      <c r="B100" s="562">
        <v>2.1</v>
      </c>
      <c r="C100" s="563" t="s">
        <v>1410</v>
      </c>
      <c r="D100" s="501">
        <v>50000</v>
      </c>
      <c r="E100" s="460" t="s">
        <v>954</v>
      </c>
      <c r="F100" s="461">
        <v>2.1</v>
      </c>
    </row>
    <row r="101" spans="1:6" ht="11.25" customHeight="1">
      <c r="A101" s="458" t="s">
        <v>348</v>
      </c>
      <c r="B101" s="562">
        <v>0.7</v>
      </c>
      <c r="C101" s="563" t="s">
        <v>1410</v>
      </c>
      <c r="D101" s="501">
        <v>50</v>
      </c>
      <c r="E101" s="460" t="s">
        <v>954</v>
      </c>
      <c r="F101" s="461">
        <v>0.7</v>
      </c>
    </row>
    <row r="102" spans="1:6" ht="11.25" customHeight="1">
      <c r="A102" s="458" t="s">
        <v>350</v>
      </c>
      <c r="B102" s="562">
        <v>50000</v>
      </c>
      <c r="C102" s="563" t="s">
        <v>270</v>
      </c>
      <c r="D102" s="501">
        <v>50000</v>
      </c>
      <c r="E102" s="460">
        <v>223000000</v>
      </c>
      <c r="F102" s="461">
        <v>200000</v>
      </c>
    </row>
    <row r="103" spans="1:6" ht="11.25" customHeight="1">
      <c r="A103" s="458" t="s">
        <v>351</v>
      </c>
      <c r="B103" s="562">
        <v>2200</v>
      </c>
      <c r="C103" s="563" t="s">
        <v>1410</v>
      </c>
      <c r="D103" s="501">
        <v>13000</v>
      </c>
      <c r="E103" s="460">
        <v>19000000</v>
      </c>
      <c r="F103" s="461">
        <v>2200</v>
      </c>
    </row>
    <row r="104" spans="1:6" ht="11.25" customHeight="1">
      <c r="A104" s="458" t="s">
        <v>352</v>
      </c>
      <c r="B104" s="562">
        <v>9.9000000000000005E-2</v>
      </c>
      <c r="C104" s="563" t="s">
        <v>1410</v>
      </c>
      <c r="D104" s="501">
        <v>50000</v>
      </c>
      <c r="E104" s="460" t="s">
        <v>954</v>
      </c>
      <c r="F104" s="461">
        <v>9.9000000000000005E-2</v>
      </c>
    </row>
    <row r="105" spans="1:6" ht="11.25" customHeight="1">
      <c r="A105" s="458" t="s">
        <v>353</v>
      </c>
      <c r="B105" s="562">
        <v>1800</v>
      </c>
      <c r="C105" s="563" t="s">
        <v>270</v>
      </c>
      <c r="D105" s="501">
        <v>1800</v>
      </c>
      <c r="E105" s="460">
        <v>31043.943756596891</v>
      </c>
      <c r="F105" s="461">
        <v>6500</v>
      </c>
    </row>
    <row r="106" spans="1:6" ht="11.25" customHeight="1">
      <c r="A106" s="458" t="s">
        <v>349</v>
      </c>
      <c r="B106" s="562">
        <v>8500</v>
      </c>
      <c r="C106" s="563" t="s">
        <v>1410</v>
      </c>
      <c r="D106" s="501">
        <v>50000</v>
      </c>
      <c r="E106" s="460">
        <v>76060.351513941452</v>
      </c>
      <c r="F106" s="461">
        <v>8500</v>
      </c>
    </row>
    <row r="107" spans="1:6" ht="11.25" customHeight="1">
      <c r="A107" s="458" t="s">
        <v>590</v>
      </c>
      <c r="B107" s="562">
        <v>37</v>
      </c>
      <c r="C107" s="563" t="s">
        <v>1410</v>
      </c>
      <c r="D107" s="501">
        <v>100</v>
      </c>
      <c r="E107" s="460">
        <v>25800</v>
      </c>
      <c r="F107" s="461">
        <v>37</v>
      </c>
    </row>
    <row r="108" spans="1:6" ht="11.25" customHeight="1">
      <c r="A108" s="458" t="s">
        <v>591</v>
      </c>
      <c r="B108" s="562">
        <v>42</v>
      </c>
      <c r="C108" s="563" t="s">
        <v>1410</v>
      </c>
      <c r="D108" s="501">
        <v>100</v>
      </c>
      <c r="E108" s="460">
        <v>24600</v>
      </c>
      <c r="F108" s="461">
        <v>42</v>
      </c>
    </row>
    <row r="109" spans="1:6" ht="11.25" customHeight="1">
      <c r="A109" s="458" t="s">
        <v>465</v>
      </c>
      <c r="B109" s="562">
        <v>7200</v>
      </c>
      <c r="C109" s="563" t="s">
        <v>1410</v>
      </c>
      <c r="D109" s="501">
        <v>50000</v>
      </c>
      <c r="E109" s="460" t="s">
        <v>954</v>
      </c>
      <c r="F109" s="461">
        <v>7200</v>
      </c>
    </row>
    <row r="110" spans="1:6" ht="11.25" customHeight="1">
      <c r="A110" s="458" t="s">
        <v>466</v>
      </c>
      <c r="B110" s="562">
        <v>210</v>
      </c>
      <c r="C110" s="563" t="s">
        <v>270</v>
      </c>
      <c r="D110" s="501">
        <v>210</v>
      </c>
      <c r="E110" s="460">
        <v>28777.562790660297</v>
      </c>
      <c r="F110" s="461">
        <v>770</v>
      </c>
    </row>
    <row r="111" spans="1:6" ht="11.25" customHeight="1">
      <c r="A111" s="458" t="s">
        <v>812</v>
      </c>
      <c r="B111" s="562">
        <v>5</v>
      </c>
      <c r="C111" s="563" t="s">
        <v>1410</v>
      </c>
      <c r="D111" s="501">
        <v>50000</v>
      </c>
      <c r="E111" s="460" t="s">
        <v>954</v>
      </c>
      <c r="F111" s="461">
        <v>5</v>
      </c>
    </row>
    <row r="112" spans="1:6" ht="11.25" customHeight="1">
      <c r="A112" s="462" t="s">
        <v>106</v>
      </c>
      <c r="B112" s="562">
        <v>2000</v>
      </c>
      <c r="C112" s="563" t="s">
        <v>1410</v>
      </c>
      <c r="D112" s="501">
        <v>50000</v>
      </c>
      <c r="E112" s="460" t="s">
        <v>1394</v>
      </c>
      <c r="F112" s="461">
        <v>2000</v>
      </c>
    </row>
    <row r="113" spans="1:6" ht="11.25" customHeight="1">
      <c r="A113" s="462" t="s">
        <v>107</v>
      </c>
      <c r="B113" s="562">
        <v>160</v>
      </c>
      <c r="C113" s="563" t="s">
        <v>1410</v>
      </c>
      <c r="D113" s="501">
        <v>50000</v>
      </c>
      <c r="E113" s="460" t="s">
        <v>954</v>
      </c>
      <c r="F113" s="461">
        <v>160</v>
      </c>
    </row>
    <row r="114" spans="1:6" ht="11.25" customHeight="1">
      <c r="A114" s="462" t="s">
        <v>108</v>
      </c>
      <c r="B114" s="562">
        <v>640</v>
      </c>
      <c r="C114" s="563" t="s">
        <v>1410</v>
      </c>
      <c r="D114" s="501">
        <v>50000</v>
      </c>
      <c r="E114" s="460" t="s">
        <v>1394</v>
      </c>
      <c r="F114" s="461">
        <v>640</v>
      </c>
    </row>
    <row r="115" spans="1:6" ht="11.25" customHeight="1">
      <c r="A115" s="462" t="s">
        <v>109</v>
      </c>
      <c r="B115" s="562">
        <v>380</v>
      </c>
      <c r="C115" s="563" t="s">
        <v>1410</v>
      </c>
      <c r="D115" s="501">
        <v>50000</v>
      </c>
      <c r="E115" s="460" t="s">
        <v>954</v>
      </c>
      <c r="F115" s="461">
        <v>380</v>
      </c>
    </row>
    <row r="116" spans="1:6" ht="11.25" customHeight="1">
      <c r="A116" s="462" t="s">
        <v>110</v>
      </c>
      <c r="B116" s="562">
        <v>410</v>
      </c>
      <c r="C116" s="563" t="s">
        <v>1410</v>
      </c>
      <c r="D116" s="501">
        <v>50000</v>
      </c>
      <c r="E116" s="460" t="s">
        <v>954</v>
      </c>
      <c r="F116" s="461">
        <v>410</v>
      </c>
    </row>
    <row r="117" spans="1:6" ht="11.25" customHeight="1">
      <c r="A117" s="458" t="s">
        <v>467</v>
      </c>
      <c r="B117" s="562">
        <v>13</v>
      </c>
      <c r="C117" s="563" t="s">
        <v>1410</v>
      </c>
      <c r="D117" s="501">
        <v>5900</v>
      </c>
      <c r="E117" s="460" t="s">
        <v>954</v>
      </c>
      <c r="F117" s="461">
        <v>13</v>
      </c>
    </row>
    <row r="118" spans="1:6" ht="11.25" customHeight="1">
      <c r="A118" s="462" t="s">
        <v>111</v>
      </c>
      <c r="B118" s="562">
        <v>21500</v>
      </c>
      <c r="C118" s="563" t="s">
        <v>270</v>
      </c>
      <c r="D118" s="501">
        <v>21500</v>
      </c>
      <c r="E118" s="460" t="s">
        <v>954</v>
      </c>
      <c r="F118" s="461">
        <v>850000</v>
      </c>
    </row>
    <row r="119" spans="1:6" ht="11.25" customHeight="1">
      <c r="A119" s="458" t="s">
        <v>231</v>
      </c>
      <c r="B119" s="562">
        <v>5000</v>
      </c>
      <c r="C119" s="563" t="s">
        <v>1410</v>
      </c>
      <c r="D119" s="501">
        <v>50000</v>
      </c>
      <c r="E119" s="460" t="s">
        <v>954</v>
      </c>
      <c r="F119" s="461">
        <v>5000</v>
      </c>
    </row>
    <row r="120" spans="1:6" ht="11.25" customHeight="1">
      <c r="A120" s="458" t="s">
        <v>468</v>
      </c>
      <c r="B120" s="562">
        <v>300</v>
      </c>
      <c r="C120" s="563" t="s">
        <v>1410</v>
      </c>
      <c r="D120" s="501">
        <v>408</v>
      </c>
      <c r="E120" s="460" t="s">
        <v>1394</v>
      </c>
      <c r="F120" s="461">
        <v>300</v>
      </c>
    </row>
    <row r="121" spans="1:6" ht="11.25" customHeight="1">
      <c r="A121" s="458" t="s">
        <v>469</v>
      </c>
      <c r="B121" s="562">
        <v>300</v>
      </c>
      <c r="C121" s="563" t="s">
        <v>1410</v>
      </c>
      <c r="D121" s="501">
        <v>50000</v>
      </c>
      <c r="E121" s="460" t="s">
        <v>954</v>
      </c>
      <c r="F121" s="461">
        <v>300</v>
      </c>
    </row>
    <row r="122" spans="1:6" ht="11.25" customHeight="1">
      <c r="A122" s="458" t="s">
        <v>365</v>
      </c>
      <c r="B122" s="562">
        <v>2</v>
      </c>
      <c r="C122" s="563" t="s">
        <v>1410</v>
      </c>
      <c r="D122" s="501">
        <v>21.5</v>
      </c>
      <c r="E122" s="460" t="s">
        <v>954</v>
      </c>
      <c r="F122" s="461">
        <v>2</v>
      </c>
    </row>
    <row r="123" spans="1:6" ht="11.25" customHeight="1">
      <c r="A123" s="458" t="s">
        <v>112</v>
      </c>
      <c r="B123" s="562">
        <v>425</v>
      </c>
      <c r="C123" s="563" t="s">
        <v>1410</v>
      </c>
      <c r="D123" s="501">
        <v>50000</v>
      </c>
      <c r="E123" s="460" t="s">
        <v>954</v>
      </c>
      <c r="F123" s="461">
        <v>425</v>
      </c>
    </row>
    <row r="124" spans="1:6" ht="11.25" customHeight="1">
      <c r="A124" s="458" t="s">
        <v>470</v>
      </c>
      <c r="B124" s="562">
        <v>67.5</v>
      </c>
      <c r="C124" s="563" t="s">
        <v>270</v>
      </c>
      <c r="D124" s="501">
        <v>67.5</v>
      </c>
      <c r="E124" s="460">
        <v>135</v>
      </c>
      <c r="F124" s="461">
        <v>300</v>
      </c>
    </row>
    <row r="125" spans="1:6" ht="11.25" customHeight="1">
      <c r="A125" s="458" t="s">
        <v>471</v>
      </c>
      <c r="B125" s="562">
        <v>20</v>
      </c>
      <c r="C125" s="563" t="s">
        <v>1410</v>
      </c>
      <c r="D125" s="501">
        <v>50000</v>
      </c>
      <c r="E125" s="460" t="s">
        <v>954</v>
      </c>
      <c r="F125" s="461">
        <v>20</v>
      </c>
    </row>
    <row r="126" spans="1:6" ht="11.25" customHeight="1">
      <c r="A126" s="458" t="s">
        <v>813</v>
      </c>
      <c r="B126" s="562">
        <v>1</v>
      </c>
      <c r="C126" s="563" t="s">
        <v>1410</v>
      </c>
      <c r="D126" s="501">
        <v>50000</v>
      </c>
      <c r="E126" s="460" t="s">
        <v>954</v>
      </c>
      <c r="F126" s="461">
        <v>1</v>
      </c>
    </row>
    <row r="127" spans="1:6" ht="11.25" customHeight="1">
      <c r="A127" s="458" t="s">
        <v>113</v>
      </c>
      <c r="B127" s="562">
        <v>80</v>
      </c>
      <c r="C127" s="563" t="s">
        <v>1410</v>
      </c>
      <c r="D127" s="501">
        <v>3100</v>
      </c>
      <c r="E127" s="460" t="s">
        <v>954</v>
      </c>
      <c r="F127" s="461">
        <v>80</v>
      </c>
    </row>
    <row r="128" spans="1:6" ht="11.25" customHeight="1">
      <c r="A128" s="458" t="s">
        <v>472</v>
      </c>
      <c r="B128" s="562">
        <v>110</v>
      </c>
      <c r="C128" s="563" t="s">
        <v>270</v>
      </c>
      <c r="D128" s="501">
        <v>110</v>
      </c>
      <c r="E128" s="460">
        <v>310000</v>
      </c>
      <c r="F128" s="461">
        <v>290</v>
      </c>
    </row>
    <row r="129" spans="1:6" ht="11.25" customHeight="1">
      <c r="A129" s="458" t="s">
        <v>114</v>
      </c>
      <c r="B129" s="562">
        <v>251.31929956026045</v>
      </c>
      <c r="C129" s="563" t="s">
        <v>1410</v>
      </c>
      <c r="D129" s="501">
        <v>50000</v>
      </c>
      <c r="E129" s="460" t="s">
        <v>954</v>
      </c>
      <c r="F129" s="461">
        <v>251.31929956026045</v>
      </c>
    </row>
    <row r="130" spans="1:6" ht="11.25" customHeight="1">
      <c r="A130" s="458" t="s">
        <v>19</v>
      </c>
      <c r="B130" s="562">
        <v>50000</v>
      </c>
      <c r="C130" s="563" t="s">
        <v>270</v>
      </c>
      <c r="D130" s="501">
        <v>50000</v>
      </c>
      <c r="E130" s="460" t="s">
        <v>1394</v>
      </c>
      <c r="F130" s="461">
        <v>180000</v>
      </c>
    </row>
    <row r="131" spans="1:6" ht="11.25" customHeight="1">
      <c r="A131" s="458" t="s">
        <v>473</v>
      </c>
      <c r="B131" s="562">
        <v>770</v>
      </c>
      <c r="C131" s="563" t="s">
        <v>1410</v>
      </c>
      <c r="D131" s="501">
        <v>50000</v>
      </c>
      <c r="E131" s="460" t="s">
        <v>1394</v>
      </c>
      <c r="F131" s="461">
        <v>770</v>
      </c>
    </row>
    <row r="132" spans="1:6" ht="11.25" customHeight="1">
      <c r="A132" s="458" t="s">
        <v>474</v>
      </c>
      <c r="B132" s="562">
        <v>240.39246728311088</v>
      </c>
      <c r="C132" s="563" t="s">
        <v>673</v>
      </c>
      <c r="D132" s="501">
        <v>5000</v>
      </c>
      <c r="E132" s="460">
        <v>240.39246728311088</v>
      </c>
      <c r="F132" s="461">
        <v>910</v>
      </c>
    </row>
    <row r="133" spans="1:6" ht="11.25" customHeight="1">
      <c r="A133" s="458" t="s">
        <v>475</v>
      </c>
      <c r="B133" s="562">
        <v>194.19961168935555</v>
      </c>
      <c r="C133" s="563" t="s">
        <v>673</v>
      </c>
      <c r="D133" s="501">
        <v>3000</v>
      </c>
      <c r="E133" s="460">
        <v>194.19961168935555</v>
      </c>
      <c r="F133" s="461">
        <v>1800</v>
      </c>
    </row>
    <row r="134" spans="1:6" ht="11.25" customHeight="1">
      <c r="A134" s="458" t="s">
        <v>115</v>
      </c>
      <c r="B134" s="562">
        <v>11</v>
      </c>
      <c r="C134" s="563" t="s">
        <v>1410</v>
      </c>
      <c r="D134" s="501">
        <v>11500</v>
      </c>
      <c r="E134" s="460" t="s">
        <v>954</v>
      </c>
      <c r="F134" s="461">
        <v>11</v>
      </c>
    </row>
    <row r="135" spans="1:6" ht="11.25" customHeight="1">
      <c r="A135" s="462" t="s">
        <v>116</v>
      </c>
      <c r="B135" s="562">
        <v>1200</v>
      </c>
      <c r="C135" s="563" t="s">
        <v>1410</v>
      </c>
      <c r="D135" s="501">
        <v>2500</v>
      </c>
      <c r="E135" s="460" t="s">
        <v>954</v>
      </c>
      <c r="F135" s="461">
        <v>1200</v>
      </c>
    </row>
    <row r="136" spans="1:6" ht="11.25" customHeight="1">
      <c r="A136" s="458" t="s">
        <v>476</v>
      </c>
      <c r="B136" s="562">
        <v>470</v>
      </c>
      <c r="C136" s="563" t="s">
        <v>1410</v>
      </c>
      <c r="D136" s="501">
        <v>50000</v>
      </c>
      <c r="E136" s="460" t="s">
        <v>954</v>
      </c>
      <c r="F136" s="461">
        <v>470</v>
      </c>
    </row>
    <row r="137" spans="1:6" ht="11.25" customHeight="1">
      <c r="A137" s="458" t="s">
        <v>366</v>
      </c>
      <c r="B137" s="562">
        <v>400</v>
      </c>
      <c r="C137" s="563" t="s">
        <v>270</v>
      </c>
      <c r="D137" s="501">
        <v>400</v>
      </c>
      <c r="E137" s="460">
        <v>526000</v>
      </c>
      <c r="F137" s="461">
        <v>2100</v>
      </c>
    </row>
    <row r="138" spans="1:6" ht="11.25" customHeight="1">
      <c r="A138" s="458" t="s">
        <v>20</v>
      </c>
      <c r="B138" s="562">
        <v>0.21</v>
      </c>
      <c r="C138" s="563" t="s">
        <v>1410</v>
      </c>
      <c r="D138" s="501">
        <v>140</v>
      </c>
      <c r="E138" s="460" t="s">
        <v>954</v>
      </c>
      <c r="F138" s="461">
        <v>0.21</v>
      </c>
    </row>
    <row r="139" spans="1:6" ht="11.25" customHeight="1">
      <c r="A139" s="458" t="s">
        <v>57</v>
      </c>
      <c r="B139" s="562">
        <v>5000</v>
      </c>
      <c r="C139" s="563" t="s">
        <v>1410</v>
      </c>
      <c r="D139" s="501">
        <v>5000</v>
      </c>
      <c r="E139" s="460" t="s">
        <v>1394</v>
      </c>
      <c r="F139" s="461">
        <v>5000</v>
      </c>
    </row>
    <row r="140" spans="1:6" ht="11.25" customHeight="1">
      <c r="A140" s="458" t="s">
        <v>56</v>
      </c>
      <c r="B140" s="562">
        <v>2500</v>
      </c>
      <c r="C140" s="563" t="s">
        <v>1410</v>
      </c>
      <c r="D140" s="501">
        <v>5000</v>
      </c>
      <c r="E140" s="460" t="s">
        <v>1394</v>
      </c>
      <c r="F140" s="461">
        <v>2500</v>
      </c>
    </row>
    <row r="141" spans="1:6" ht="11.25" customHeight="1">
      <c r="A141" s="458" t="s">
        <v>777</v>
      </c>
      <c r="B141" s="562">
        <v>2500</v>
      </c>
      <c r="C141" s="563" t="s">
        <v>1410</v>
      </c>
      <c r="D141" s="501">
        <v>5000</v>
      </c>
      <c r="E141" s="460" t="s">
        <v>954</v>
      </c>
      <c r="F141" s="461">
        <v>2500</v>
      </c>
    </row>
    <row r="142" spans="1:6" ht="11.25" customHeight="1">
      <c r="A142" s="458" t="s">
        <v>814</v>
      </c>
      <c r="B142" s="562">
        <v>420</v>
      </c>
      <c r="C142" s="563" t="s">
        <v>1410</v>
      </c>
      <c r="D142" s="501">
        <v>24500</v>
      </c>
      <c r="E142" s="460">
        <v>1264.7163081734013</v>
      </c>
      <c r="F142" s="461">
        <v>420</v>
      </c>
    </row>
    <row r="143" spans="1:6" ht="11.25" customHeight="1">
      <c r="A143" s="458" t="s">
        <v>815</v>
      </c>
      <c r="B143" s="562">
        <v>6000</v>
      </c>
      <c r="C143" s="563" t="s">
        <v>1410</v>
      </c>
      <c r="D143" s="501">
        <v>50000</v>
      </c>
      <c r="E143" s="460">
        <v>340449.97663418204</v>
      </c>
      <c r="F143" s="461">
        <v>6000</v>
      </c>
    </row>
    <row r="144" spans="1:6" ht="11.25" customHeight="1">
      <c r="A144" s="458" t="s">
        <v>477</v>
      </c>
      <c r="B144" s="562">
        <v>106.62958207144922</v>
      </c>
      <c r="C144" s="563" t="s">
        <v>673</v>
      </c>
      <c r="D144" s="501">
        <v>50000</v>
      </c>
      <c r="E144" s="460">
        <v>106.62958207144922</v>
      </c>
      <c r="F144" s="461">
        <v>5200</v>
      </c>
    </row>
    <row r="145" spans="1:6" ht="11.25" customHeight="1">
      <c r="A145" s="458" t="s">
        <v>478</v>
      </c>
      <c r="B145" s="562">
        <v>208.89003096783017</v>
      </c>
      <c r="C145" s="563" t="s">
        <v>673</v>
      </c>
      <c r="D145" s="501">
        <v>50000</v>
      </c>
      <c r="E145" s="460">
        <v>208.89003096783017</v>
      </c>
      <c r="F145" s="461">
        <v>700</v>
      </c>
    </row>
    <row r="146" spans="1:6" ht="11.25" customHeight="1">
      <c r="A146" s="458" t="s">
        <v>479</v>
      </c>
      <c r="B146" s="562">
        <v>17</v>
      </c>
      <c r="C146" s="563" t="s">
        <v>1410</v>
      </c>
      <c r="D146" s="501">
        <v>2000</v>
      </c>
      <c r="E146" s="460" t="s">
        <v>954</v>
      </c>
      <c r="F146" s="461">
        <v>17</v>
      </c>
    </row>
    <row r="147" spans="1:6" ht="11.25" customHeight="1">
      <c r="A147" s="458" t="s">
        <v>480</v>
      </c>
      <c r="B147" s="562">
        <v>39</v>
      </c>
      <c r="C147" s="563" t="s">
        <v>1410</v>
      </c>
      <c r="D147" s="501">
        <v>1000</v>
      </c>
      <c r="E147" s="460" t="s">
        <v>954</v>
      </c>
      <c r="F147" s="461">
        <v>39</v>
      </c>
    </row>
    <row r="148" spans="1:6" ht="11.25" customHeight="1">
      <c r="A148" s="462" t="s">
        <v>117</v>
      </c>
      <c r="B148" s="562">
        <v>686</v>
      </c>
      <c r="C148" s="563" t="s">
        <v>1410</v>
      </c>
      <c r="D148" s="501">
        <v>50000</v>
      </c>
      <c r="E148" s="460" t="s">
        <v>954</v>
      </c>
      <c r="F148" s="461">
        <v>686</v>
      </c>
    </row>
    <row r="149" spans="1:6" ht="11.25" customHeight="1">
      <c r="A149" s="458" t="s">
        <v>118</v>
      </c>
      <c r="B149" s="562">
        <v>270</v>
      </c>
      <c r="C149" s="563" t="s">
        <v>1410</v>
      </c>
      <c r="D149" s="501">
        <v>35500</v>
      </c>
      <c r="E149" s="460" t="s">
        <v>954</v>
      </c>
      <c r="F149" s="461">
        <v>270</v>
      </c>
    </row>
    <row r="150" spans="1:6" ht="11.25" customHeight="1">
      <c r="A150" s="458" t="s">
        <v>119</v>
      </c>
      <c r="B150" s="562">
        <v>140</v>
      </c>
      <c r="C150" s="563" t="s">
        <v>1410</v>
      </c>
      <c r="D150" s="501">
        <v>50000</v>
      </c>
      <c r="E150" s="460" t="s">
        <v>1394</v>
      </c>
      <c r="F150" s="461">
        <v>140</v>
      </c>
    </row>
    <row r="151" spans="1:6" ht="11.25" customHeight="1">
      <c r="A151" s="458" t="s">
        <v>120</v>
      </c>
      <c r="B151" s="562">
        <v>3.3315808860737541</v>
      </c>
      <c r="C151" s="563" t="s">
        <v>1410</v>
      </c>
      <c r="D151" s="501">
        <v>50000</v>
      </c>
      <c r="E151" s="460" t="s">
        <v>1394</v>
      </c>
      <c r="F151" s="461">
        <v>3.3315808860737541</v>
      </c>
    </row>
    <row r="152" spans="1:6" ht="11.25" customHeight="1">
      <c r="A152" s="458" t="s">
        <v>602</v>
      </c>
      <c r="B152" s="562">
        <v>20.5</v>
      </c>
      <c r="C152" s="563" t="s">
        <v>1410</v>
      </c>
      <c r="D152" s="501">
        <v>90</v>
      </c>
      <c r="E152" s="460" t="s">
        <v>954</v>
      </c>
      <c r="F152" s="461">
        <v>20.5</v>
      </c>
    </row>
    <row r="153" spans="1:6" ht="11.25" customHeight="1">
      <c r="A153" s="462" t="s">
        <v>939</v>
      </c>
      <c r="B153" s="562">
        <v>27</v>
      </c>
      <c r="C153" s="563" t="s">
        <v>1410</v>
      </c>
      <c r="D153" s="501">
        <v>50000</v>
      </c>
      <c r="E153" s="460" t="s">
        <v>954</v>
      </c>
      <c r="F153" s="461">
        <v>27</v>
      </c>
    </row>
    <row r="154" spans="1:6" ht="11.25" customHeight="1">
      <c r="A154" s="462" t="s">
        <v>603</v>
      </c>
      <c r="B154" s="562">
        <v>39.469382156875795</v>
      </c>
      <c r="C154" s="563" t="s">
        <v>1410</v>
      </c>
      <c r="D154" s="501">
        <v>37000</v>
      </c>
      <c r="E154" s="460" t="s">
        <v>954</v>
      </c>
      <c r="F154" s="461">
        <v>39.469382156875795</v>
      </c>
    </row>
    <row r="155" spans="1:6" ht="11.25" customHeight="1">
      <c r="A155" s="462" t="s">
        <v>605</v>
      </c>
      <c r="B155" s="562">
        <v>210</v>
      </c>
      <c r="C155" s="563" t="s">
        <v>1410</v>
      </c>
      <c r="D155" s="501">
        <v>50000</v>
      </c>
      <c r="E155" s="460" t="s">
        <v>954</v>
      </c>
      <c r="F155" s="461">
        <v>210</v>
      </c>
    </row>
    <row r="156" spans="1:6" ht="11.25" customHeight="1">
      <c r="A156" s="458" t="s">
        <v>481</v>
      </c>
      <c r="B156" s="562">
        <v>90</v>
      </c>
      <c r="C156" s="563" t="s">
        <v>1410</v>
      </c>
      <c r="D156" s="501">
        <v>50000</v>
      </c>
      <c r="E156" s="460" t="s">
        <v>954</v>
      </c>
      <c r="F156" s="461">
        <v>90</v>
      </c>
    </row>
    <row r="157" spans="1:6" ht="11.25" customHeight="1">
      <c r="A157" s="458" t="s">
        <v>482</v>
      </c>
      <c r="B157" s="562">
        <v>18.496958233562776</v>
      </c>
      <c r="C157" s="563" t="s">
        <v>673</v>
      </c>
      <c r="D157" s="501">
        <v>34000</v>
      </c>
      <c r="E157" s="460">
        <v>18.496958233562776</v>
      </c>
      <c r="F157" s="461">
        <v>8400</v>
      </c>
    </row>
    <row r="158" spans="1:6" ht="11.25" customHeight="1">
      <c r="A158" s="458" t="s">
        <v>483</v>
      </c>
      <c r="B158" s="562">
        <v>230</v>
      </c>
      <c r="C158" s="563" t="s">
        <v>1410</v>
      </c>
      <c r="D158" s="501">
        <v>5300</v>
      </c>
      <c r="E158" s="460">
        <v>106000</v>
      </c>
      <c r="F158" s="461">
        <v>230</v>
      </c>
    </row>
    <row r="159" spans="1:6" ht="11.25" customHeight="1" thickBot="1">
      <c r="A159" s="516" t="s">
        <v>484</v>
      </c>
      <c r="B159" s="572">
        <v>22</v>
      </c>
      <c r="C159" s="705" t="s">
        <v>1410</v>
      </c>
      <c r="D159" s="627">
        <v>50000</v>
      </c>
      <c r="E159" s="468" t="s">
        <v>954</v>
      </c>
      <c r="F159" s="469">
        <v>22</v>
      </c>
    </row>
    <row r="160" spans="1:6" ht="11.25" customHeight="1" thickTop="1">
      <c r="A160" s="474" t="s">
        <v>488</v>
      </c>
      <c r="F160" s="476"/>
    </row>
    <row r="161" spans="1:6" ht="11.25" customHeight="1">
      <c r="A161" s="474" t="s">
        <v>262</v>
      </c>
      <c r="F161" s="476"/>
    </row>
    <row r="162" spans="1:6" ht="11.25" customHeight="1">
      <c r="A162" s="474" t="s">
        <v>394</v>
      </c>
      <c r="F162" s="476"/>
    </row>
    <row r="163" spans="1:6" ht="11.25" customHeight="1">
      <c r="A163" s="474"/>
      <c r="F163" s="476"/>
    </row>
    <row r="164" spans="1:6" ht="11.25" customHeight="1">
      <c r="A164" s="479" t="s">
        <v>778</v>
      </c>
      <c r="F164" s="476"/>
    </row>
    <row r="165" spans="1:6" ht="11.25" customHeight="1">
      <c r="A165" s="479" t="s">
        <v>258</v>
      </c>
      <c r="F165" s="476"/>
    </row>
    <row r="166" spans="1:6" ht="11.25" customHeight="1">
      <c r="A166" s="479" t="s">
        <v>776</v>
      </c>
      <c r="F166" s="476"/>
    </row>
    <row r="167" spans="1:6" ht="11.25" customHeight="1">
      <c r="A167" s="479" t="s">
        <v>284</v>
      </c>
      <c r="F167" s="476"/>
    </row>
    <row r="168" spans="1:6" ht="11.25" customHeight="1">
      <c r="A168" s="479" t="s">
        <v>1079</v>
      </c>
      <c r="F168" s="476"/>
    </row>
    <row r="169" spans="1:6" ht="11.25" customHeight="1">
      <c r="A169" s="479" t="s">
        <v>260</v>
      </c>
      <c r="F169" s="476"/>
    </row>
    <row r="170" spans="1:6" ht="11.25" customHeight="1">
      <c r="A170" s="479" t="s">
        <v>1080</v>
      </c>
      <c r="F170" s="476"/>
    </row>
    <row r="171" spans="1:6" ht="11.25" customHeight="1">
      <c r="A171" s="479" t="s">
        <v>1161</v>
      </c>
      <c r="F171" s="476"/>
    </row>
    <row r="172" spans="1:6" ht="11.25" customHeight="1">
      <c r="A172" s="479" t="s">
        <v>758</v>
      </c>
      <c r="F172" s="476"/>
    </row>
    <row r="173" spans="1:6" ht="11.25" customHeight="1" thickBot="1">
      <c r="A173" s="706" t="s">
        <v>261</v>
      </c>
      <c r="B173" s="663"/>
      <c r="C173" s="579"/>
      <c r="D173" s="663"/>
      <c r="E173" s="663"/>
      <c r="F173" s="664"/>
    </row>
    <row r="174" spans="1:6" ht="10.5" thickTop="1"/>
  </sheetData>
  <sheetProtection algorithmName="SHA-512" hashValue="WsZp612zonX/naolZWWMQ9AiWmjQ7WiIZ9tIOTW0qjdCGCXzs/F6M/LCZZS8LFEYQVWfkZoc5ds3qPsrMndXfQ==" saltValue="p4h6fgIdvSApJ/ZtTIvuog==" spinCount="100000" sheet="1" objects="1" scenarios="1"/>
  <mergeCells count="3">
    <mergeCell ref="A1:F1"/>
    <mergeCell ref="A4:A5"/>
    <mergeCell ref="B4:B5"/>
  </mergeCells>
  <phoneticPr fontId="18" type="noConversion"/>
  <printOptions horizontalCentered="1"/>
  <pageMargins left="0.75" right="0.75" top="0.54" bottom="1" header="0.5" footer="0.5"/>
  <pageSetup scale="78" fitToHeight="4" orientation="landscape" r:id="rId1"/>
  <headerFooter alignWithMargins="0">
    <oddFooter>&amp;LHawai'i DOH
Spring 2024&amp;CPage &amp;P of &amp;N&amp;R&amp;A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29"/>
    <pageSetUpPr fitToPage="1"/>
  </sheetPr>
  <dimension ref="A1:G168"/>
  <sheetViews>
    <sheetView zoomScaleNormal="100" workbookViewId="0">
      <pane ySplit="2925" topLeftCell="A6" activePane="bottomLeft"/>
      <selection activeCell="B7" sqref="B7"/>
      <selection pane="bottomLeft" activeCell="B12" sqref="B12"/>
    </sheetView>
  </sheetViews>
  <sheetFormatPr defaultColWidth="9.1328125" defaultRowHeight="10.15"/>
  <cols>
    <col min="1" max="1" width="40.73046875" style="1" customWidth="1"/>
    <col min="2" max="2" width="12.73046875" style="475" customWidth="1"/>
    <col min="3" max="3" width="27.73046875" style="609" customWidth="1"/>
    <col min="4" max="6" width="12.73046875" style="475" customWidth="1"/>
    <col min="7" max="7" width="14.73046875" style="481" customWidth="1"/>
    <col min="8" max="16384" width="9.1328125" style="1"/>
  </cols>
  <sheetData>
    <row r="1" spans="1:7" s="510" customFormat="1" ht="30" customHeight="1">
      <c r="A1" s="1430" t="s">
        <v>155</v>
      </c>
      <c r="B1" s="1431"/>
      <c r="C1" s="1431"/>
      <c r="D1" s="1431"/>
      <c r="E1" s="1431"/>
      <c r="F1" s="1431"/>
      <c r="G1" s="1431"/>
    </row>
    <row r="2" spans="1:7" s="510" customFormat="1" ht="13.9">
      <c r="A2" s="693" t="s">
        <v>30</v>
      </c>
      <c r="B2" s="530"/>
      <c r="C2" s="530"/>
      <c r="D2" s="530"/>
      <c r="E2" s="530"/>
      <c r="F2" s="530"/>
      <c r="G2" s="444"/>
    </row>
    <row r="3" spans="1:7" s="510" customFormat="1" ht="10.5" thickBot="1">
      <c r="A3" s="694"/>
      <c r="B3" s="530"/>
      <c r="C3" s="695"/>
      <c r="D3" s="530"/>
      <c r="E3" s="530"/>
      <c r="F3" s="530"/>
      <c r="G3" s="481"/>
    </row>
    <row r="4" spans="1:7" s="510" customFormat="1" ht="60.75" customHeight="1" thickTop="1">
      <c r="A4" s="526"/>
      <c r="B4" s="1436" t="s">
        <v>152</v>
      </c>
      <c r="C4" s="709"/>
      <c r="D4" s="710" t="s">
        <v>256</v>
      </c>
      <c r="E4" s="698" t="s">
        <v>610</v>
      </c>
      <c r="F4" s="711" t="s">
        <v>716</v>
      </c>
      <c r="G4" s="712" t="s">
        <v>599</v>
      </c>
    </row>
    <row r="5" spans="1:7" s="510" customFormat="1" ht="15.75" customHeight="1" thickBot="1">
      <c r="A5" s="713" t="s">
        <v>232</v>
      </c>
      <c r="B5" s="1437"/>
      <c r="C5" s="714" t="s">
        <v>485</v>
      </c>
      <c r="D5" s="702" t="s">
        <v>587</v>
      </c>
      <c r="E5" s="553" t="s">
        <v>808</v>
      </c>
      <c r="F5" s="715" t="s">
        <v>403</v>
      </c>
      <c r="G5" s="716" t="s">
        <v>44</v>
      </c>
    </row>
    <row r="6" spans="1:7" s="510" customFormat="1" ht="11.25" customHeight="1">
      <c r="A6" s="454" t="s">
        <v>548</v>
      </c>
      <c r="B6" s="498">
        <v>15</v>
      </c>
      <c r="C6" s="717" t="s">
        <v>1411</v>
      </c>
      <c r="D6" s="559">
        <v>20</v>
      </c>
      <c r="E6" s="559">
        <v>440.71710632991795</v>
      </c>
      <c r="F6" s="718">
        <v>15</v>
      </c>
      <c r="G6" s="590">
        <v>990</v>
      </c>
    </row>
    <row r="7" spans="1:7" s="510" customFormat="1" ht="11.25" customHeight="1">
      <c r="A7" s="458" t="s">
        <v>549</v>
      </c>
      <c r="B7" s="502">
        <v>13</v>
      </c>
      <c r="C7" s="719" t="s">
        <v>1411</v>
      </c>
      <c r="D7" s="565">
        <v>1965</v>
      </c>
      <c r="E7" s="565">
        <v>300.42394562926046</v>
      </c>
      <c r="F7" s="720">
        <v>13</v>
      </c>
      <c r="G7" s="523" t="s">
        <v>954</v>
      </c>
    </row>
    <row r="8" spans="1:7" s="510" customFormat="1" ht="11.25" customHeight="1">
      <c r="A8" s="458" t="s">
        <v>550</v>
      </c>
      <c r="B8" s="502">
        <v>1700</v>
      </c>
      <c r="C8" s="719" t="s">
        <v>1411</v>
      </c>
      <c r="D8" s="565">
        <v>20000</v>
      </c>
      <c r="E8" s="565">
        <v>6044.7756876580943</v>
      </c>
      <c r="F8" s="720">
        <v>1700</v>
      </c>
      <c r="G8" s="523" t="s">
        <v>954</v>
      </c>
    </row>
    <row r="9" spans="1:7" s="510" customFormat="1" ht="11.25" customHeight="1">
      <c r="A9" s="458" t="s">
        <v>551</v>
      </c>
      <c r="B9" s="502">
        <v>2.5999999999999998E-5</v>
      </c>
      <c r="C9" s="719" t="s">
        <v>1412</v>
      </c>
      <c r="D9" s="565">
        <v>8.5</v>
      </c>
      <c r="E9" s="565">
        <v>1.2053821078383794E-3</v>
      </c>
      <c r="F9" s="720">
        <v>3.5000000000000003E-2</v>
      </c>
      <c r="G9" s="523">
        <v>2.5999999999999998E-5</v>
      </c>
    </row>
    <row r="10" spans="1:7" s="510" customFormat="1" ht="11.25" customHeight="1">
      <c r="A10" s="458" t="s">
        <v>161</v>
      </c>
      <c r="B10" s="502">
        <v>152.33581908424497</v>
      </c>
      <c r="C10" s="719" t="s">
        <v>870</v>
      </c>
      <c r="D10" s="565">
        <v>50000</v>
      </c>
      <c r="E10" s="565">
        <v>152.33581908424497</v>
      </c>
      <c r="F10" s="720">
        <v>700</v>
      </c>
      <c r="G10" s="523" t="s">
        <v>954</v>
      </c>
    </row>
    <row r="11" spans="1:7" s="510" customFormat="1" ht="11.25" customHeight="1">
      <c r="A11" s="462" t="s">
        <v>162</v>
      </c>
      <c r="B11" s="502">
        <v>1.9300404753783804</v>
      </c>
      <c r="C11" s="719" t="s">
        <v>870</v>
      </c>
      <c r="D11" s="565">
        <v>50000</v>
      </c>
      <c r="E11" s="565">
        <v>1.9300404753783804</v>
      </c>
      <c r="F11" s="720">
        <v>18</v>
      </c>
      <c r="G11" s="523" t="s">
        <v>954</v>
      </c>
    </row>
    <row r="12" spans="1:7" s="510" customFormat="1" ht="11.25" customHeight="1">
      <c r="A12" s="462" t="s">
        <v>94</v>
      </c>
      <c r="B12" s="502">
        <v>1.9300404753783804</v>
      </c>
      <c r="C12" s="719" t="s">
        <v>870</v>
      </c>
      <c r="D12" s="565">
        <v>50000</v>
      </c>
      <c r="E12" s="565">
        <v>1.9300404753783804</v>
      </c>
      <c r="F12" s="720">
        <v>11</v>
      </c>
      <c r="G12" s="523" t="s">
        <v>954</v>
      </c>
    </row>
    <row r="13" spans="1:7" s="510" customFormat="1" ht="11.25" customHeight="1">
      <c r="A13" s="458" t="s">
        <v>552</v>
      </c>
      <c r="B13" s="502">
        <v>0.02</v>
      </c>
      <c r="C13" s="719" t="s">
        <v>1411</v>
      </c>
      <c r="D13" s="565">
        <v>21.5</v>
      </c>
      <c r="E13" s="565">
        <v>1555.5081429297898</v>
      </c>
      <c r="F13" s="720">
        <v>0.02</v>
      </c>
      <c r="G13" s="523">
        <v>40000</v>
      </c>
    </row>
    <row r="14" spans="1:7" s="510" customFormat="1" ht="11.25" customHeight="1">
      <c r="A14" s="458" t="s">
        <v>553</v>
      </c>
      <c r="B14" s="502">
        <v>6</v>
      </c>
      <c r="C14" s="719" t="s">
        <v>870</v>
      </c>
      <c r="D14" s="565">
        <v>50000</v>
      </c>
      <c r="E14" s="565">
        <v>6</v>
      </c>
      <c r="F14" s="720">
        <v>130</v>
      </c>
      <c r="G14" s="523">
        <v>15000</v>
      </c>
    </row>
    <row r="15" spans="1:7" s="510" customFormat="1" ht="11.25" customHeight="1">
      <c r="A15" s="458" t="s">
        <v>686</v>
      </c>
      <c r="B15" s="502">
        <v>0.14000000000000001</v>
      </c>
      <c r="C15" s="719" t="s">
        <v>1412</v>
      </c>
      <c r="D15" s="565">
        <v>50000</v>
      </c>
      <c r="E15" s="565">
        <v>10</v>
      </c>
      <c r="F15" s="720">
        <v>190</v>
      </c>
      <c r="G15" s="523">
        <v>0.14000000000000001</v>
      </c>
    </row>
    <row r="16" spans="1:7" s="510" customFormat="1" ht="11.25" customHeight="1">
      <c r="A16" s="458" t="s">
        <v>95</v>
      </c>
      <c r="B16" s="502">
        <v>3</v>
      </c>
      <c r="C16" s="719" t="s">
        <v>870</v>
      </c>
      <c r="D16" s="565">
        <v>20</v>
      </c>
      <c r="E16" s="565">
        <v>3</v>
      </c>
      <c r="F16" s="720">
        <v>12</v>
      </c>
      <c r="G16" s="523" t="s">
        <v>954</v>
      </c>
    </row>
    <row r="17" spans="1:7" s="510" customFormat="1" ht="11.25" customHeight="1">
      <c r="A17" s="458" t="s">
        <v>687</v>
      </c>
      <c r="B17" s="502">
        <v>220</v>
      </c>
      <c r="C17" s="719" t="s">
        <v>1411</v>
      </c>
      <c r="D17" s="565">
        <v>50000</v>
      </c>
      <c r="E17" s="565">
        <v>2000</v>
      </c>
      <c r="F17" s="720">
        <v>220</v>
      </c>
      <c r="G17" s="523" t="s">
        <v>954</v>
      </c>
    </row>
    <row r="18" spans="1:7" s="510" customFormat="1" ht="11.25" customHeight="1">
      <c r="A18" s="458" t="s">
        <v>1156</v>
      </c>
      <c r="B18" s="502">
        <v>0.14000000000000001</v>
      </c>
      <c r="C18" s="719" t="s">
        <v>1411</v>
      </c>
      <c r="D18" s="565">
        <v>1900</v>
      </c>
      <c r="E18" s="565">
        <v>970.75939529186087</v>
      </c>
      <c r="F18" s="720">
        <v>0.14000000000000001</v>
      </c>
      <c r="G18" s="523" t="s">
        <v>954</v>
      </c>
    </row>
    <row r="19" spans="1:7" s="510" customFormat="1" ht="11.25" customHeight="1">
      <c r="A19" s="458" t="s">
        <v>688</v>
      </c>
      <c r="B19" s="502">
        <v>5</v>
      </c>
      <c r="C19" s="719" t="s">
        <v>870</v>
      </c>
      <c r="D19" s="565">
        <v>170</v>
      </c>
      <c r="E19" s="565">
        <v>5</v>
      </c>
      <c r="F19" s="720">
        <v>160</v>
      </c>
      <c r="G19" s="523">
        <v>13</v>
      </c>
    </row>
    <row r="20" spans="1:7" s="510" customFormat="1" ht="11.25" customHeight="1">
      <c r="A20" s="458" t="s">
        <v>689</v>
      </c>
      <c r="B20" s="502">
        <v>1.7999999999999999E-2</v>
      </c>
      <c r="C20" s="719" t="s">
        <v>1412</v>
      </c>
      <c r="D20" s="565">
        <v>4.7</v>
      </c>
      <c r="E20" s="565">
        <v>5.1725078228107436E-2</v>
      </c>
      <c r="F20" s="720">
        <v>4.7</v>
      </c>
      <c r="G20" s="523">
        <v>1.7999999999999999E-2</v>
      </c>
    </row>
    <row r="21" spans="1:7" s="510" customFormat="1" ht="11.25" customHeight="1">
      <c r="A21" s="458" t="s">
        <v>690</v>
      </c>
      <c r="B21" s="502">
        <v>1.7999999999999999E-2</v>
      </c>
      <c r="C21" s="719" t="s">
        <v>1412</v>
      </c>
      <c r="D21" s="565">
        <v>0.8</v>
      </c>
      <c r="E21" s="565">
        <v>0.2</v>
      </c>
      <c r="F21" s="720">
        <v>0.06</v>
      </c>
      <c r="G21" s="523">
        <v>1.7999999999999999E-2</v>
      </c>
    </row>
    <row r="22" spans="1:7" s="510" customFormat="1" ht="11.25" customHeight="1">
      <c r="A22" s="458" t="s">
        <v>691</v>
      </c>
      <c r="B22" s="502">
        <v>1.7999999999999999E-2</v>
      </c>
      <c r="C22" s="719" t="s">
        <v>1412</v>
      </c>
      <c r="D22" s="565">
        <v>0.75</v>
      </c>
      <c r="E22" s="565">
        <v>5.8130821430763209E-2</v>
      </c>
      <c r="F22" s="720">
        <v>2.6</v>
      </c>
      <c r="G22" s="523">
        <v>1.7999999999999999E-2</v>
      </c>
    </row>
    <row r="23" spans="1:7" s="510" customFormat="1" ht="11.25" customHeight="1">
      <c r="A23" s="458" t="s">
        <v>692</v>
      </c>
      <c r="B23" s="502">
        <v>0.12999999999999998</v>
      </c>
      <c r="C23" s="719" t="s">
        <v>1409</v>
      </c>
      <c r="D23" s="565">
        <v>0.12999999999999998</v>
      </c>
      <c r="E23" s="565">
        <v>64.666936648154106</v>
      </c>
      <c r="F23" s="720">
        <v>0.44</v>
      </c>
      <c r="G23" s="523" t="s">
        <v>954</v>
      </c>
    </row>
    <row r="24" spans="1:7" s="510" customFormat="1" ht="11.25" customHeight="1">
      <c r="A24" s="458" t="s">
        <v>693</v>
      </c>
      <c r="B24" s="502">
        <v>1.7999999999999999E-2</v>
      </c>
      <c r="C24" s="719" t="s">
        <v>1412</v>
      </c>
      <c r="D24" s="565">
        <v>0.4</v>
      </c>
      <c r="E24" s="565">
        <v>0.36149950113611862</v>
      </c>
      <c r="F24" s="720">
        <v>0.64</v>
      </c>
      <c r="G24" s="523">
        <v>1.7999999999999999E-2</v>
      </c>
    </row>
    <row r="25" spans="1:7" s="510" customFormat="1" ht="11.25" customHeight="1">
      <c r="A25" s="458" t="s">
        <v>126</v>
      </c>
      <c r="B25" s="502">
        <v>3.7999999999999999E-2</v>
      </c>
      <c r="C25" s="719" t="s">
        <v>1412</v>
      </c>
      <c r="D25" s="565">
        <v>50000</v>
      </c>
      <c r="E25" s="565">
        <v>4</v>
      </c>
      <c r="F25" s="720">
        <v>11</v>
      </c>
      <c r="G25" s="523">
        <v>3.7999999999999999E-2</v>
      </c>
    </row>
    <row r="26" spans="1:7" s="510" customFormat="1" ht="11.25" customHeight="1">
      <c r="A26" s="458" t="s">
        <v>233</v>
      </c>
      <c r="B26" s="502">
        <v>0.5</v>
      </c>
      <c r="C26" s="719" t="s">
        <v>1409</v>
      </c>
      <c r="D26" s="565">
        <v>0.5</v>
      </c>
      <c r="E26" s="565">
        <v>3.9111581830845297</v>
      </c>
      <c r="F26" s="720">
        <v>6.5</v>
      </c>
      <c r="G26" s="523" t="s">
        <v>954</v>
      </c>
    </row>
    <row r="27" spans="1:7" s="510" customFormat="1" ht="11.25" customHeight="1">
      <c r="A27" s="458" t="s">
        <v>127</v>
      </c>
      <c r="B27" s="502">
        <v>1.3650810195927489E-2</v>
      </c>
      <c r="C27" s="719" t="s">
        <v>870</v>
      </c>
      <c r="D27" s="565">
        <v>360</v>
      </c>
      <c r="E27" s="565">
        <v>1.3650810195927489E-2</v>
      </c>
      <c r="F27" s="720">
        <v>2380</v>
      </c>
      <c r="G27" s="523">
        <v>0.44</v>
      </c>
    </row>
    <row r="28" spans="1:7" s="510" customFormat="1" ht="11.25" customHeight="1">
      <c r="A28" s="503" t="s">
        <v>1103</v>
      </c>
      <c r="B28" s="502">
        <v>0.35711381953846194</v>
      </c>
      <c r="C28" s="719" t="s">
        <v>870</v>
      </c>
      <c r="D28" s="565">
        <v>320</v>
      </c>
      <c r="E28" s="565">
        <v>0.35711381953846194</v>
      </c>
      <c r="F28" s="720">
        <v>0.35711381953846194</v>
      </c>
      <c r="G28" s="523">
        <v>1400</v>
      </c>
    </row>
    <row r="29" spans="1:7" s="510" customFormat="1" ht="11.25" customHeight="1">
      <c r="A29" s="458" t="s">
        <v>128</v>
      </c>
      <c r="B29" s="502">
        <v>2.2000000000000002</v>
      </c>
      <c r="C29" s="719" t="s">
        <v>1412</v>
      </c>
      <c r="D29" s="565">
        <v>135</v>
      </c>
      <c r="E29" s="565">
        <v>6</v>
      </c>
      <c r="F29" s="720">
        <v>3</v>
      </c>
      <c r="G29" s="523">
        <v>2.2000000000000002</v>
      </c>
    </row>
    <row r="30" spans="1:7" s="510" customFormat="1" ht="11.25" customHeight="1">
      <c r="A30" s="458" t="s">
        <v>129</v>
      </c>
      <c r="B30" s="502">
        <v>982.67243959237351</v>
      </c>
      <c r="C30" s="719" t="s">
        <v>870</v>
      </c>
      <c r="D30" s="565">
        <v>50000</v>
      </c>
      <c r="E30" s="565">
        <v>982.67243959237351</v>
      </c>
      <c r="F30" s="720">
        <v>7200</v>
      </c>
      <c r="G30" s="523" t="s">
        <v>954</v>
      </c>
    </row>
    <row r="31" spans="1:7" s="510" customFormat="1" ht="11.25" customHeight="1">
      <c r="A31" s="458" t="s">
        <v>130</v>
      </c>
      <c r="B31" s="502">
        <v>0.13443335759216019</v>
      </c>
      <c r="C31" s="719" t="s">
        <v>870</v>
      </c>
      <c r="D31" s="565">
        <v>50000</v>
      </c>
      <c r="E31" s="565">
        <v>0.13443335759216019</v>
      </c>
      <c r="F31" s="720">
        <v>340</v>
      </c>
      <c r="G31" s="523" t="s">
        <v>954</v>
      </c>
    </row>
    <row r="32" spans="1:7" s="510" customFormat="1" ht="11.25" customHeight="1">
      <c r="A32" s="458" t="s">
        <v>131</v>
      </c>
      <c r="B32" s="502">
        <v>80</v>
      </c>
      <c r="C32" s="719" t="s">
        <v>870</v>
      </c>
      <c r="D32" s="565">
        <v>510</v>
      </c>
      <c r="E32" s="565">
        <v>80</v>
      </c>
      <c r="F32" s="720">
        <v>230</v>
      </c>
      <c r="G32" s="523">
        <v>140</v>
      </c>
    </row>
    <row r="33" spans="1:7" s="510" customFormat="1" ht="11.25" customHeight="1">
      <c r="A33" s="458" t="s">
        <v>132</v>
      </c>
      <c r="B33" s="502">
        <v>16</v>
      </c>
      <c r="C33" s="719" t="s">
        <v>1411</v>
      </c>
      <c r="D33" s="565">
        <v>50000</v>
      </c>
      <c r="E33" s="565">
        <v>18.72653049057315</v>
      </c>
      <c r="F33" s="720">
        <v>16</v>
      </c>
      <c r="G33" s="523">
        <v>1500</v>
      </c>
    </row>
    <row r="34" spans="1:7" s="510" customFormat="1" ht="11.25" customHeight="1">
      <c r="A34" s="458" t="s">
        <v>133</v>
      </c>
      <c r="B34" s="502">
        <v>3</v>
      </c>
      <c r="C34" s="719" t="s">
        <v>1411</v>
      </c>
      <c r="D34" s="565">
        <v>50000</v>
      </c>
      <c r="E34" s="565">
        <v>5</v>
      </c>
      <c r="F34" s="720">
        <v>3</v>
      </c>
      <c r="G34" s="523" t="s">
        <v>954</v>
      </c>
    </row>
    <row r="35" spans="1:7" s="510" customFormat="1" ht="11.25" customHeight="1">
      <c r="A35" s="458" t="s">
        <v>134</v>
      </c>
      <c r="B35" s="502">
        <v>2.2999999999999998</v>
      </c>
      <c r="C35" s="719" t="s">
        <v>1412</v>
      </c>
      <c r="D35" s="565">
        <v>520</v>
      </c>
      <c r="E35" s="565">
        <v>5</v>
      </c>
      <c r="F35" s="720">
        <v>77</v>
      </c>
      <c r="G35" s="523">
        <v>2.2999999999999998</v>
      </c>
    </row>
    <row r="36" spans="1:7" s="510" customFormat="1" ht="11.25" customHeight="1">
      <c r="A36" s="458" t="s">
        <v>614</v>
      </c>
      <c r="B36" s="502">
        <v>1.5999999999999999E-5</v>
      </c>
      <c r="C36" s="719" t="s">
        <v>1412</v>
      </c>
      <c r="D36" s="565">
        <v>2.5</v>
      </c>
      <c r="E36" s="565">
        <v>2</v>
      </c>
      <c r="F36" s="720">
        <v>4.3E-3</v>
      </c>
      <c r="G36" s="523">
        <v>1.5999999999999999E-5</v>
      </c>
    </row>
    <row r="37" spans="1:7" s="510" customFormat="1" ht="11.25" customHeight="1">
      <c r="A37" s="458" t="s">
        <v>135</v>
      </c>
      <c r="B37" s="502">
        <v>0.36542309808186513</v>
      </c>
      <c r="C37" s="719" t="s">
        <v>870</v>
      </c>
      <c r="D37" s="565">
        <v>50000</v>
      </c>
      <c r="E37" s="565">
        <v>0.36542309808186513</v>
      </c>
      <c r="F37" s="720">
        <v>19</v>
      </c>
      <c r="G37" s="523" t="s">
        <v>954</v>
      </c>
    </row>
    <row r="38" spans="1:7" s="510" customFormat="1" ht="11.25" customHeight="1">
      <c r="A38" s="458" t="s">
        <v>136</v>
      </c>
      <c r="B38" s="502">
        <v>25</v>
      </c>
      <c r="C38" s="719" t="s">
        <v>1411</v>
      </c>
      <c r="D38" s="565">
        <v>50</v>
      </c>
      <c r="E38" s="565">
        <v>100</v>
      </c>
      <c r="F38" s="720">
        <v>25</v>
      </c>
      <c r="G38" s="523">
        <v>21000</v>
      </c>
    </row>
    <row r="39" spans="1:7" s="510" customFormat="1" ht="11.25" customHeight="1">
      <c r="A39" s="458" t="s">
        <v>781</v>
      </c>
      <c r="B39" s="502">
        <v>16</v>
      </c>
      <c r="C39" s="719" t="s">
        <v>1409</v>
      </c>
      <c r="D39" s="565">
        <v>16</v>
      </c>
      <c r="E39" s="565">
        <v>47673.469387755096</v>
      </c>
      <c r="F39" s="720">
        <v>47673.469387755096</v>
      </c>
      <c r="G39" s="523" t="s">
        <v>954</v>
      </c>
    </row>
    <row r="40" spans="1:7" ht="11.25" customHeight="1">
      <c r="A40" s="464" t="s">
        <v>137</v>
      </c>
      <c r="B40" s="502">
        <v>5.0999999999999996</v>
      </c>
      <c r="C40" s="719" t="s">
        <v>1412</v>
      </c>
      <c r="D40" s="565">
        <v>2400</v>
      </c>
      <c r="E40" s="565">
        <v>70</v>
      </c>
      <c r="F40" s="720">
        <v>140</v>
      </c>
      <c r="G40" s="523">
        <v>5.0999999999999996</v>
      </c>
    </row>
    <row r="41" spans="1:7" ht="11.25" customHeight="1">
      <c r="A41" s="458" t="s">
        <v>782</v>
      </c>
      <c r="B41" s="502">
        <v>1072.6530612244896</v>
      </c>
      <c r="C41" s="719" t="s">
        <v>870</v>
      </c>
      <c r="D41" s="565">
        <v>50000</v>
      </c>
      <c r="E41" s="565">
        <v>1072.6530612244896</v>
      </c>
      <c r="F41" s="720">
        <v>1072.6530612244896</v>
      </c>
      <c r="G41" s="523" t="s">
        <v>954</v>
      </c>
    </row>
    <row r="42" spans="1:7" ht="11.25" customHeight="1">
      <c r="A42" s="458" t="s">
        <v>138</v>
      </c>
      <c r="B42" s="502">
        <v>0.18</v>
      </c>
      <c r="C42" s="719" t="s">
        <v>1409</v>
      </c>
      <c r="D42" s="565">
        <v>0.18</v>
      </c>
      <c r="E42" s="565">
        <v>63.498535425025516</v>
      </c>
      <c r="F42" s="720">
        <v>32</v>
      </c>
      <c r="G42" s="523">
        <v>150</v>
      </c>
    </row>
    <row r="43" spans="1:7" ht="11.25" customHeight="1">
      <c r="A43" s="458" t="s">
        <v>612</v>
      </c>
      <c r="B43" s="502">
        <v>11</v>
      </c>
      <c r="C43" s="719" t="s">
        <v>1411</v>
      </c>
      <c r="D43" s="565">
        <v>50000</v>
      </c>
      <c r="E43" s="565">
        <v>100</v>
      </c>
      <c r="F43" s="720">
        <v>11</v>
      </c>
      <c r="G43" s="523" t="s">
        <v>954</v>
      </c>
    </row>
    <row r="44" spans="1:7" ht="11.25" customHeight="1">
      <c r="A44" s="458" t="s">
        <v>779</v>
      </c>
      <c r="B44" s="502">
        <v>74</v>
      </c>
      <c r="C44" s="719" t="s">
        <v>1411</v>
      </c>
      <c r="D44" s="565">
        <v>50000</v>
      </c>
      <c r="E44" s="565" t="s">
        <v>954</v>
      </c>
      <c r="F44" s="720">
        <v>74</v>
      </c>
      <c r="G44" s="523" t="s">
        <v>954</v>
      </c>
    </row>
    <row r="45" spans="1:7" ht="11.25" customHeight="1">
      <c r="A45" s="458" t="s">
        <v>780</v>
      </c>
      <c r="B45" s="502">
        <v>0.19900033728897804</v>
      </c>
      <c r="C45" s="719" t="s">
        <v>870</v>
      </c>
      <c r="D45" s="565">
        <v>50000</v>
      </c>
      <c r="E45" s="565">
        <v>0.19900033728897804</v>
      </c>
      <c r="F45" s="720">
        <v>11</v>
      </c>
      <c r="G45" s="523" t="s">
        <v>954</v>
      </c>
    </row>
    <row r="46" spans="1:7" ht="11.25" customHeight="1">
      <c r="A46" s="458" t="s">
        <v>139</v>
      </c>
      <c r="B46" s="502">
        <v>1.7999999999999999E-2</v>
      </c>
      <c r="C46" s="719" t="s">
        <v>1412</v>
      </c>
      <c r="D46" s="565">
        <v>1</v>
      </c>
      <c r="E46" s="565">
        <v>0.24436179506530475</v>
      </c>
      <c r="F46" s="720">
        <v>4.7</v>
      </c>
      <c r="G46" s="523">
        <v>1.7999999999999999E-2</v>
      </c>
    </row>
    <row r="47" spans="1:7" ht="11.25" customHeight="1">
      <c r="A47" s="458" t="s">
        <v>140</v>
      </c>
      <c r="B47" s="502">
        <v>2.4124513715922085</v>
      </c>
      <c r="C47" s="719" t="s">
        <v>870</v>
      </c>
      <c r="D47" s="565">
        <v>50000</v>
      </c>
      <c r="E47" s="565">
        <v>2.4124513715922085</v>
      </c>
      <c r="F47" s="720">
        <v>19</v>
      </c>
      <c r="G47" s="523" t="s">
        <v>954</v>
      </c>
    </row>
    <row r="48" spans="1:7" ht="11.25" customHeight="1">
      <c r="A48" s="458" t="s">
        <v>141</v>
      </c>
      <c r="B48" s="502">
        <v>6</v>
      </c>
      <c r="C48" s="719" t="s">
        <v>1411</v>
      </c>
      <c r="D48" s="565">
        <v>1000</v>
      </c>
      <c r="E48" s="565">
        <v>1300</v>
      </c>
      <c r="F48" s="720">
        <v>6</v>
      </c>
      <c r="G48" s="523" t="s">
        <v>954</v>
      </c>
    </row>
    <row r="49" spans="1:7" ht="11.25" customHeight="1">
      <c r="A49" s="458" t="s">
        <v>142</v>
      </c>
      <c r="B49" s="502">
        <v>5.2</v>
      </c>
      <c r="C49" s="719" t="s">
        <v>1411</v>
      </c>
      <c r="D49" s="565">
        <v>170</v>
      </c>
      <c r="E49" s="565">
        <v>200</v>
      </c>
      <c r="F49" s="720">
        <v>5.2</v>
      </c>
      <c r="G49" s="523">
        <v>220000</v>
      </c>
    </row>
    <row r="50" spans="1:7" ht="11.25" customHeight="1">
      <c r="A50" s="462" t="s">
        <v>96</v>
      </c>
      <c r="B50" s="502">
        <v>0.96590800338662852</v>
      </c>
      <c r="C50" s="719" t="s">
        <v>870</v>
      </c>
      <c r="D50" s="565">
        <v>29850</v>
      </c>
      <c r="E50" s="565">
        <v>0.96590800338662852</v>
      </c>
      <c r="F50" s="720">
        <v>79</v>
      </c>
      <c r="G50" s="523" t="s">
        <v>954</v>
      </c>
    </row>
    <row r="51" spans="1:7" ht="11.25" customHeight="1">
      <c r="A51" s="458" t="s">
        <v>97</v>
      </c>
      <c r="B51" s="502">
        <v>200</v>
      </c>
      <c r="C51" s="719" t="s">
        <v>870</v>
      </c>
      <c r="D51" s="565">
        <v>50000</v>
      </c>
      <c r="E51" s="565">
        <v>200</v>
      </c>
      <c r="F51" s="720">
        <v>300</v>
      </c>
      <c r="G51" s="523" t="s">
        <v>954</v>
      </c>
    </row>
    <row r="52" spans="1:7" ht="11.25" customHeight="1">
      <c r="A52" s="458" t="s">
        <v>143</v>
      </c>
      <c r="B52" s="502">
        <v>4.814241578730157E-3</v>
      </c>
      <c r="C52" s="719" t="s">
        <v>870</v>
      </c>
      <c r="D52" s="565">
        <v>1.25</v>
      </c>
      <c r="E52" s="565">
        <v>4.814241578730157E-3</v>
      </c>
      <c r="F52" s="720">
        <v>0.8</v>
      </c>
      <c r="G52" s="523">
        <v>1.7999999999999999E-2</v>
      </c>
    </row>
    <row r="53" spans="1:7" ht="11.25" customHeight="1">
      <c r="A53" s="458" t="s">
        <v>381</v>
      </c>
      <c r="B53" s="502">
        <v>0.04</v>
      </c>
      <c r="C53" s="719" t="s">
        <v>870</v>
      </c>
      <c r="D53" s="565">
        <v>10</v>
      </c>
      <c r="E53" s="565">
        <v>0.04</v>
      </c>
      <c r="F53" s="720">
        <v>0.04</v>
      </c>
      <c r="G53" s="523" t="s">
        <v>954</v>
      </c>
    </row>
    <row r="54" spans="1:7" ht="11.25" customHeight="1">
      <c r="A54" s="458" t="s">
        <v>144</v>
      </c>
      <c r="B54" s="502">
        <v>0.87111199475121337</v>
      </c>
      <c r="C54" s="719" t="s">
        <v>870</v>
      </c>
      <c r="D54" s="565">
        <v>50000</v>
      </c>
      <c r="E54" s="565">
        <v>0.87111199475121337</v>
      </c>
      <c r="F54" s="720">
        <v>320</v>
      </c>
      <c r="G54" s="523">
        <v>13</v>
      </c>
    </row>
    <row r="55" spans="1:7" ht="11.25" customHeight="1">
      <c r="A55" s="458" t="s">
        <v>487</v>
      </c>
      <c r="B55" s="502">
        <v>0.04</v>
      </c>
      <c r="C55" s="719" t="s">
        <v>870</v>
      </c>
      <c r="D55" s="565">
        <v>50000</v>
      </c>
      <c r="E55" s="565">
        <v>0.04</v>
      </c>
      <c r="F55" s="720">
        <v>1400</v>
      </c>
      <c r="G55" s="523" t="s">
        <v>954</v>
      </c>
    </row>
    <row r="56" spans="1:7" ht="11.25" customHeight="1">
      <c r="A56" s="458" t="s">
        <v>145</v>
      </c>
      <c r="B56" s="502">
        <v>10</v>
      </c>
      <c r="C56" s="719" t="s">
        <v>1409</v>
      </c>
      <c r="D56" s="565">
        <v>10</v>
      </c>
      <c r="E56" s="565">
        <v>600</v>
      </c>
      <c r="F56" s="720">
        <v>23</v>
      </c>
      <c r="G56" s="523">
        <v>850</v>
      </c>
    </row>
    <row r="57" spans="1:7" ht="11.25" customHeight="1">
      <c r="A57" s="458" t="s">
        <v>225</v>
      </c>
      <c r="B57" s="502">
        <v>22</v>
      </c>
      <c r="C57" s="719" t="s">
        <v>1411</v>
      </c>
      <c r="D57" s="565">
        <v>50000</v>
      </c>
      <c r="E57" s="565">
        <v>302.48236483542229</v>
      </c>
      <c r="F57" s="720">
        <v>22</v>
      </c>
      <c r="G57" s="523">
        <v>850</v>
      </c>
    </row>
    <row r="58" spans="1:7" ht="11.25" customHeight="1">
      <c r="A58" s="458" t="s">
        <v>226</v>
      </c>
      <c r="B58" s="502">
        <v>5</v>
      </c>
      <c r="C58" s="719" t="s">
        <v>1409</v>
      </c>
      <c r="D58" s="565">
        <v>5</v>
      </c>
      <c r="E58" s="565">
        <v>75</v>
      </c>
      <c r="F58" s="720">
        <v>9.4</v>
      </c>
      <c r="G58" s="523">
        <v>850</v>
      </c>
    </row>
    <row r="59" spans="1:7" ht="11.25" customHeight="1">
      <c r="A59" s="458" t="s">
        <v>227</v>
      </c>
      <c r="B59" s="502">
        <v>7.0000000000000001E-3</v>
      </c>
      <c r="C59" s="719" t="s">
        <v>1412</v>
      </c>
      <c r="D59" s="565">
        <v>1550</v>
      </c>
      <c r="E59" s="565">
        <v>0.12521244906182924</v>
      </c>
      <c r="F59" s="720">
        <v>4.5</v>
      </c>
      <c r="G59" s="523">
        <v>7.0000000000000001E-3</v>
      </c>
    </row>
    <row r="60" spans="1:7" ht="11.25" customHeight="1">
      <c r="A60" s="458" t="s">
        <v>361</v>
      </c>
      <c r="B60" s="502">
        <v>3.1E-4</v>
      </c>
      <c r="C60" s="719" t="s">
        <v>1412</v>
      </c>
      <c r="D60" s="565">
        <v>45</v>
      </c>
      <c r="E60" s="565">
        <v>2.5860506035294707E-2</v>
      </c>
      <c r="F60" s="720">
        <v>1.0999999999999999E-2</v>
      </c>
      <c r="G60" s="523">
        <v>3.1E-4</v>
      </c>
    </row>
    <row r="61" spans="1:7" ht="11.25" customHeight="1">
      <c r="A61" s="458" t="s">
        <v>362</v>
      </c>
      <c r="B61" s="502">
        <v>2.2000000000000001E-4</v>
      </c>
      <c r="C61" s="719" t="s">
        <v>1412</v>
      </c>
      <c r="D61" s="565">
        <v>20</v>
      </c>
      <c r="E61" s="565">
        <v>8.8953098238132352E-3</v>
      </c>
      <c r="F61" s="720">
        <v>0.41</v>
      </c>
      <c r="G61" s="523">
        <v>2.2000000000000001E-4</v>
      </c>
    </row>
    <row r="62" spans="1:7" ht="11.25" customHeight="1">
      <c r="A62" s="458" t="s">
        <v>363</v>
      </c>
      <c r="B62" s="502">
        <v>7.9999999999999996E-6</v>
      </c>
      <c r="C62" s="719" t="s">
        <v>1412</v>
      </c>
      <c r="D62" s="565">
        <v>2.75</v>
      </c>
      <c r="E62" s="565">
        <v>6.177825520156369E-3</v>
      </c>
      <c r="F62" s="720">
        <v>1E-3</v>
      </c>
      <c r="G62" s="523">
        <v>7.9999999999999996E-6</v>
      </c>
    </row>
    <row r="63" spans="1:7" ht="11.25" customHeight="1">
      <c r="A63" s="458" t="s">
        <v>234</v>
      </c>
      <c r="B63" s="502">
        <v>2.7505849956546897</v>
      </c>
      <c r="C63" s="719" t="s">
        <v>870</v>
      </c>
      <c r="D63" s="565">
        <v>50000</v>
      </c>
      <c r="E63" s="565">
        <v>2.7505849956546897</v>
      </c>
      <c r="F63" s="720">
        <v>410</v>
      </c>
      <c r="G63" s="523" t="s">
        <v>954</v>
      </c>
    </row>
    <row r="64" spans="1:7" ht="11.25" customHeight="1">
      <c r="A64" s="458" t="s">
        <v>235</v>
      </c>
      <c r="B64" s="502">
        <v>5</v>
      </c>
      <c r="C64" s="719" t="s">
        <v>870</v>
      </c>
      <c r="D64" s="565">
        <v>7000</v>
      </c>
      <c r="E64" s="565">
        <v>5</v>
      </c>
      <c r="F64" s="720">
        <v>2000</v>
      </c>
      <c r="G64" s="523">
        <v>79</v>
      </c>
    </row>
    <row r="65" spans="1:7" ht="11.25" customHeight="1">
      <c r="A65" s="458" t="s">
        <v>294</v>
      </c>
      <c r="B65" s="502">
        <v>0.6</v>
      </c>
      <c r="C65" s="719" t="s">
        <v>1412</v>
      </c>
      <c r="D65" s="565">
        <v>1500</v>
      </c>
      <c r="E65" s="565">
        <v>7</v>
      </c>
      <c r="F65" s="720">
        <v>130</v>
      </c>
      <c r="G65" s="523">
        <v>0.6</v>
      </c>
    </row>
    <row r="66" spans="1:7" ht="11.25" customHeight="1">
      <c r="A66" s="458" t="s">
        <v>295</v>
      </c>
      <c r="B66" s="502">
        <v>70</v>
      </c>
      <c r="C66" s="719" t="s">
        <v>870</v>
      </c>
      <c r="D66" s="565">
        <v>50000</v>
      </c>
      <c r="E66" s="565">
        <v>70</v>
      </c>
      <c r="F66" s="720">
        <v>620</v>
      </c>
      <c r="G66" s="523" t="s">
        <v>954</v>
      </c>
    </row>
    <row r="67" spans="1:7" ht="11.25" customHeight="1">
      <c r="A67" s="458" t="s">
        <v>228</v>
      </c>
      <c r="B67" s="502">
        <v>100</v>
      </c>
      <c r="C67" s="719" t="s">
        <v>870</v>
      </c>
      <c r="D67" s="565">
        <v>260</v>
      </c>
      <c r="E67" s="565">
        <v>100</v>
      </c>
      <c r="F67" s="720">
        <v>558</v>
      </c>
      <c r="G67" s="523" t="s">
        <v>58</v>
      </c>
    </row>
    <row r="68" spans="1:7" ht="11.25" customHeight="1">
      <c r="A68" s="458" t="s">
        <v>942</v>
      </c>
      <c r="B68" s="502">
        <v>0.3</v>
      </c>
      <c r="C68" s="719" t="s">
        <v>1409</v>
      </c>
      <c r="D68" s="565">
        <v>0.3</v>
      </c>
      <c r="E68" s="565">
        <v>45.691503200709541</v>
      </c>
      <c r="F68" s="720">
        <v>11</v>
      </c>
      <c r="G68" s="523">
        <v>290</v>
      </c>
    </row>
    <row r="69" spans="1:7" ht="11.25" customHeight="1">
      <c r="A69" s="458" t="s">
        <v>98</v>
      </c>
      <c r="B69" s="502">
        <v>70</v>
      </c>
      <c r="C69" s="719" t="s">
        <v>870</v>
      </c>
      <c r="D69" s="565">
        <v>50000</v>
      </c>
      <c r="E69" s="565">
        <v>70</v>
      </c>
      <c r="F69" s="720">
        <v>79.2</v>
      </c>
      <c r="G69" s="523" t="s">
        <v>954</v>
      </c>
    </row>
    <row r="70" spans="1:7" ht="11.25" customHeight="1">
      <c r="A70" s="458" t="s">
        <v>943</v>
      </c>
      <c r="B70" s="502">
        <v>5</v>
      </c>
      <c r="C70" s="719" t="s">
        <v>870</v>
      </c>
      <c r="D70" s="565">
        <v>10</v>
      </c>
      <c r="E70" s="565">
        <v>5</v>
      </c>
      <c r="F70" s="720">
        <v>520</v>
      </c>
      <c r="G70" s="523">
        <v>15</v>
      </c>
    </row>
    <row r="71" spans="1:7" ht="11.25" customHeight="1">
      <c r="A71" s="458" t="s">
        <v>296</v>
      </c>
      <c r="B71" s="502">
        <v>0.47246971144685262</v>
      </c>
      <c r="C71" s="719" t="s">
        <v>870</v>
      </c>
      <c r="D71" s="565">
        <v>50000</v>
      </c>
      <c r="E71" s="565">
        <v>0.47246971144685262</v>
      </c>
      <c r="F71" s="720">
        <v>1.7</v>
      </c>
      <c r="G71" s="523">
        <v>4.5999999999999996</v>
      </c>
    </row>
    <row r="72" spans="1:7" ht="11.25" customHeight="1">
      <c r="A72" s="458" t="s">
        <v>944</v>
      </c>
      <c r="B72" s="502">
        <v>2.5000000000000001E-5</v>
      </c>
      <c r="C72" s="719" t="s">
        <v>1412</v>
      </c>
      <c r="D72" s="565">
        <v>41</v>
      </c>
      <c r="E72" s="565">
        <v>3.4549060656200404E-3</v>
      </c>
      <c r="F72" s="720">
        <v>1.9E-3</v>
      </c>
      <c r="G72" s="523">
        <v>2.5000000000000001E-5</v>
      </c>
    </row>
    <row r="73" spans="1:7" ht="11.25" customHeight="1">
      <c r="A73" s="458" t="s">
        <v>945</v>
      </c>
      <c r="B73" s="502">
        <v>220</v>
      </c>
      <c r="C73" s="719" t="s">
        <v>1411</v>
      </c>
      <c r="D73" s="565">
        <v>50000</v>
      </c>
      <c r="E73" s="565">
        <v>14840.349637723393</v>
      </c>
      <c r="F73" s="720">
        <v>220</v>
      </c>
      <c r="G73" s="523">
        <v>44000</v>
      </c>
    </row>
    <row r="74" spans="1:7" ht="11.25" customHeight="1">
      <c r="A74" s="458" t="s">
        <v>947</v>
      </c>
      <c r="B74" s="502">
        <v>120</v>
      </c>
      <c r="C74" s="719" t="s">
        <v>1411</v>
      </c>
      <c r="D74" s="565">
        <v>400</v>
      </c>
      <c r="E74" s="565">
        <v>355.32722285616643</v>
      </c>
      <c r="F74" s="720">
        <v>120</v>
      </c>
      <c r="G74" s="523">
        <v>850</v>
      </c>
    </row>
    <row r="75" spans="1:7" ht="11.25" customHeight="1">
      <c r="A75" s="458" t="s">
        <v>946</v>
      </c>
      <c r="B75" s="502">
        <v>1100</v>
      </c>
      <c r="C75" s="719" t="s">
        <v>1411</v>
      </c>
      <c r="D75" s="565">
        <v>50000</v>
      </c>
      <c r="E75" s="565">
        <v>186554.34671245472</v>
      </c>
      <c r="F75" s="720">
        <v>1100</v>
      </c>
      <c r="G75" s="523">
        <v>1100000</v>
      </c>
    </row>
    <row r="76" spans="1:7" ht="11.25" customHeight="1">
      <c r="A76" s="462" t="s">
        <v>99</v>
      </c>
      <c r="B76" s="502">
        <v>1.9515311927751111</v>
      </c>
      <c r="C76" s="719" t="s">
        <v>870</v>
      </c>
      <c r="D76" s="565">
        <v>50000</v>
      </c>
      <c r="E76" s="565">
        <v>1.9515311927751111</v>
      </c>
      <c r="F76" s="720">
        <v>22</v>
      </c>
      <c r="G76" s="523" t="s">
        <v>954</v>
      </c>
    </row>
    <row r="77" spans="1:7" ht="11.25" customHeight="1">
      <c r="A77" s="458" t="s">
        <v>297</v>
      </c>
      <c r="B77" s="502">
        <v>38.830541475137551</v>
      </c>
      <c r="C77" s="719" t="s">
        <v>870</v>
      </c>
      <c r="D77" s="565">
        <v>50000</v>
      </c>
      <c r="E77" s="565">
        <v>38.830541475137551</v>
      </c>
      <c r="F77" s="720">
        <v>71</v>
      </c>
      <c r="G77" s="523">
        <v>5300</v>
      </c>
    </row>
    <row r="78" spans="1:7" ht="11.25" customHeight="1">
      <c r="A78" s="462" t="s">
        <v>100</v>
      </c>
      <c r="B78" s="502">
        <v>0.2374799832189621</v>
      </c>
      <c r="C78" s="719" t="s">
        <v>870</v>
      </c>
      <c r="D78" s="565">
        <v>50000</v>
      </c>
      <c r="E78" s="565">
        <v>0.2374799832189621</v>
      </c>
      <c r="F78" s="720">
        <v>44</v>
      </c>
      <c r="G78" s="523">
        <v>3</v>
      </c>
    </row>
    <row r="79" spans="1:7" ht="11.25" customHeight="1">
      <c r="A79" s="462" t="s">
        <v>101</v>
      </c>
      <c r="B79" s="502">
        <v>4.8541215187419794E-2</v>
      </c>
      <c r="C79" s="719" t="s">
        <v>870</v>
      </c>
      <c r="D79" s="565">
        <v>50000</v>
      </c>
      <c r="E79" s="565">
        <v>4.8541215187419794E-2</v>
      </c>
      <c r="F79" s="720">
        <v>81</v>
      </c>
      <c r="G79" s="523" t="s">
        <v>954</v>
      </c>
    </row>
    <row r="80" spans="1:7" ht="11.25" customHeight="1">
      <c r="A80" s="458" t="s">
        <v>382</v>
      </c>
      <c r="B80" s="502">
        <v>0.45905899511359882</v>
      </c>
      <c r="C80" s="719" t="s">
        <v>870</v>
      </c>
      <c r="D80" s="565">
        <v>50000</v>
      </c>
      <c r="E80" s="565">
        <v>0.45905899511359882</v>
      </c>
      <c r="F80" s="720">
        <v>335000</v>
      </c>
      <c r="G80" s="523" t="s">
        <v>954</v>
      </c>
    </row>
    <row r="81" spans="1:7" ht="11.25" customHeight="1">
      <c r="A81" s="458" t="s">
        <v>594</v>
      </c>
      <c r="B81" s="502">
        <v>3.1E-9</v>
      </c>
      <c r="C81" s="719" t="s">
        <v>1411</v>
      </c>
      <c r="D81" s="565">
        <v>0.1</v>
      </c>
      <c r="E81" s="565">
        <v>3.0000000000000001E-5</v>
      </c>
      <c r="F81" s="720">
        <v>3.1E-9</v>
      </c>
      <c r="G81" s="523">
        <v>5.0000000000000001E-9</v>
      </c>
    </row>
    <row r="82" spans="1:7" ht="11.25" customHeight="1">
      <c r="A82" s="458" t="s">
        <v>102</v>
      </c>
      <c r="B82" s="502">
        <v>36.050648892392552</v>
      </c>
      <c r="C82" s="719" t="s">
        <v>870</v>
      </c>
      <c r="D82" s="565">
        <v>21000</v>
      </c>
      <c r="E82" s="565">
        <v>36.050648892392552</v>
      </c>
      <c r="F82" s="720">
        <v>60</v>
      </c>
      <c r="G82" s="523" t="s">
        <v>954</v>
      </c>
    </row>
    <row r="83" spans="1:7" ht="11.25" customHeight="1">
      <c r="A83" s="458" t="s">
        <v>370</v>
      </c>
      <c r="B83" s="502">
        <v>5.6000000000000001E-2</v>
      </c>
      <c r="C83" s="719" t="s">
        <v>1411</v>
      </c>
      <c r="D83" s="565">
        <v>162.5</v>
      </c>
      <c r="E83" s="565">
        <v>99.285903454277815</v>
      </c>
      <c r="F83" s="720">
        <v>5.6000000000000001E-2</v>
      </c>
      <c r="G83" s="523">
        <v>52</v>
      </c>
    </row>
    <row r="84" spans="1:7" ht="11.25" customHeight="1">
      <c r="A84" s="458" t="s">
        <v>337</v>
      </c>
      <c r="B84" s="502">
        <v>2.3E-3</v>
      </c>
      <c r="C84" s="719" t="s">
        <v>1411</v>
      </c>
      <c r="D84" s="565">
        <v>41</v>
      </c>
      <c r="E84" s="565">
        <v>2</v>
      </c>
      <c r="F84" s="720">
        <v>2.3E-3</v>
      </c>
      <c r="G84" s="523">
        <v>0.81</v>
      </c>
    </row>
    <row r="85" spans="1:7" ht="11.25" customHeight="1">
      <c r="A85" s="458" t="s">
        <v>28</v>
      </c>
      <c r="B85" s="502">
        <v>0</v>
      </c>
      <c r="C85" s="719" t="s">
        <v>870</v>
      </c>
      <c r="D85" s="565">
        <v>50000</v>
      </c>
      <c r="E85" s="565">
        <v>0</v>
      </c>
      <c r="F85" s="720">
        <v>0</v>
      </c>
      <c r="G85" s="523" t="s">
        <v>954</v>
      </c>
    </row>
    <row r="86" spans="1:7" ht="11.25" customHeight="1">
      <c r="A86" s="458" t="s">
        <v>338</v>
      </c>
      <c r="B86" s="502">
        <v>30</v>
      </c>
      <c r="C86" s="719" t="s">
        <v>1409</v>
      </c>
      <c r="D86" s="565">
        <v>30</v>
      </c>
      <c r="E86" s="565">
        <v>700</v>
      </c>
      <c r="F86" s="720">
        <v>61</v>
      </c>
      <c r="G86" s="523">
        <v>1070</v>
      </c>
    </row>
    <row r="87" spans="1:7" ht="11.25" customHeight="1">
      <c r="A87" s="458" t="s">
        <v>339</v>
      </c>
      <c r="B87" s="502">
        <v>0.8</v>
      </c>
      <c r="C87" s="719" t="s">
        <v>1411</v>
      </c>
      <c r="D87" s="565">
        <v>130</v>
      </c>
      <c r="E87" s="565">
        <v>112.98231171872068</v>
      </c>
      <c r="F87" s="720">
        <v>0.8</v>
      </c>
      <c r="G87" s="523">
        <v>18</v>
      </c>
    </row>
    <row r="88" spans="1:7" ht="11.25" customHeight="1">
      <c r="A88" s="458" t="s">
        <v>340</v>
      </c>
      <c r="B88" s="502">
        <v>19</v>
      </c>
      <c r="C88" s="719" t="s">
        <v>1411</v>
      </c>
      <c r="D88" s="565">
        <v>845</v>
      </c>
      <c r="E88" s="565">
        <v>250.08516556490937</v>
      </c>
      <c r="F88" s="720">
        <v>19</v>
      </c>
      <c r="G88" s="523">
        <v>5300</v>
      </c>
    </row>
    <row r="89" spans="1:7" ht="11.25" customHeight="1">
      <c r="A89" s="458" t="s">
        <v>103</v>
      </c>
      <c r="B89" s="502">
        <v>700</v>
      </c>
      <c r="C89" s="719" t="s">
        <v>870</v>
      </c>
      <c r="D89" s="565">
        <v>50000</v>
      </c>
      <c r="E89" s="565">
        <v>700</v>
      </c>
      <c r="F89" s="720">
        <v>1800</v>
      </c>
      <c r="G89" s="523" t="s">
        <v>954</v>
      </c>
    </row>
    <row r="90" spans="1:7" ht="11.25" customHeight="1">
      <c r="A90" s="458" t="s">
        <v>341</v>
      </c>
      <c r="B90" s="502">
        <v>9.0000000000000006E-5</v>
      </c>
      <c r="C90" s="719" t="s">
        <v>1412</v>
      </c>
      <c r="D90" s="565">
        <v>20</v>
      </c>
      <c r="E90" s="565">
        <v>0.4</v>
      </c>
      <c r="F90" s="720">
        <v>3.8E-3</v>
      </c>
      <c r="G90" s="523">
        <v>9.0000000000000006E-5</v>
      </c>
    </row>
    <row r="91" spans="1:7" ht="11.25" customHeight="1">
      <c r="A91" s="458" t="s">
        <v>342</v>
      </c>
      <c r="B91" s="502">
        <v>3.8999999999999999E-5</v>
      </c>
      <c r="C91" s="719" t="s">
        <v>1412</v>
      </c>
      <c r="D91" s="565">
        <v>100</v>
      </c>
      <c r="E91" s="565">
        <v>0.2</v>
      </c>
      <c r="F91" s="720">
        <v>3.8E-3</v>
      </c>
      <c r="G91" s="523">
        <v>3.8999999999999999E-5</v>
      </c>
    </row>
    <row r="92" spans="1:7" ht="11.25" customHeight="1">
      <c r="A92" s="458" t="s">
        <v>371</v>
      </c>
      <c r="B92" s="502">
        <v>2.4000000000000001E-4</v>
      </c>
      <c r="C92" s="719" t="s">
        <v>1412</v>
      </c>
      <c r="D92" s="565">
        <v>3.1</v>
      </c>
      <c r="E92" s="565">
        <v>1</v>
      </c>
      <c r="F92" s="720">
        <v>2.9999999999999997E-4</v>
      </c>
      <c r="G92" s="523">
        <v>2.4000000000000001E-4</v>
      </c>
    </row>
    <row r="93" spans="1:7" ht="11.25" customHeight="1">
      <c r="A93" s="458" t="s">
        <v>343</v>
      </c>
      <c r="B93" s="502">
        <v>0.28185208671381157</v>
      </c>
      <c r="C93" s="719" t="s">
        <v>870</v>
      </c>
      <c r="D93" s="565">
        <v>6</v>
      </c>
      <c r="E93" s="565">
        <v>0.28185208671381157</v>
      </c>
      <c r="F93" s="720">
        <v>1</v>
      </c>
      <c r="G93" s="523">
        <v>16</v>
      </c>
    </row>
    <row r="94" spans="1:7" ht="11.25" customHeight="1">
      <c r="A94" s="458" t="s">
        <v>364</v>
      </c>
      <c r="B94" s="502">
        <v>0.02</v>
      </c>
      <c r="C94" s="719" t="s">
        <v>1412</v>
      </c>
      <c r="D94" s="565">
        <v>3650</v>
      </c>
      <c r="E94" s="565">
        <v>0.2</v>
      </c>
      <c r="F94" s="720">
        <v>0.08</v>
      </c>
      <c r="G94" s="523">
        <v>0.02</v>
      </c>
    </row>
    <row r="95" spans="1:7" ht="11.25" customHeight="1">
      <c r="A95" s="458" t="s">
        <v>344</v>
      </c>
      <c r="B95" s="502">
        <v>0.92032782815026715</v>
      </c>
      <c r="C95" s="719" t="s">
        <v>870</v>
      </c>
      <c r="D95" s="565">
        <v>10</v>
      </c>
      <c r="E95" s="565">
        <v>0.92032782815026715</v>
      </c>
      <c r="F95" s="720">
        <v>12</v>
      </c>
      <c r="G95" s="523">
        <v>2.9</v>
      </c>
    </row>
    <row r="96" spans="1:7" ht="11.25" customHeight="1">
      <c r="A96" s="458" t="s">
        <v>104</v>
      </c>
      <c r="B96" s="502">
        <v>643.85147502055895</v>
      </c>
      <c r="C96" s="719" t="s">
        <v>870</v>
      </c>
      <c r="D96" s="565">
        <v>50000</v>
      </c>
      <c r="E96" s="565">
        <v>643.85147502055895</v>
      </c>
      <c r="F96" s="720">
        <v>17000</v>
      </c>
      <c r="G96" s="523" t="s">
        <v>954</v>
      </c>
    </row>
    <row r="97" spans="1:7" ht="11.25" customHeight="1">
      <c r="A97" s="458" t="s">
        <v>345</v>
      </c>
      <c r="B97" s="502">
        <v>1.7683609753016836E-2</v>
      </c>
      <c r="C97" s="719" t="s">
        <v>870</v>
      </c>
      <c r="D97" s="565">
        <v>9.5000000000000001E-2</v>
      </c>
      <c r="E97" s="565">
        <v>1.7683609753016836E-2</v>
      </c>
      <c r="F97" s="720">
        <v>0.28000000000000003</v>
      </c>
      <c r="G97" s="523">
        <v>1.7999999999999999E-2</v>
      </c>
    </row>
    <row r="98" spans="1:7" ht="11.25" customHeight="1">
      <c r="A98" s="458" t="s">
        <v>105</v>
      </c>
      <c r="B98" s="502">
        <v>78.070039071294488</v>
      </c>
      <c r="C98" s="719" t="s">
        <v>870</v>
      </c>
      <c r="D98" s="565">
        <v>50000</v>
      </c>
      <c r="E98" s="565">
        <v>78.070039071294488</v>
      </c>
      <c r="F98" s="720">
        <v>920</v>
      </c>
      <c r="G98" s="523">
        <v>170000</v>
      </c>
    </row>
    <row r="99" spans="1:7" ht="11.25" customHeight="1">
      <c r="A99" s="458" t="s">
        <v>346</v>
      </c>
      <c r="B99" s="502">
        <v>15</v>
      </c>
      <c r="C99" s="719" t="s">
        <v>870</v>
      </c>
      <c r="D99" s="565">
        <v>50000</v>
      </c>
      <c r="E99" s="565">
        <v>15</v>
      </c>
      <c r="F99" s="720">
        <v>29</v>
      </c>
      <c r="G99" s="523" t="s">
        <v>954</v>
      </c>
    </row>
    <row r="100" spans="1:7" ht="11.25" customHeight="1">
      <c r="A100" s="458" t="s">
        <v>347</v>
      </c>
      <c r="B100" s="502">
        <v>4.7E-2</v>
      </c>
      <c r="C100" s="719" t="s">
        <v>1412</v>
      </c>
      <c r="D100" s="565">
        <v>50000</v>
      </c>
      <c r="E100" s="565">
        <v>2</v>
      </c>
      <c r="F100" s="720">
        <v>0.55000000000000004</v>
      </c>
      <c r="G100" s="523">
        <v>4.7E-2</v>
      </c>
    </row>
    <row r="101" spans="1:7" ht="11.25" customHeight="1">
      <c r="A101" s="458" t="s">
        <v>348</v>
      </c>
      <c r="B101" s="502">
        <v>0.03</v>
      </c>
      <c r="C101" s="719" t="s">
        <v>1411</v>
      </c>
      <c r="D101" s="565">
        <v>50</v>
      </c>
      <c r="E101" s="565">
        <v>40</v>
      </c>
      <c r="F101" s="720">
        <v>0.03</v>
      </c>
      <c r="G101" s="523" t="s">
        <v>954</v>
      </c>
    </row>
    <row r="102" spans="1:7" ht="11.25" customHeight="1">
      <c r="A102" s="458" t="s">
        <v>350</v>
      </c>
      <c r="B102" s="502">
        <v>8400</v>
      </c>
      <c r="C102" s="719" t="s">
        <v>1409</v>
      </c>
      <c r="D102" s="565">
        <v>8400</v>
      </c>
      <c r="E102" s="565">
        <v>9943.3205762492889</v>
      </c>
      <c r="F102" s="720">
        <v>22000</v>
      </c>
      <c r="G102" s="523" t="s">
        <v>954</v>
      </c>
    </row>
    <row r="103" spans="1:7" ht="11.25" customHeight="1">
      <c r="A103" s="458" t="s">
        <v>351</v>
      </c>
      <c r="B103" s="502">
        <v>170</v>
      </c>
      <c r="C103" s="719" t="s">
        <v>1411</v>
      </c>
      <c r="D103" s="565">
        <v>1300</v>
      </c>
      <c r="E103" s="565">
        <v>35755.102040816324</v>
      </c>
      <c r="F103" s="720">
        <v>170</v>
      </c>
      <c r="G103" s="523" t="s">
        <v>954</v>
      </c>
    </row>
    <row r="104" spans="1:7" ht="11.25" customHeight="1">
      <c r="A104" s="458" t="s">
        <v>352</v>
      </c>
      <c r="B104" s="502">
        <v>2.8E-3</v>
      </c>
      <c r="C104" s="719" t="s">
        <v>1411</v>
      </c>
      <c r="D104" s="565">
        <v>50000</v>
      </c>
      <c r="E104" s="565">
        <v>1.962844121223863</v>
      </c>
      <c r="F104" s="720">
        <v>2.8E-3</v>
      </c>
      <c r="G104" s="523" t="s">
        <v>954</v>
      </c>
    </row>
    <row r="105" spans="1:7" ht="11.25" customHeight="1">
      <c r="A105" s="458" t="s">
        <v>353</v>
      </c>
      <c r="B105" s="502">
        <v>5</v>
      </c>
      <c r="C105" s="719" t="s">
        <v>1409</v>
      </c>
      <c r="D105" s="565">
        <v>5</v>
      </c>
      <c r="E105" s="565">
        <v>14.30439413214298</v>
      </c>
      <c r="F105" s="720">
        <v>730</v>
      </c>
      <c r="G105" s="523" t="s">
        <v>954</v>
      </c>
    </row>
    <row r="106" spans="1:7" ht="11.25" customHeight="1">
      <c r="A106" s="458" t="s">
        <v>349</v>
      </c>
      <c r="B106" s="502">
        <v>5</v>
      </c>
      <c r="C106" s="719" t="s">
        <v>870</v>
      </c>
      <c r="D106" s="565">
        <v>9100</v>
      </c>
      <c r="E106" s="565">
        <v>5</v>
      </c>
      <c r="F106" s="720">
        <v>1500</v>
      </c>
      <c r="G106" s="523">
        <v>590</v>
      </c>
    </row>
    <row r="107" spans="1:7" ht="11.25" customHeight="1">
      <c r="A107" s="458" t="s">
        <v>590</v>
      </c>
      <c r="B107" s="502">
        <v>2.1</v>
      </c>
      <c r="C107" s="719" t="s">
        <v>1411</v>
      </c>
      <c r="D107" s="565">
        <v>10</v>
      </c>
      <c r="E107" s="565">
        <v>11.376814592975361</v>
      </c>
      <c r="F107" s="720">
        <v>2.1</v>
      </c>
      <c r="G107" s="523" t="s">
        <v>954</v>
      </c>
    </row>
    <row r="108" spans="1:7" ht="11.25" customHeight="1">
      <c r="A108" s="458" t="s">
        <v>591</v>
      </c>
      <c r="B108" s="502">
        <v>4.7</v>
      </c>
      <c r="C108" s="719" t="s">
        <v>1411</v>
      </c>
      <c r="D108" s="565">
        <v>10</v>
      </c>
      <c r="E108" s="565">
        <v>29.559287502503544</v>
      </c>
      <c r="F108" s="720">
        <v>4.7</v>
      </c>
      <c r="G108" s="523" t="s">
        <v>954</v>
      </c>
    </row>
    <row r="109" spans="1:7" ht="11.25" customHeight="1">
      <c r="A109" s="458" t="s">
        <v>465</v>
      </c>
      <c r="B109" s="502">
        <v>99.283946060627287</v>
      </c>
      <c r="C109" s="719" t="s">
        <v>870</v>
      </c>
      <c r="D109" s="565">
        <v>50000</v>
      </c>
      <c r="E109" s="565">
        <v>99.283946060627287</v>
      </c>
      <c r="F109" s="720">
        <v>800</v>
      </c>
      <c r="G109" s="523" t="s">
        <v>954</v>
      </c>
    </row>
    <row r="110" spans="1:7" ht="11.25" customHeight="1">
      <c r="A110" s="458" t="s">
        <v>466</v>
      </c>
      <c r="B110" s="502">
        <v>17</v>
      </c>
      <c r="C110" s="719" t="s">
        <v>870</v>
      </c>
      <c r="D110" s="565">
        <v>21</v>
      </c>
      <c r="E110" s="565">
        <v>17</v>
      </c>
      <c r="F110" s="720">
        <v>21</v>
      </c>
      <c r="G110" s="523" t="s">
        <v>954</v>
      </c>
    </row>
    <row r="111" spans="1:7" ht="11.25" customHeight="1">
      <c r="A111" s="458" t="s">
        <v>812</v>
      </c>
      <c r="B111" s="502">
        <v>5</v>
      </c>
      <c r="C111" s="719" t="s">
        <v>1411</v>
      </c>
      <c r="D111" s="565">
        <v>50000</v>
      </c>
      <c r="E111" s="565">
        <v>378.45251627361586</v>
      </c>
      <c r="F111" s="720">
        <v>5</v>
      </c>
      <c r="G111" s="523">
        <v>33</v>
      </c>
    </row>
    <row r="112" spans="1:7" ht="11.25" customHeight="1">
      <c r="A112" s="462" t="s">
        <v>106</v>
      </c>
      <c r="B112" s="502">
        <v>0.14038461538461536</v>
      </c>
      <c r="C112" s="719" t="s">
        <v>870</v>
      </c>
      <c r="D112" s="565">
        <v>50000</v>
      </c>
      <c r="E112" s="565">
        <v>0.14038461538461536</v>
      </c>
      <c r="F112" s="720">
        <v>380</v>
      </c>
      <c r="G112" s="523" t="s">
        <v>954</v>
      </c>
    </row>
    <row r="113" spans="1:7" ht="11.25" customHeight="1">
      <c r="A113" s="462" t="s">
        <v>107</v>
      </c>
      <c r="B113" s="502">
        <v>1.9602041687573981</v>
      </c>
      <c r="C113" s="719" t="s">
        <v>870</v>
      </c>
      <c r="D113" s="565">
        <v>50000</v>
      </c>
      <c r="E113" s="565">
        <v>1.9602041687573981</v>
      </c>
      <c r="F113" s="720">
        <v>18</v>
      </c>
      <c r="G113" s="523" t="s">
        <v>954</v>
      </c>
    </row>
    <row r="114" spans="1:7" ht="11.25" customHeight="1">
      <c r="A114" s="462" t="s">
        <v>108</v>
      </c>
      <c r="B114" s="502">
        <v>0.31415552893667309</v>
      </c>
      <c r="C114" s="719" t="s">
        <v>870</v>
      </c>
      <c r="D114" s="565">
        <v>50000</v>
      </c>
      <c r="E114" s="565">
        <v>0.31415552893667309</v>
      </c>
      <c r="F114" s="720">
        <v>71</v>
      </c>
      <c r="G114" s="523" t="s">
        <v>954</v>
      </c>
    </row>
    <row r="115" spans="1:7" ht="11.25" customHeight="1">
      <c r="A115" s="462" t="s">
        <v>109</v>
      </c>
      <c r="B115" s="502">
        <v>1.7483564887195151</v>
      </c>
      <c r="C115" s="719" t="s">
        <v>870</v>
      </c>
      <c r="D115" s="565">
        <v>50000</v>
      </c>
      <c r="E115" s="565">
        <v>1.7483564887195151</v>
      </c>
      <c r="F115" s="720">
        <v>42</v>
      </c>
      <c r="G115" s="523" t="s">
        <v>954</v>
      </c>
    </row>
    <row r="116" spans="1:7" ht="11.25" customHeight="1">
      <c r="A116" s="462" t="s">
        <v>110</v>
      </c>
      <c r="B116" s="502">
        <v>4.2655457130423766</v>
      </c>
      <c r="C116" s="719" t="s">
        <v>870</v>
      </c>
      <c r="D116" s="565">
        <v>50000</v>
      </c>
      <c r="E116" s="565">
        <v>4.2655457130423766</v>
      </c>
      <c r="F116" s="720">
        <v>46</v>
      </c>
      <c r="G116" s="523" t="s">
        <v>954</v>
      </c>
    </row>
    <row r="117" spans="1:7" ht="11.25" customHeight="1">
      <c r="A117" s="458" t="s">
        <v>467</v>
      </c>
      <c r="B117" s="502">
        <v>1</v>
      </c>
      <c r="C117" s="719" t="s">
        <v>870</v>
      </c>
      <c r="D117" s="565">
        <v>30</v>
      </c>
      <c r="E117" s="565">
        <v>1</v>
      </c>
      <c r="F117" s="720">
        <v>13</v>
      </c>
      <c r="G117" s="523">
        <v>3</v>
      </c>
    </row>
    <row r="118" spans="1:7" ht="11.25" customHeight="1">
      <c r="A118" s="462" t="s">
        <v>111</v>
      </c>
      <c r="B118" s="502">
        <v>17.332516072630696</v>
      </c>
      <c r="C118" s="719" t="s">
        <v>870</v>
      </c>
      <c r="D118" s="565">
        <v>21500</v>
      </c>
      <c r="E118" s="565">
        <v>17.332516072630696</v>
      </c>
      <c r="F118" s="720">
        <v>850000</v>
      </c>
      <c r="G118" s="523" t="s">
        <v>954</v>
      </c>
    </row>
    <row r="119" spans="1:7" ht="11.25" customHeight="1">
      <c r="A119" s="458" t="s">
        <v>231</v>
      </c>
      <c r="B119" s="502">
        <v>15</v>
      </c>
      <c r="C119" s="719" t="s">
        <v>870</v>
      </c>
      <c r="D119" s="565">
        <v>50000</v>
      </c>
      <c r="E119" s="565">
        <v>15</v>
      </c>
      <c r="F119" s="720">
        <v>600</v>
      </c>
      <c r="G119" s="523" t="s">
        <v>954</v>
      </c>
    </row>
    <row r="120" spans="1:7" ht="11.25" customHeight="1">
      <c r="A120" s="458" t="s">
        <v>468</v>
      </c>
      <c r="B120" s="502">
        <v>2.2999999999999998</v>
      </c>
      <c r="C120" s="719" t="s">
        <v>1411</v>
      </c>
      <c r="D120" s="565">
        <v>408</v>
      </c>
      <c r="E120" s="565">
        <v>250.08516556490937</v>
      </c>
      <c r="F120" s="720">
        <v>2.2999999999999998</v>
      </c>
      <c r="G120" s="523" t="s">
        <v>954</v>
      </c>
    </row>
    <row r="121" spans="1:7" ht="11.25" customHeight="1">
      <c r="A121" s="458" t="s">
        <v>469</v>
      </c>
      <c r="B121" s="502">
        <v>160</v>
      </c>
      <c r="C121" s="719" t="s">
        <v>1411</v>
      </c>
      <c r="D121" s="565">
        <v>7900</v>
      </c>
      <c r="E121" s="565">
        <v>5769.529995855768</v>
      </c>
      <c r="F121" s="720">
        <v>160</v>
      </c>
      <c r="G121" s="523">
        <v>1700000</v>
      </c>
    </row>
    <row r="122" spans="1:7" ht="11.25" customHeight="1">
      <c r="A122" s="458" t="s">
        <v>365</v>
      </c>
      <c r="B122" s="502">
        <v>7.8999999999999996E-5</v>
      </c>
      <c r="C122" s="719" t="s">
        <v>1412</v>
      </c>
      <c r="D122" s="565">
        <v>21.5</v>
      </c>
      <c r="E122" s="565">
        <v>0.5</v>
      </c>
      <c r="F122" s="720">
        <v>1.4E-2</v>
      </c>
      <c r="G122" s="523">
        <v>7.8999999999999996E-5</v>
      </c>
    </row>
    <row r="123" spans="1:7" ht="11.25" customHeight="1">
      <c r="A123" s="458" t="s">
        <v>112</v>
      </c>
      <c r="B123" s="502">
        <v>95</v>
      </c>
      <c r="C123" s="719" t="s">
        <v>1411</v>
      </c>
      <c r="D123" s="565">
        <v>50000</v>
      </c>
      <c r="E123" s="565">
        <v>1576.0445630389663</v>
      </c>
      <c r="F123" s="720">
        <v>95</v>
      </c>
      <c r="G123" s="523" t="s">
        <v>954</v>
      </c>
    </row>
    <row r="124" spans="1:7" ht="11.25" customHeight="1">
      <c r="A124" s="458" t="s">
        <v>470</v>
      </c>
      <c r="B124" s="502">
        <v>4.5999999999999996</v>
      </c>
      <c r="C124" s="719" t="s">
        <v>1411</v>
      </c>
      <c r="D124" s="565">
        <v>67.5</v>
      </c>
      <c r="E124" s="565">
        <v>110.15672974106204</v>
      </c>
      <c r="F124" s="720">
        <v>4.5999999999999996</v>
      </c>
      <c r="G124" s="523">
        <v>4000</v>
      </c>
    </row>
    <row r="125" spans="1:7" ht="11.25" customHeight="1">
      <c r="A125" s="458" t="s">
        <v>471</v>
      </c>
      <c r="B125" s="502">
        <v>5</v>
      </c>
      <c r="C125" s="719" t="s">
        <v>1411</v>
      </c>
      <c r="D125" s="565">
        <v>50000</v>
      </c>
      <c r="E125" s="565">
        <v>50</v>
      </c>
      <c r="F125" s="720">
        <v>5</v>
      </c>
      <c r="G125" s="523" t="s">
        <v>954</v>
      </c>
    </row>
    <row r="126" spans="1:7" ht="11.25" customHeight="1">
      <c r="A126" s="458" t="s">
        <v>813</v>
      </c>
      <c r="B126" s="502">
        <v>1</v>
      </c>
      <c r="C126" s="719" t="s">
        <v>1411</v>
      </c>
      <c r="D126" s="565">
        <v>100</v>
      </c>
      <c r="E126" s="565">
        <v>100.24879588690277</v>
      </c>
      <c r="F126" s="720">
        <v>1</v>
      </c>
      <c r="G126" s="523" t="s">
        <v>954</v>
      </c>
    </row>
    <row r="127" spans="1:7" ht="11.25" customHeight="1">
      <c r="A127" s="458" t="s">
        <v>113</v>
      </c>
      <c r="B127" s="502">
        <v>4</v>
      </c>
      <c r="C127" s="719" t="s">
        <v>870</v>
      </c>
      <c r="D127" s="565">
        <v>3100</v>
      </c>
      <c r="E127" s="565">
        <v>4</v>
      </c>
      <c r="F127" s="720">
        <v>9</v>
      </c>
      <c r="G127" s="523" t="s">
        <v>954</v>
      </c>
    </row>
    <row r="128" spans="1:7" ht="11.25" customHeight="1">
      <c r="A128" s="458" t="s">
        <v>472</v>
      </c>
      <c r="B128" s="502">
        <v>10</v>
      </c>
      <c r="C128" s="719" t="s">
        <v>1409</v>
      </c>
      <c r="D128" s="565">
        <v>10</v>
      </c>
      <c r="E128" s="565">
        <v>100</v>
      </c>
      <c r="F128" s="720">
        <v>32</v>
      </c>
      <c r="G128" s="523" t="s">
        <v>954</v>
      </c>
    </row>
    <row r="129" spans="1:7" ht="11.25" customHeight="1">
      <c r="A129" s="458" t="s">
        <v>114</v>
      </c>
      <c r="B129" s="502">
        <v>251.31929956026045</v>
      </c>
      <c r="C129" s="719" t="s">
        <v>870</v>
      </c>
      <c r="D129" s="565">
        <v>50000</v>
      </c>
      <c r="E129" s="565">
        <v>251.31929956026045</v>
      </c>
      <c r="F129" s="720">
        <v>1200</v>
      </c>
      <c r="G129" s="523" t="s">
        <v>954</v>
      </c>
    </row>
    <row r="130" spans="1:7" ht="11.25" customHeight="1">
      <c r="A130" s="458" t="s">
        <v>19</v>
      </c>
      <c r="B130" s="502">
        <v>59.526771727540208</v>
      </c>
      <c r="C130" s="719" t="s">
        <v>870</v>
      </c>
      <c r="D130" s="565">
        <v>50000</v>
      </c>
      <c r="E130" s="565">
        <v>59.526771727540208</v>
      </c>
      <c r="F130" s="720">
        <v>18000</v>
      </c>
      <c r="G130" s="523" t="s">
        <v>954</v>
      </c>
    </row>
    <row r="131" spans="1:7" ht="11.25" customHeight="1">
      <c r="A131" s="458" t="s">
        <v>473</v>
      </c>
      <c r="B131" s="502">
        <v>0.57369738025483408</v>
      </c>
      <c r="C131" s="719" t="s">
        <v>870</v>
      </c>
      <c r="D131" s="565">
        <v>50000</v>
      </c>
      <c r="E131" s="565">
        <v>0.57369738025483408</v>
      </c>
      <c r="F131" s="720">
        <v>85</v>
      </c>
      <c r="G131" s="523" t="s">
        <v>954</v>
      </c>
    </row>
    <row r="132" spans="1:7" ht="11.25" customHeight="1">
      <c r="A132" s="458" t="s">
        <v>474</v>
      </c>
      <c r="B132" s="502">
        <v>7.5738899992116304E-2</v>
      </c>
      <c r="C132" s="719" t="s">
        <v>870</v>
      </c>
      <c r="D132" s="565">
        <v>500</v>
      </c>
      <c r="E132" s="565">
        <v>7.5738899992116304E-2</v>
      </c>
      <c r="F132" s="720">
        <v>200</v>
      </c>
      <c r="G132" s="523">
        <v>3.5</v>
      </c>
    </row>
    <row r="133" spans="1:7" ht="11.25" customHeight="1">
      <c r="A133" s="458" t="s">
        <v>475</v>
      </c>
      <c r="B133" s="502">
        <v>2.9</v>
      </c>
      <c r="C133" s="719" t="s">
        <v>1412</v>
      </c>
      <c r="D133" s="565">
        <v>170</v>
      </c>
      <c r="E133" s="565">
        <v>5</v>
      </c>
      <c r="F133" s="720">
        <v>53</v>
      </c>
      <c r="G133" s="523">
        <v>2.9</v>
      </c>
    </row>
    <row r="134" spans="1:7" ht="11.25" customHeight="1">
      <c r="A134" s="458" t="s">
        <v>115</v>
      </c>
      <c r="B134" s="502">
        <v>1.2</v>
      </c>
      <c r="C134" s="719" t="s">
        <v>1411</v>
      </c>
      <c r="D134" s="565">
        <v>11500</v>
      </c>
      <c r="E134" s="565">
        <v>222.64948848261417</v>
      </c>
      <c r="F134" s="720">
        <v>1.2</v>
      </c>
      <c r="G134" s="523" t="s">
        <v>954</v>
      </c>
    </row>
    <row r="135" spans="1:7" ht="11.25" customHeight="1">
      <c r="A135" s="462" t="s">
        <v>116</v>
      </c>
      <c r="B135" s="502">
        <v>220</v>
      </c>
      <c r="C135" s="719" t="s">
        <v>1411</v>
      </c>
      <c r="D135" s="565">
        <v>2500</v>
      </c>
      <c r="E135" s="565">
        <v>1001.1634345604283</v>
      </c>
      <c r="F135" s="720">
        <v>220</v>
      </c>
      <c r="G135" s="523" t="s">
        <v>954</v>
      </c>
    </row>
    <row r="136" spans="1:7" ht="11.25" customHeight="1">
      <c r="A136" s="458" t="s">
        <v>476</v>
      </c>
      <c r="B136" s="502">
        <v>2</v>
      </c>
      <c r="C136" s="719" t="s">
        <v>870</v>
      </c>
      <c r="D136" s="565">
        <v>50000</v>
      </c>
      <c r="E136" s="565">
        <v>2</v>
      </c>
      <c r="F136" s="720">
        <v>6</v>
      </c>
      <c r="G136" s="523">
        <v>16</v>
      </c>
    </row>
    <row r="137" spans="1:7" ht="11.25" customHeight="1">
      <c r="A137" s="458" t="s">
        <v>366</v>
      </c>
      <c r="B137" s="502">
        <v>40</v>
      </c>
      <c r="C137" s="719" t="s">
        <v>1409</v>
      </c>
      <c r="D137" s="565">
        <v>40</v>
      </c>
      <c r="E137" s="565">
        <v>1000</v>
      </c>
      <c r="F137" s="720">
        <v>62</v>
      </c>
      <c r="G137" s="523">
        <v>140000</v>
      </c>
    </row>
    <row r="138" spans="1:7" ht="11.25" customHeight="1">
      <c r="A138" s="458" t="s">
        <v>20</v>
      </c>
      <c r="B138" s="502">
        <v>2.0000000000000001E-4</v>
      </c>
      <c r="C138" s="719" t="s">
        <v>1411</v>
      </c>
      <c r="D138" s="565">
        <v>140</v>
      </c>
      <c r="E138" s="565">
        <v>3</v>
      </c>
      <c r="F138" s="720">
        <v>2.0000000000000001E-4</v>
      </c>
      <c r="G138" s="523">
        <v>2.4000000000000001E-4</v>
      </c>
    </row>
    <row r="139" spans="1:7" ht="11.25" customHeight="1">
      <c r="A139" s="458" t="s">
        <v>57</v>
      </c>
      <c r="B139" s="502">
        <v>73.986001486842099</v>
      </c>
      <c r="C139" s="719" t="s">
        <v>870</v>
      </c>
      <c r="D139" s="565">
        <v>500</v>
      </c>
      <c r="E139" s="565">
        <v>73.986001486842099</v>
      </c>
      <c r="F139" s="720">
        <v>500</v>
      </c>
      <c r="G139" s="523" t="s">
        <v>954</v>
      </c>
    </row>
    <row r="140" spans="1:7" ht="11.25" customHeight="1">
      <c r="A140" s="458" t="s">
        <v>56</v>
      </c>
      <c r="B140" s="502">
        <v>91.174062952030283</v>
      </c>
      <c r="C140" s="719" t="s">
        <v>870</v>
      </c>
      <c r="D140" s="565">
        <v>500</v>
      </c>
      <c r="E140" s="565">
        <v>91.174062952030283</v>
      </c>
      <c r="F140" s="720">
        <v>640</v>
      </c>
      <c r="G140" s="523" t="s">
        <v>954</v>
      </c>
    </row>
    <row r="141" spans="1:7" ht="11.25" customHeight="1">
      <c r="A141" s="458" t="s">
        <v>777</v>
      </c>
      <c r="B141" s="502">
        <v>90.983894715319366</v>
      </c>
      <c r="C141" s="719" t="s">
        <v>870</v>
      </c>
      <c r="D141" s="565">
        <v>500</v>
      </c>
      <c r="E141" s="565">
        <v>90.983894715319366</v>
      </c>
      <c r="F141" s="720">
        <v>640</v>
      </c>
      <c r="G141" s="523" t="s">
        <v>954</v>
      </c>
    </row>
    <row r="142" spans="1:7" ht="11.25" customHeight="1">
      <c r="A142" s="458" t="s">
        <v>814</v>
      </c>
      <c r="B142" s="502">
        <v>70</v>
      </c>
      <c r="C142" s="719" t="s">
        <v>870</v>
      </c>
      <c r="D142" s="565">
        <v>3000</v>
      </c>
      <c r="E142" s="565">
        <v>70</v>
      </c>
      <c r="F142" s="720">
        <v>130</v>
      </c>
      <c r="G142" s="523" t="s">
        <v>954</v>
      </c>
    </row>
    <row r="143" spans="1:7" ht="11.25" customHeight="1">
      <c r="A143" s="458" t="s">
        <v>815</v>
      </c>
      <c r="B143" s="502">
        <v>76</v>
      </c>
      <c r="C143" s="719" t="s">
        <v>1411</v>
      </c>
      <c r="D143" s="565">
        <v>970</v>
      </c>
      <c r="E143" s="565">
        <v>200</v>
      </c>
      <c r="F143" s="720">
        <v>76</v>
      </c>
      <c r="G143" s="523">
        <v>340000</v>
      </c>
    </row>
    <row r="144" spans="1:7" ht="11.25" customHeight="1">
      <c r="A144" s="458" t="s">
        <v>477</v>
      </c>
      <c r="B144" s="502">
        <v>5</v>
      </c>
      <c r="C144" s="719" t="s">
        <v>870</v>
      </c>
      <c r="D144" s="565">
        <v>50000</v>
      </c>
      <c r="E144" s="565">
        <v>5</v>
      </c>
      <c r="F144" s="720">
        <v>730</v>
      </c>
      <c r="G144" s="523">
        <v>14</v>
      </c>
    </row>
    <row r="145" spans="1:7" ht="11.25" customHeight="1">
      <c r="A145" s="458" t="s">
        <v>478</v>
      </c>
      <c r="B145" s="502">
        <v>5</v>
      </c>
      <c r="C145" s="719" t="s">
        <v>870</v>
      </c>
      <c r="D145" s="565">
        <v>310</v>
      </c>
      <c r="E145" s="565">
        <v>5</v>
      </c>
      <c r="F145" s="720">
        <v>200</v>
      </c>
      <c r="G145" s="523">
        <v>26</v>
      </c>
    </row>
    <row r="146" spans="1:7" ht="11.25" customHeight="1">
      <c r="A146" s="458" t="s">
        <v>479</v>
      </c>
      <c r="B146" s="502">
        <v>1.9</v>
      </c>
      <c r="C146" s="719" t="s">
        <v>1411</v>
      </c>
      <c r="D146" s="565">
        <v>200</v>
      </c>
      <c r="E146" s="565">
        <v>1183.1271661441667</v>
      </c>
      <c r="F146" s="720">
        <v>1.9</v>
      </c>
      <c r="G146" s="523">
        <v>3600</v>
      </c>
    </row>
    <row r="147" spans="1:7" ht="11.25" customHeight="1">
      <c r="A147" s="458" t="s">
        <v>480</v>
      </c>
      <c r="B147" s="502">
        <v>1.2</v>
      </c>
      <c r="C147" s="719" t="s">
        <v>1412</v>
      </c>
      <c r="D147" s="565">
        <v>100</v>
      </c>
      <c r="E147" s="565">
        <v>4.111930278580993</v>
      </c>
      <c r="F147" s="720">
        <v>4.9000000000000004</v>
      </c>
      <c r="G147" s="523">
        <v>1.2</v>
      </c>
    </row>
    <row r="148" spans="1:7" ht="11.25" customHeight="1">
      <c r="A148" s="462" t="s">
        <v>117</v>
      </c>
      <c r="B148" s="502">
        <v>159.78212321874378</v>
      </c>
      <c r="C148" s="719" t="s">
        <v>870</v>
      </c>
      <c r="D148" s="565">
        <v>50000</v>
      </c>
      <c r="E148" s="565">
        <v>159.78212321874378</v>
      </c>
      <c r="F148" s="720">
        <v>686</v>
      </c>
      <c r="G148" s="523" t="s">
        <v>367</v>
      </c>
    </row>
    <row r="149" spans="1:7" ht="11.25" customHeight="1">
      <c r="A149" s="458" t="s">
        <v>118</v>
      </c>
      <c r="B149" s="502">
        <v>30</v>
      </c>
      <c r="C149" s="719" t="s">
        <v>1411</v>
      </c>
      <c r="D149" s="565">
        <v>35500</v>
      </c>
      <c r="E149" s="565">
        <v>50</v>
      </c>
      <c r="F149" s="720">
        <v>30</v>
      </c>
      <c r="G149" s="523" t="s">
        <v>954</v>
      </c>
    </row>
    <row r="150" spans="1:7" ht="11.25" customHeight="1">
      <c r="A150" s="458" t="s">
        <v>119</v>
      </c>
      <c r="B150" s="502">
        <v>0.6</v>
      </c>
      <c r="C150" s="719" t="s">
        <v>870</v>
      </c>
      <c r="D150" s="565">
        <v>50000</v>
      </c>
      <c r="E150" s="565">
        <v>0.6</v>
      </c>
      <c r="F150" s="720">
        <v>14</v>
      </c>
      <c r="G150" s="523" t="s">
        <v>954</v>
      </c>
    </row>
    <row r="151" spans="1:7" ht="11.25" customHeight="1">
      <c r="A151" s="458" t="s">
        <v>120</v>
      </c>
      <c r="B151" s="502">
        <v>3.3315808860737541</v>
      </c>
      <c r="C151" s="719" t="s">
        <v>870</v>
      </c>
      <c r="D151" s="565">
        <v>50000</v>
      </c>
      <c r="E151" s="565">
        <v>3.3315808860737541</v>
      </c>
      <c r="F151" s="720">
        <v>3.3315808860737541</v>
      </c>
      <c r="G151" s="523" t="s">
        <v>954</v>
      </c>
    </row>
    <row r="152" spans="1:7" ht="11.25" customHeight="1">
      <c r="A152" s="458" t="s">
        <v>602</v>
      </c>
      <c r="B152" s="502">
        <v>1.1399999999999999</v>
      </c>
      <c r="C152" s="719" t="s">
        <v>1411</v>
      </c>
      <c r="D152" s="565">
        <v>90</v>
      </c>
      <c r="E152" s="565">
        <v>2.1542811625289486</v>
      </c>
      <c r="F152" s="720">
        <v>1.1399999999999999</v>
      </c>
      <c r="G152" s="523" t="s">
        <v>954</v>
      </c>
    </row>
    <row r="153" spans="1:7" ht="11.25" customHeight="1">
      <c r="A153" s="462" t="s">
        <v>939</v>
      </c>
      <c r="B153" s="502">
        <v>11</v>
      </c>
      <c r="C153" s="719" t="s">
        <v>1411</v>
      </c>
      <c r="D153" s="565">
        <v>50000</v>
      </c>
      <c r="E153" s="565">
        <v>348.85609320878808</v>
      </c>
      <c r="F153" s="720">
        <v>11</v>
      </c>
      <c r="G153" s="523" t="s">
        <v>954</v>
      </c>
    </row>
    <row r="154" spans="1:7" ht="11.25" customHeight="1">
      <c r="A154" s="462" t="s">
        <v>603</v>
      </c>
      <c r="B154" s="502">
        <v>39.469382156875795</v>
      </c>
      <c r="C154" s="719" t="s">
        <v>870</v>
      </c>
      <c r="D154" s="565">
        <v>37000</v>
      </c>
      <c r="E154" s="565">
        <v>39.469382156875795</v>
      </c>
      <c r="F154" s="720">
        <v>39.469382156875795</v>
      </c>
      <c r="G154" s="523" t="s">
        <v>954</v>
      </c>
    </row>
    <row r="155" spans="1:7" ht="11.25" customHeight="1">
      <c r="A155" s="462" t="s">
        <v>605</v>
      </c>
      <c r="B155" s="502">
        <v>2.5352139902671289</v>
      </c>
      <c r="C155" s="719" t="s">
        <v>870</v>
      </c>
      <c r="D155" s="565">
        <v>50000</v>
      </c>
      <c r="E155" s="565">
        <v>2.5352139902671289</v>
      </c>
      <c r="F155" s="720">
        <v>13</v>
      </c>
      <c r="G155" s="523" t="s">
        <v>954</v>
      </c>
    </row>
    <row r="156" spans="1:7" ht="11.25" customHeight="1">
      <c r="A156" s="458" t="s">
        <v>481</v>
      </c>
      <c r="B156" s="502">
        <v>27</v>
      </c>
      <c r="C156" s="719" t="s">
        <v>1411</v>
      </c>
      <c r="D156" s="565">
        <v>50000</v>
      </c>
      <c r="E156" s="565">
        <v>96.249320745069994</v>
      </c>
      <c r="F156" s="720">
        <v>27</v>
      </c>
      <c r="G156" s="523" t="s">
        <v>954</v>
      </c>
    </row>
    <row r="157" spans="1:7" ht="11.25" customHeight="1">
      <c r="A157" s="458" t="s">
        <v>482</v>
      </c>
      <c r="B157" s="502">
        <v>2</v>
      </c>
      <c r="C157" s="719" t="s">
        <v>870</v>
      </c>
      <c r="D157" s="565">
        <v>3400</v>
      </c>
      <c r="E157" s="565">
        <v>2</v>
      </c>
      <c r="F157" s="720">
        <v>930</v>
      </c>
      <c r="G157" s="523">
        <v>170</v>
      </c>
    </row>
    <row r="158" spans="1:7" ht="11.25" customHeight="1">
      <c r="A158" s="458" t="s">
        <v>483</v>
      </c>
      <c r="B158" s="502">
        <v>20</v>
      </c>
      <c r="C158" s="719" t="s">
        <v>1409</v>
      </c>
      <c r="D158" s="565">
        <v>20</v>
      </c>
      <c r="E158" s="565">
        <v>10000</v>
      </c>
      <c r="F158" s="720">
        <v>27</v>
      </c>
      <c r="G158" s="523" t="s">
        <v>954</v>
      </c>
    </row>
    <row r="159" spans="1:7" ht="11.25" customHeight="1" thickBot="1">
      <c r="A159" s="516" t="s">
        <v>484</v>
      </c>
      <c r="B159" s="509">
        <v>22</v>
      </c>
      <c r="C159" s="721" t="s">
        <v>1411</v>
      </c>
      <c r="D159" s="575">
        <v>5000</v>
      </c>
      <c r="E159" s="575">
        <v>5987.048392076199</v>
      </c>
      <c r="F159" s="722">
        <v>22</v>
      </c>
      <c r="G159" s="525" t="s">
        <v>954</v>
      </c>
    </row>
    <row r="160" spans="1:7" ht="11.25" customHeight="1" thickTop="1">
      <c r="A160" s="474" t="s">
        <v>488</v>
      </c>
      <c r="G160" s="483"/>
    </row>
    <row r="161" spans="1:7" ht="11.25" customHeight="1">
      <c r="A161" s="479" t="s">
        <v>395</v>
      </c>
      <c r="G161" s="483"/>
    </row>
    <row r="162" spans="1:7" ht="11.25" customHeight="1">
      <c r="A162" s="479"/>
      <c r="G162" s="483"/>
    </row>
    <row r="163" spans="1:7" ht="11.25" customHeight="1">
      <c r="A163" s="479" t="s">
        <v>778</v>
      </c>
      <c r="G163" s="483"/>
    </row>
    <row r="164" spans="1:7" ht="11.25" customHeight="1">
      <c r="A164" s="479" t="s">
        <v>1044</v>
      </c>
      <c r="G164" s="483"/>
    </row>
    <row r="165" spans="1:7" ht="11.25" customHeight="1">
      <c r="A165" s="479" t="s">
        <v>1161</v>
      </c>
      <c r="G165" s="483"/>
    </row>
    <row r="166" spans="1:7" ht="11.25" customHeight="1">
      <c r="A166" s="479" t="s">
        <v>758</v>
      </c>
      <c r="G166" s="483"/>
    </row>
    <row r="167" spans="1:7" ht="11.25" customHeight="1" thickBot="1">
      <c r="A167" s="706" t="s">
        <v>261</v>
      </c>
      <c r="B167" s="663"/>
      <c r="C167" s="579"/>
      <c r="D167" s="663"/>
      <c r="E167" s="663"/>
      <c r="F167" s="663"/>
      <c r="G167" s="723"/>
    </row>
    <row r="168" spans="1:7" ht="10.5" thickTop="1"/>
  </sheetData>
  <sheetProtection algorithmName="SHA-512" hashValue="Vrd3J6ALLNnjtma57z5bBhQT/F9A4RQW5hGSysKDhDjUjyFRZ13XHbKW/UtaARhay8KSwRiQW7H3nQB2kzQqhg==" saltValue="v4vNSQ0DWDj2FUw3S8y64w==" spinCount="100000" sheet="1" objects="1" scenarios="1"/>
  <mergeCells count="2">
    <mergeCell ref="A1:G1"/>
    <mergeCell ref="B4:B5"/>
  </mergeCells>
  <phoneticPr fontId="0" type="noConversion"/>
  <printOptions horizontalCentered="1"/>
  <pageMargins left="0.17" right="0.16" top="0.53" bottom="1" header="0.5" footer="0.5"/>
  <pageSetup scale="81" fitToHeight="4" orientation="landscape" r:id="rId1"/>
  <headerFooter alignWithMargins="0">
    <oddFooter>&amp;LHawai'i DOH
Spring 2024&amp;C&amp;8Page &amp;P of &amp;N&amp;R&amp;A</oddFooter>
  </headerFooter>
  <rowBreaks count="1" manualBreakCount="1">
    <brk id="156"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29"/>
    <pageSetUpPr fitToPage="1"/>
  </sheetPr>
  <dimension ref="A1:F169"/>
  <sheetViews>
    <sheetView zoomScaleNormal="100" workbookViewId="0">
      <pane ySplit="2925" topLeftCell="A6" activePane="bottomLeft"/>
      <selection activeCell="B7" sqref="B7"/>
      <selection pane="bottomLeft" activeCell="B7" sqref="B7"/>
    </sheetView>
  </sheetViews>
  <sheetFormatPr defaultColWidth="9.1328125" defaultRowHeight="10.15"/>
  <cols>
    <col min="1" max="1" width="40.73046875" style="1" customWidth="1"/>
    <col min="2" max="2" width="12.73046875" style="475" customWidth="1"/>
    <col min="3" max="3" width="27.73046875" style="609" customWidth="1"/>
    <col min="4" max="5" width="12.73046875" style="475" customWidth="1"/>
    <col min="6" max="6" width="14.73046875" style="481" customWidth="1"/>
    <col min="7" max="16384" width="9.1328125" style="1"/>
  </cols>
  <sheetData>
    <row r="1" spans="1:6" s="510" customFormat="1" ht="30" customHeight="1">
      <c r="A1" s="1430" t="s">
        <v>156</v>
      </c>
      <c r="B1" s="1435"/>
      <c r="C1" s="1435"/>
      <c r="D1" s="1435"/>
      <c r="E1" s="1435"/>
      <c r="F1" s="1435"/>
    </row>
    <row r="2" spans="1:6" s="510" customFormat="1" ht="13.9">
      <c r="A2" s="693" t="s">
        <v>30</v>
      </c>
      <c r="B2" s="530"/>
      <c r="C2" s="530"/>
      <c r="D2" s="530"/>
      <c r="E2" s="530"/>
      <c r="F2" s="530"/>
    </row>
    <row r="3" spans="1:6" s="510" customFormat="1" ht="10.5" thickBot="1">
      <c r="A3" s="694"/>
      <c r="B3" s="530"/>
      <c r="C3" s="695"/>
      <c r="D3" s="530"/>
      <c r="E3" s="530"/>
      <c r="F3" s="724"/>
    </row>
    <row r="4" spans="1:6" s="510" customFormat="1" ht="60" customHeight="1" thickTop="1">
      <c r="A4" s="526"/>
      <c r="B4" s="1428" t="s">
        <v>152</v>
      </c>
      <c r="C4" s="709"/>
      <c r="D4" s="710" t="s">
        <v>257</v>
      </c>
      <c r="E4" s="711" t="s">
        <v>861</v>
      </c>
      <c r="F4" s="712" t="s">
        <v>599</v>
      </c>
    </row>
    <row r="5" spans="1:6" s="510" customFormat="1" ht="16.5" customHeight="1" thickBot="1">
      <c r="A5" s="713" t="s">
        <v>232</v>
      </c>
      <c r="B5" s="1429"/>
      <c r="C5" s="714" t="s">
        <v>485</v>
      </c>
      <c r="D5" s="725" t="s">
        <v>588</v>
      </c>
      <c r="E5" s="715" t="s">
        <v>403</v>
      </c>
      <c r="F5" s="716" t="s">
        <v>589</v>
      </c>
    </row>
    <row r="6" spans="1:6" s="510" customFormat="1" ht="11.25" customHeight="1">
      <c r="A6" s="454" t="s">
        <v>548</v>
      </c>
      <c r="B6" s="497">
        <v>20</v>
      </c>
      <c r="C6" s="717" t="s">
        <v>769</v>
      </c>
      <c r="D6" s="559">
        <v>20</v>
      </c>
      <c r="E6" s="718">
        <v>20</v>
      </c>
      <c r="F6" s="590">
        <v>990</v>
      </c>
    </row>
    <row r="7" spans="1:6" s="510" customFormat="1" ht="11.25" customHeight="1">
      <c r="A7" s="458" t="s">
        <v>549</v>
      </c>
      <c r="B7" s="501">
        <v>307</v>
      </c>
      <c r="C7" s="719" t="s">
        <v>1411</v>
      </c>
      <c r="D7" s="565">
        <v>1965</v>
      </c>
      <c r="E7" s="720">
        <v>307</v>
      </c>
      <c r="F7" s="523" t="s">
        <v>954</v>
      </c>
    </row>
    <row r="8" spans="1:6" s="510" customFormat="1" ht="11.25" customHeight="1">
      <c r="A8" s="458" t="s">
        <v>550</v>
      </c>
      <c r="B8" s="501">
        <v>1500</v>
      </c>
      <c r="C8" s="719" t="s">
        <v>1411</v>
      </c>
      <c r="D8" s="565">
        <v>20000</v>
      </c>
      <c r="E8" s="720">
        <v>1500</v>
      </c>
      <c r="F8" s="523" t="s">
        <v>954</v>
      </c>
    </row>
    <row r="9" spans="1:6" s="510" customFormat="1" ht="11.25" customHeight="1">
      <c r="A9" s="458" t="s">
        <v>551</v>
      </c>
      <c r="B9" s="501">
        <v>2.5999999999999998E-5</v>
      </c>
      <c r="C9" s="719" t="s">
        <v>1412</v>
      </c>
      <c r="D9" s="565">
        <v>8.5</v>
      </c>
      <c r="E9" s="720">
        <v>1.3999999999999999E-4</v>
      </c>
      <c r="F9" s="523">
        <v>2.5999999999999998E-5</v>
      </c>
    </row>
    <row r="10" spans="1:6" s="510" customFormat="1" ht="11.25" customHeight="1">
      <c r="A10" s="458" t="s">
        <v>161</v>
      </c>
      <c r="B10" s="501">
        <v>700</v>
      </c>
      <c r="C10" s="719" t="s">
        <v>1411</v>
      </c>
      <c r="D10" s="565">
        <v>50000</v>
      </c>
      <c r="E10" s="720">
        <v>700</v>
      </c>
      <c r="F10" s="523" t="s">
        <v>954</v>
      </c>
    </row>
    <row r="11" spans="1:6" s="510" customFormat="1" ht="11.25" customHeight="1">
      <c r="A11" s="462" t="s">
        <v>162</v>
      </c>
      <c r="B11" s="501">
        <v>20</v>
      </c>
      <c r="C11" s="719" t="s">
        <v>1411</v>
      </c>
      <c r="D11" s="565">
        <v>50000</v>
      </c>
      <c r="E11" s="720">
        <v>20</v>
      </c>
      <c r="F11" s="523" t="s">
        <v>954</v>
      </c>
    </row>
    <row r="12" spans="1:6" s="510" customFormat="1" ht="11.25" customHeight="1">
      <c r="A12" s="462" t="s">
        <v>94</v>
      </c>
      <c r="B12" s="501">
        <v>11</v>
      </c>
      <c r="C12" s="719" t="s">
        <v>1411</v>
      </c>
      <c r="D12" s="565">
        <v>50000</v>
      </c>
      <c r="E12" s="720">
        <v>11</v>
      </c>
      <c r="F12" s="523" t="s">
        <v>954</v>
      </c>
    </row>
    <row r="13" spans="1:6" s="510" customFormat="1" ht="11.25" customHeight="1">
      <c r="A13" s="458" t="s">
        <v>552</v>
      </c>
      <c r="B13" s="501">
        <v>0.73</v>
      </c>
      <c r="C13" s="719" t="s">
        <v>1411</v>
      </c>
      <c r="D13" s="565">
        <v>21.5</v>
      </c>
      <c r="E13" s="720">
        <v>0.73</v>
      </c>
      <c r="F13" s="523">
        <v>40000</v>
      </c>
    </row>
    <row r="14" spans="1:6" s="510" customFormat="1" ht="11.25" customHeight="1">
      <c r="A14" s="458" t="s">
        <v>553</v>
      </c>
      <c r="B14" s="501">
        <v>30</v>
      </c>
      <c r="C14" s="719" t="s">
        <v>1411</v>
      </c>
      <c r="D14" s="565">
        <v>50000</v>
      </c>
      <c r="E14" s="720">
        <v>30</v>
      </c>
      <c r="F14" s="523">
        <v>15000</v>
      </c>
    </row>
    <row r="15" spans="1:6" s="510" customFormat="1" ht="11.25" customHeight="1">
      <c r="A15" s="458" t="s">
        <v>686</v>
      </c>
      <c r="B15" s="501">
        <v>0.14000000000000001</v>
      </c>
      <c r="C15" s="719" t="s">
        <v>1412</v>
      </c>
      <c r="D15" s="565">
        <v>50000</v>
      </c>
      <c r="E15" s="720">
        <v>36</v>
      </c>
      <c r="F15" s="523">
        <v>0.14000000000000001</v>
      </c>
    </row>
    <row r="16" spans="1:6" s="510" customFormat="1" ht="11.25" customHeight="1">
      <c r="A16" s="458" t="s">
        <v>95</v>
      </c>
      <c r="B16" s="501">
        <v>12</v>
      </c>
      <c r="C16" s="719" t="s">
        <v>1411</v>
      </c>
      <c r="D16" s="565">
        <v>17500</v>
      </c>
      <c r="E16" s="720">
        <v>12</v>
      </c>
      <c r="F16" s="523" t="s">
        <v>954</v>
      </c>
    </row>
    <row r="17" spans="1:6" s="510" customFormat="1" ht="11.25" customHeight="1">
      <c r="A17" s="458" t="s">
        <v>687</v>
      </c>
      <c r="B17" s="501">
        <v>220</v>
      </c>
      <c r="C17" s="719" t="s">
        <v>1411</v>
      </c>
      <c r="D17" s="565">
        <v>50000</v>
      </c>
      <c r="E17" s="720">
        <v>220</v>
      </c>
      <c r="F17" s="523" t="s">
        <v>954</v>
      </c>
    </row>
    <row r="18" spans="1:6" s="510" customFormat="1" ht="11.25" customHeight="1">
      <c r="A18" s="458" t="s">
        <v>1156</v>
      </c>
      <c r="B18" s="501">
        <v>0.14000000000000001</v>
      </c>
      <c r="C18" s="719" t="s">
        <v>1411</v>
      </c>
      <c r="D18" s="565">
        <v>1900</v>
      </c>
      <c r="E18" s="720">
        <v>0.14000000000000001</v>
      </c>
      <c r="F18" s="523" t="s">
        <v>954</v>
      </c>
    </row>
    <row r="19" spans="1:6" s="510" customFormat="1" ht="11.25" customHeight="1">
      <c r="A19" s="458" t="s">
        <v>688</v>
      </c>
      <c r="B19" s="501">
        <v>13</v>
      </c>
      <c r="C19" s="719" t="s">
        <v>1412</v>
      </c>
      <c r="D19" s="565">
        <v>2000</v>
      </c>
      <c r="E19" s="720">
        <v>71.3</v>
      </c>
      <c r="F19" s="523">
        <v>13</v>
      </c>
    </row>
    <row r="20" spans="1:6" s="510" customFormat="1" ht="11.25" customHeight="1">
      <c r="A20" s="458" t="s">
        <v>689</v>
      </c>
      <c r="B20" s="501">
        <v>1.7999999999999999E-2</v>
      </c>
      <c r="C20" s="719" t="s">
        <v>1412</v>
      </c>
      <c r="D20" s="565">
        <v>4.7</v>
      </c>
      <c r="E20" s="720">
        <v>2.7E-2</v>
      </c>
      <c r="F20" s="523">
        <v>1.7999999999999999E-2</v>
      </c>
    </row>
    <row r="21" spans="1:6" s="510" customFormat="1" ht="11.25" customHeight="1">
      <c r="A21" s="458" t="s">
        <v>690</v>
      </c>
      <c r="B21" s="501">
        <v>1.7999999999999999E-2</v>
      </c>
      <c r="C21" s="719" t="s">
        <v>1412</v>
      </c>
      <c r="D21" s="565">
        <v>0.8</v>
      </c>
      <c r="E21" s="720">
        <v>0.3</v>
      </c>
      <c r="F21" s="523">
        <v>1.7999999999999999E-2</v>
      </c>
    </row>
    <row r="22" spans="1:6" s="510" customFormat="1" ht="11.25" customHeight="1">
      <c r="A22" s="458" t="s">
        <v>691</v>
      </c>
      <c r="B22" s="501">
        <v>1.7999999999999999E-2</v>
      </c>
      <c r="C22" s="719" t="s">
        <v>1412</v>
      </c>
      <c r="D22" s="565">
        <v>0.75</v>
      </c>
      <c r="E22" s="720">
        <v>0.68</v>
      </c>
      <c r="F22" s="523">
        <v>1.7999999999999999E-2</v>
      </c>
    </row>
    <row r="23" spans="1:6" s="510" customFormat="1" ht="11.25" customHeight="1">
      <c r="A23" s="458" t="s">
        <v>692</v>
      </c>
      <c r="B23" s="501">
        <v>0.12999999999999998</v>
      </c>
      <c r="C23" s="719" t="s">
        <v>769</v>
      </c>
      <c r="D23" s="565">
        <v>0.12999999999999998</v>
      </c>
      <c r="E23" s="720">
        <v>0.44</v>
      </c>
      <c r="F23" s="523" t="s">
        <v>954</v>
      </c>
    </row>
    <row r="24" spans="1:6" s="510" customFormat="1" ht="11.25" customHeight="1">
      <c r="A24" s="458" t="s">
        <v>693</v>
      </c>
      <c r="B24" s="501">
        <v>1.7999999999999999E-2</v>
      </c>
      <c r="C24" s="719" t="s">
        <v>1412</v>
      </c>
      <c r="D24" s="565">
        <v>0.4</v>
      </c>
      <c r="E24" s="720">
        <v>0.64</v>
      </c>
      <c r="F24" s="523">
        <v>1.7999999999999999E-2</v>
      </c>
    </row>
    <row r="25" spans="1:6" s="510" customFormat="1" ht="11.25" customHeight="1">
      <c r="A25" s="458" t="s">
        <v>126</v>
      </c>
      <c r="B25" s="501">
        <v>3.7999999999999999E-2</v>
      </c>
      <c r="C25" s="719" t="s">
        <v>1412</v>
      </c>
      <c r="D25" s="565">
        <v>50000</v>
      </c>
      <c r="E25" s="720">
        <v>0.66</v>
      </c>
      <c r="F25" s="523">
        <v>3.7999999999999999E-2</v>
      </c>
    </row>
    <row r="26" spans="1:6" s="510" customFormat="1" ht="11.25" customHeight="1">
      <c r="A26" s="458" t="s">
        <v>233</v>
      </c>
      <c r="B26" s="501">
        <v>0.5</v>
      </c>
      <c r="C26" s="719" t="s">
        <v>769</v>
      </c>
      <c r="D26" s="565">
        <v>0.5</v>
      </c>
      <c r="E26" s="720">
        <v>14</v>
      </c>
      <c r="F26" s="523" t="s">
        <v>954</v>
      </c>
    </row>
    <row r="27" spans="1:6" s="510" customFormat="1" ht="11.25" customHeight="1">
      <c r="A27" s="458" t="s">
        <v>127</v>
      </c>
      <c r="B27" s="501">
        <v>0.44</v>
      </c>
      <c r="C27" s="719" t="s">
        <v>1412</v>
      </c>
      <c r="D27" s="565">
        <v>360</v>
      </c>
      <c r="E27" s="720">
        <v>2380</v>
      </c>
      <c r="F27" s="523">
        <v>0.44</v>
      </c>
    </row>
    <row r="28" spans="1:6" s="510" customFormat="1" ht="11.25" customHeight="1">
      <c r="A28" s="503" t="s">
        <v>1103</v>
      </c>
      <c r="B28" s="501">
        <v>0.35711381953846194</v>
      </c>
      <c r="C28" s="719" t="s">
        <v>1411</v>
      </c>
      <c r="D28" s="565">
        <v>320</v>
      </c>
      <c r="E28" s="720">
        <v>0.35711381953846194</v>
      </c>
      <c r="F28" s="523">
        <v>1400</v>
      </c>
    </row>
    <row r="29" spans="1:6" s="510" customFormat="1" ht="11.25" customHeight="1">
      <c r="A29" s="458" t="s">
        <v>128</v>
      </c>
      <c r="B29" s="501">
        <v>2.2000000000000002</v>
      </c>
      <c r="C29" s="719" t="s">
        <v>1412</v>
      </c>
      <c r="D29" s="565">
        <v>135</v>
      </c>
      <c r="E29" s="720">
        <v>3</v>
      </c>
      <c r="F29" s="523">
        <v>2.2000000000000002</v>
      </c>
    </row>
    <row r="30" spans="1:6" s="510" customFormat="1" ht="11.25" customHeight="1">
      <c r="A30" s="458" t="s">
        <v>129</v>
      </c>
      <c r="B30" s="501">
        <v>1000</v>
      </c>
      <c r="C30" s="719" t="s">
        <v>1411</v>
      </c>
      <c r="D30" s="565">
        <v>50000</v>
      </c>
      <c r="E30" s="720">
        <v>1000</v>
      </c>
      <c r="F30" s="523" t="s">
        <v>954</v>
      </c>
    </row>
    <row r="31" spans="1:6" s="510" customFormat="1" ht="11.25" customHeight="1">
      <c r="A31" s="458" t="s">
        <v>130</v>
      </c>
      <c r="B31" s="501">
        <v>340</v>
      </c>
      <c r="C31" s="719" t="s">
        <v>1411</v>
      </c>
      <c r="D31" s="565">
        <v>50000</v>
      </c>
      <c r="E31" s="720">
        <v>340</v>
      </c>
      <c r="F31" s="523" t="s">
        <v>954</v>
      </c>
    </row>
    <row r="32" spans="1:6" s="510" customFormat="1" ht="11.25" customHeight="1">
      <c r="A32" s="458" t="s">
        <v>131</v>
      </c>
      <c r="B32" s="501">
        <v>140</v>
      </c>
      <c r="C32" s="719" t="s">
        <v>1412</v>
      </c>
      <c r="D32" s="565">
        <v>510</v>
      </c>
      <c r="E32" s="720">
        <v>320</v>
      </c>
      <c r="F32" s="523">
        <v>140</v>
      </c>
    </row>
    <row r="33" spans="1:6" s="510" customFormat="1" ht="11.25" customHeight="1">
      <c r="A33" s="458" t="s">
        <v>132</v>
      </c>
      <c r="B33" s="501">
        <v>16</v>
      </c>
      <c r="C33" s="719" t="s">
        <v>1411</v>
      </c>
      <c r="D33" s="565">
        <v>50000</v>
      </c>
      <c r="E33" s="720">
        <v>16</v>
      </c>
      <c r="F33" s="523">
        <v>1500</v>
      </c>
    </row>
    <row r="34" spans="1:6" s="510" customFormat="1" ht="11.25" customHeight="1">
      <c r="A34" s="458" t="s">
        <v>133</v>
      </c>
      <c r="B34" s="501">
        <v>9.3000000000000007</v>
      </c>
      <c r="C34" s="719" t="s">
        <v>1411</v>
      </c>
      <c r="D34" s="565">
        <v>50000</v>
      </c>
      <c r="E34" s="720">
        <v>9.3000000000000007</v>
      </c>
      <c r="F34" s="523" t="s">
        <v>954</v>
      </c>
    </row>
    <row r="35" spans="1:6" s="510" customFormat="1" ht="11.25" customHeight="1">
      <c r="A35" s="458" t="s">
        <v>134</v>
      </c>
      <c r="B35" s="501">
        <v>2.2999999999999998</v>
      </c>
      <c r="C35" s="719" t="s">
        <v>1412</v>
      </c>
      <c r="D35" s="565">
        <v>520</v>
      </c>
      <c r="E35" s="720">
        <v>9.8000000000000007</v>
      </c>
      <c r="F35" s="523">
        <v>2.2999999999999998</v>
      </c>
    </row>
    <row r="36" spans="1:6" s="510" customFormat="1" ht="11.25" customHeight="1">
      <c r="A36" s="458" t="s">
        <v>614</v>
      </c>
      <c r="B36" s="501">
        <v>1.5999999999999999E-5</v>
      </c>
      <c r="C36" s="719" t="s">
        <v>1412</v>
      </c>
      <c r="D36" s="565">
        <v>2.5</v>
      </c>
      <c r="E36" s="720">
        <v>4.0000000000000001E-3</v>
      </c>
      <c r="F36" s="523">
        <v>1.5999999999999999E-5</v>
      </c>
    </row>
    <row r="37" spans="1:6" s="510" customFormat="1" ht="11.25" customHeight="1">
      <c r="A37" s="458" t="s">
        <v>135</v>
      </c>
      <c r="B37" s="501">
        <v>19</v>
      </c>
      <c r="C37" s="719" t="s">
        <v>1411</v>
      </c>
      <c r="D37" s="565">
        <v>50000</v>
      </c>
      <c r="E37" s="720">
        <v>19</v>
      </c>
      <c r="F37" s="523" t="s">
        <v>954</v>
      </c>
    </row>
    <row r="38" spans="1:6" s="510" customFormat="1" ht="11.25" customHeight="1">
      <c r="A38" s="458" t="s">
        <v>136</v>
      </c>
      <c r="B38" s="501">
        <v>50</v>
      </c>
      <c r="C38" s="719" t="s">
        <v>769</v>
      </c>
      <c r="D38" s="565">
        <v>50</v>
      </c>
      <c r="E38" s="720">
        <v>64</v>
      </c>
      <c r="F38" s="523">
        <v>21000</v>
      </c>
    </row>
    <row r="39" spans="1:6" s="510" customFormat="1" ht="11.25" customHeight="1">
      <c r="A39" s="458" t="s">
        <v>781</v>
      </c>
      <c r="B39" s="501">
        <v>16</v>
      </c>
      <c r="C39" s="719" t="s">
        <v>769</v>
      </c>
      <c r="D39" s="565">
        <v>16</v>
      </c>
      <c r="E39" s="720">
        <v>47673.469387755096</v>
      </c>
      <c r="F39" s="523" t="s">
        <v>954</v>
      </c>
    </row>
    <row r="40" spans="1:6" ht="11.25" customHeight="1">
      <c r="A40" s="464" t="s">
        <v>137</v>
      </c>
      <c r="B40" s="501">
        <v>5.0999999999999996</v>
      </c>
      <c r="C40" s="719" t="s">
        <v>1412</v>
      </c>
      <c r="D40" s="565">
        <v>2400</v>
      </c>
      <c r="E40" s="720">
        <v>28</v>
      </c>
      <c r="F40" s="523">
        <v>5.0999999999999996</v>
      </c>
    </row>
    <row r="41" spans="1:6" ht="11.25" customHeight="1">
      <c r="A41" s="458" t="s">
        <v>782</v>
      </c>
      <c r="B41" s="501">
        <v>1072.6530612244896</v>
      </c>
      <c r="C41" s="719" t="s">
        <v>1411</v>
      </c>
      <c r="D41" s="565">
        <v>50000</v>
      </c>
      <c r="E41" s="720">
        <v>1072.6530612244896</v>
      </c>
      <c r="F41" s="523" t="s">
        <v>954</v>
      </c>
    </row>
    <row r="42" spans="1:6" ht="11.25" customHeight="1">
      <c r="A42" s="458" t="s">
        <v>138</v>
      </c>
      <c r="B42" s="501">
        <v>0.18</v>
      </c>
      <c r="C42" s="719" t="s">
        <v>769</v>
      </c>
      <c r="D42" s="565">
        <v>0.18</v>
      </c>
      <c r="E42" s="720">
        <v>400</v>
      </c>
      <c r="F42" s="523">
        <v>150</v>
      </c>
    </row>
    <row r="43" spans="1:6" ht="11.25" customHeight="1">
      <c r="A43" s="458" t="s">
        <v>612</v>
      </c>
      <c r="B43" s="501">
        <v>50</v>
      </c>
      <c r="C43" s="719" t="s">
        <v>1411</v>
      </c>
      <c r="D43" s="565">
        <v>50000</v>
      </c>
      <c r="E43" s="720">
        <v>50</v>
      </c>
      <c r="F43" s="523" t="s">
        <v>954</v>
      </c>
    </row>
    <row r="44" spans="1:6" ht="11.25" customHeight="1">
      <c r="A44" s="458" t="s">
        <v>779</v>
      </c>
      <c r="B44" s="501">
        <v>20</v>
      </c>
      <c r="C44" s="719" t="s">
        <v>1411</v>
      </c>
      <c r="D44" s="565">
        <v>50000</v>
      </c>
      <c r="E44" s="720">
        <v>20</v>
      </c>
      <c r="F44" s="523" t="s">
        <v>954</v>
      </c>
    </row>
    <row r="45" spans="1:6" ht="11.25" customHeight="1">
      <c r="A45" s="458" t="s">
        <v>780</v>
      </c>
      <c r="B45" s="501">
        <v>50</v>
      </c>
      <c r="C45" s="719" t="s">
        <v>1411</v>
      </c>
      <c r="D45" s="565">
        <v>50000</v>
      </c>
      <c r="E45" s="720">
        <v>50</v>
      </c>
      <c r="F45" s="523" t="s">
        <v>954</v>
      </c>
    </row>
    <row r="46" spans="1:6" ht="11.25" customHeight="1">
      <c r="A46" s="458" t="s">
        <v>139</v>
      </c>
      <c r="B46" s="501">
        <v>1.7999999999999999E-2</v>
      </c>
      <c r="C46" s="719" t="s">
        <v>1412</v>
      </c>
      <c r="D46" s="565">
        <v>1</v>
      </c>
      <c r="E46" s="720">
        <v>2</v>
      </c>
      <c r="F46" s="523">
        <v>1.7999999999999999E-2</v>
      </c>
    </row>
    <row r="47" spans="1:6" ht="11.25" customHeight="1">
      <c r="A47" s="458" t="s">
        <v>140</v>
      </c>
      <c r="B47" s="501">
        <v>23</v>
      </c>
      <c r="C47" s="719" t="s">
        <v>1411</v>
      </c>
      <c r="D47" s="565">
        <v>50000</v>
      </c>
      <c r="E47" s="720">
        <v>23</v>
      </c>
      <c r="F47" s="523" t="s">
        <v>954</v>
      </c>
    </row>
    <row r="48" spans="1:6" ht="11.25" customHeight="1">
      <c r="A48" s="458" t="s">
        <v>141</v>
      </c>
      <c r="B48" s="501">
        <v>2.9</v>
      </c>
      <c r="C48" s="719" t="s">
        <v>1411</v>
      </c>
      <c r="D48" s="565">
        <v>50000</v>
      </c>
      <c r="E48" s="720">
        <v>2.9</v>
      </c>
      <c r="F48" s="523" t="s">
        <v>954</v>
      </c>
    </row>
    <row r="49" spans="1:6" ht="11.25" customHeight="1">
      <c r="A49" s="458" t="s">
        <v>142</v>
      </c>
      <c r="B49" s="501">
        <v>1</v>
      </c>
      <c r="C49" s="719" t="s">
        <v>1411</v>
      </c>
      <c r="D49" s="565">
        <v>170</v>
      </c>
      <c r="E49" s="720">
        <v>1</v>
      </c>
      <c r="F49" s="523">
        <v>220000</v>
      </c>
    </row>
    <row r="50" spans="1:6" ht="11.25" customHeight="1">
      <c r="A50" s="462" t="s">
        <v>96</v>
      </c>
      <c r="B50" s="501">
        <v>190</v>
      </c>
      <c r="C50" s="719" t="s">
        <v>1411</v>
      </c>
      <c r="D50" s="565">
        <v>29850</v>
      </c>
      <c r="E50" s="720">
        <v>190</v>
      </c>
      <c r="F50" s="523" t="s">
        <v>954</v>
      </c>
    </row>
    <row r="51" spans="1:6" ht="11.25" customHeight="1">
      <c r="A51" s="458" t="s">
        <v>97</v>
      </c>
      <c r="B51" s="501">
        <v>300</v>
      </c>
      <c r="C51" s="719" t="s">
        <v>1411</v>
      </c>
      <c r="D51" s="565">
        <v>50000</v>
      </c>
      <c r="E51" s="720">
        <v>300</v>
      </c>
      <c r="F51" s="523" t="s">
        <v>954</v>
      </c>
    </row>
    <row r="52" spans="1:6" ht="11.25" customHeight="1">
      <c r="A52" s="458" t="s">
        <v>143</v>
      </c>
      <c r="B52" s="501">
        <v>1.7999999999999999E-2</v>
      </c>
      <c r="C52" s="719" t="s">
        <v>1412</v>
      </c>
      <c r="D52" s="565">
        <v>1.25</v>
      </c>
      <c r="E52" s="720">
        <v>7.1</v>
      </c>
      <c r="F52" s="523">
        <v>1.7999999999999999E-2</v>
      </c>
    </row>
    <row r="53" spans="1:6" ht="11.25" customHeight="1">
      <c r="A53" s="458" t="s">
        <v>381</v>
      </c>
      <c r="B53" s="501">
        <v>0.04</v>
      </c>
      <c r="C53" s="719" t="s">
        <v>1411</v>
      </c>
      <c r="D53" s="565">
        <v>10</v>
      </c>
      <c r="E53" s="720">
        <v>0.04</v>
      </c>
      <c r="F53" s="523" t="s">
        <v>954</v>
      </c>
    </row>
    <row r="54" spans="1:6" ht="11.25" customHeight="1">
      <c r="A54" s="458" t="s">
        <v>144</v>
      </c>
      <c r="B54" s="501">
        <v>13</v>
      </c>
      <c r="C54" s="719" t="s">
        <v>1412</v>
      </c>
      <c r="D54" s="565">
        <v>50000</v>
      </c>
      <c r="E54" s="720">
        <v>34</v>
      </c>
      <c r="F54" s="523">
        <v>13</v>
      </c>
    </row>
    <row r="55" spans="1:6" ht="11.25" customHeight="1">
      <c r="A55" s="458" t="s">
        <v>487</v>
      </c>
      <c r="B55" s="501">
        <v>1400</v>
      </c>
      <c r="C55" s="719" t="s">
        <v>1411</v>
      </c>
      <c r="D55" s="565">
        <v>50000</v>
      </c>
      <c r="E55" s="720">
        <v>1400</v>
      </c>
      <c r="F55" s="523" t="s">
        <v>954</v>
      </c>
    </row>
    <row r="56" spans="1:6" ht="11.25" customHeight="1">
      <c r="A56" s="458" t="s">
        <v>145</v>
      </c>
      <c r="B56" s="501">
        <v>10</v>
      </c>
      <c r="C56" s="719" t="s">
        <v>769</v>
      </c>
      <c r="D56" s="565">
        <v>10</v>
      </c>
      <c r="E56" s="720">
        <v>14</v>
      </c>
      <c r="F56" s="523">
        <v>850</v>
      </c>
    </row>
    <row r="57" spans="1:6" ht="11.25" customHeight="1">
      <c r="A57" s="458" t="s">
        <v>225</v>
      </c>
      <c r="B57" s="501">
        <v>71</v>
      </c>
      <c r="C57" s="719" t="s">
        <v>1411</v>
      </c>
      <c r="D57" s="565">
        <v>50000</v>
      </c>
      <c r="E57" s="720">
        <v>71</v>
      </c>
      <c r="F57" s="523">
        <v>850</v>
      </c>
    </row>
    <row r="58" spans="1:6" ht="11.25" customHeight="1">
      <c r="A58" s="458" t="s">
        <v>226</v>
      </c>
      <c r="B58" s="501">
        <v>11</v>
      </c>
      <c r="C58" s="719" t="s">
        <v>769</v>
      </c>
      <c r="D58" s="565">
        <v>11</v>
      </c>
      <c r="E58" s="720">
        <v>15</v>
      </c>
      <c r="F58" s="523">
        <v>850</v>
      </c>
    </row>
    <row r="59" spans="1:6" ht="11.25" customHeight="1">
      <c r="A59" s="458" t="s">
        <v>227</v>
      </c>
      <c r="B59" s="501">
        <v>7.0000000000000001E-3</v>
      </c>
      <c r="C59" s="719" t="s">
        <v>1412</v>
      </c>
      <c r="D59" s="565">
        <v>1550</v>
      </c>
      <c r="E59" s="720">
        <v>4.5</v>
      </c>
      <c r="F59" s="523">
        <v>7.0000000000000001E-3</v>
      </c>
    </row>
    <row r="60" spans="1:6" ht="11.25" customHeight="1">
      <c r="A60" s="458" t="s">
        <v>361</v>
      </c>
      <c r="B60" s="501">
        <v>3.1E-4</v>
      </c>
      <c r="C60" s="719" t="s">
        <v>1412</v>
      </c>
      <c r="D60" s="565">
        <v>45</v>
      </c>
      <c r="E60" s="720">
        <v>1.0999999999999999E-2</v>
      </c>
      <c r="F60" s="523">
        <v>3.1E-4</v>
      </c>
    </row>
    <row r="61" spans="1:6" ht="11.25" customHeight="1">
      <c r="A61" s="458" t="s">
        <v>362</v>
      </c>
      <c r="B61" s="501">
        <v>2.2000000000000001E-4</v>
      </c>
      <c r="C61" s="719" t="s">
        <v>1412</v>
      </c>
      <c r="D61" s="565">
        <v>20</v>
      </c>
      <c r="E61" s="720">
        <v>0.41</v>
      </c>
      <c r="F61" s="523">
        <v>2.2000000000000001E-4</v>
      </c>
    </row>
    <row r="62" spans="1:6" ht="11.25" customHeight="1">
      <c r="A62" s="458" t="s">
        <v>363</v>
      </c>
      <c r="B62" s="501">
        <v>7.9999999999999996E-6</v>
      </c>
      <c r="C62" s="719" t="s">
        <v>1412</v>
      </c>
      <c r="D62" s="565">
        <v>2.75</v>
      </c>
      <c r="E62" s="720">
        <v>1E-3</v>
      </c>
      <c r="F62" s="523">
        <v>7.9999999999999996E-6</v>
      </c>
    </row>
    <row r="63" spans="1:6" ht="11.25" customHeight="1">
      <c r="A63" s="458" t="s">
        <v>234</v>
      </c>
      <c r="B63" s="501">
        <v>47</v>
      </c>
      <c r="C63" s="719" t="s">
        <v>1411</v>
      </c>
      <c r="D63" s="565">
        <v>50000</v>
      </c>
      <c r="E63" s="720">
        <v>47</v>
      </c>
      <c r="F63" s="523" t="s">
        <v>954</v>
      </c>
    </row>
    <row r="64" spans="1:6" ht="11.25" customHeight="1">
      <c r="A64" s="458" t="s">
        <v>235</v>
      </c>
      <c r="B64" s="501">
        <v>79</v>
      </c>
      <c r="C64" s="719" t="s">
        <v>1412</v>
      </c>
      <c r="D64" s="565">
        <v>20000</v>
      </c>
      <c r="E64" s="720">
        <v>910</v>
      </c>
      <c r="F64" s="523">
        <v>79</v>
      </c>
    </row>
    <row r="65" spans="1:6" ht="11.25" customHeight="1">
      <c r="A65" s="458" t="s">
        <v>294</v>
      </c>
      <c r="B65" s="501">
        <v>0.6</v>
      </c>
      <c r="C65" s="719" t="s">
        <v>1412</v>
      </c>
      <c r="D65" s="565">
        <v>1500</v>
      </c>
      <c r="E65" s="720">
        <v>25</v>
      </c>
      <c r="F65" s="523">
        <v>0.6</v>
      </c>
    </row>
    <row r="66" spans="1:6" ht="11.25" customHeight="1">
      <c r="A66" s="458" t="s">
        <v>295</v>
      </c>
      <c r="B66" s="501">
        <v>620</v>
      </c>
      <c r="C66" s="719" t="s">
        <v>1411</v>
      </c>
      <c r="D66" s="565">
        <v>50000</v>
      </c>
      <c r="E66" s="720">
        <v>620</v>
      </c>
      <c r="F66" s="523" t="s">
        <v>954</v>
      </c>
    </row>
    <row r="67" spans="1:6" ht="11.25" customHeight="1">
      <c r="A67" s="458" t="s">
        <v>228</v>
      </c>
      <c r="B67" s="501">
        <v>260</v>
      </c>
      <c r="C67" s="719" t="s">
        <v>769</v>
      </c>
      <c r="D67" s="565">
        <v>260</v>
      </c>
      <c r="E67" s="720">
        <v>558</v>
      </c>
      <c r="F67" s="523" t="s">
        <v>58</v>
      </c>
    </row>
    <row r="68" spans="1:6" ht="11.25" customHeight="1">
      <c r="A68" s="458" t="s">
        <v>942</v>
      </c>
      <c r="B68" s="501">
        <v>0.3</v>
      </c>
      <c r="C68" s="719" t="s">
        <v>769</v>
      </c>
      <c r="D68" s="565">
        <v>0.3</v>
      </c>
      <c r="E68" s="720">
        <v>790</v>
      </c>
      <c r="F68" s="523">
        <v>290</v>
      </c>
    </row>
    <row r="69" spans="1:6" ht="11.25" customHeight="1">
      <c r="A69" s="458" t="s">
        <v>98</v>
      </c>
      <c r="B69" s="501">
        <v>70</v>
      </c>
      <c r="C69" s="719" t="s">
        <v>1411</v>
      </c>
      <c r="D69" s="565">
        <v>50000</v>
      </c>
      <c r="E69" s="720">
        <v>70</v>
      </c>
      <c r="F69" s="523" t="s">
        <v>954</v>
      </c>
    </row>
    <row r="70" spans="1:6" ht="11.25" customHeight="1">
      <c r="A70" s="458" t="s">
        <v>943</v>
      </c>
      <c r="B70" s="501">
        <v>10</v>
      </c>
      <c r="C70" s="719" t="s">
        <v>769</v>
      </c>
      <c r="D70" s="565">
        <v>10</v>
      </c>
      <c r="E70" s="720">
        <v>520</v>
      </c>
      <c r="F70" s="523">
        <v>15</v>
      </c>
    </row>
    <row r="71" spans="1:6" ht="11.25" customHeight="1">
      <c r="A71" s="458" t="s">
        <v>296</v>
      </c>
      <c r="B71" s="501">
        <v>0.06</v>
      </c>
      <c r="C71" s="719" t="s">
        <v>1411</v>
      </c>
      <c r="D71" s="565">
        <v>50000</v>
      </c>
      <c r="E71" s="720">
        <v>0.06</v>
      </c>
      <c r="F71" s="523">
        <v>4.5999999999999996</v>
      </c>
    </row>
    <row r="72" spans="1:6" ht="11.25" customHeight="1">
      <c r="A72" s="458" t="s">
        <v>944</v>
      </c>
      <c r="B72" s="501">
        <v>2.5000000000000001E-5</v>
      </c>
      <c r="C72" s="719" t="s">
        <v>1412</v>
      </c>
      <c r="D72" s="565">
        <v>41</v>
      </c>
      <c r="E72" s="720">
        <v>1.9E-3</v>
      </c>
      <c r="F72" s="523">
        <v>2.5000000000000001E-5</v>
      </c>
    </row>
    <row r="73" spans="1:6" ht="11.25" customHeight="1">
      <c r="A73" s="458" t="s">
        <v>945</v>
      </c>
      <c r="B73" s="501">
        <v>210</v>
      </c>
      <c r="C73" s="719" t="s">
        <v>1411</v>
      </c>
      <c r="D73" s="565">
        <v>50000</v>
      </c>
      <c r="E73" s="720">
        <v>210</v>
      </c>
      <c r="F73" s="523">
        <v>44000</v>
      </c>
    </row>
    <row r="74" spans="1:6" ht="11.25" customHeight="1">
      <c r="A74" s="458" t="s">
        <v>947</v>
      </c>
      <c r="B74" s="501">
        <v>120</v>
      </c>
      <c r="C74" s="719" t="s">
        <v>1411</v>
      </c>
      <c r="D74" s="565">
        <v>400</v>
      </c>
      <c r="E74" s="720">
        <v>120</v>
      </c>
      <c r="F74" s="523">
        <v>850</v>
      </c>
    </row>
    <row r="75" spans="1:6" ht="11.25" customHeight="1">
      <c r="A75" s="458" t="s">
        <v>946</v>
      </c>
      <c r="B75" s="501">
        <v>2900</v>
      </c>
      <c r="C75" s="719" t="s">
        <v>1411</v>
      </c>
      <c r="D75" s="565">
        <v>50000</v>
      </c>
      <c r="E75" s="720">
        <v>2900</v>
      </c>
      <c r="F75" s="523">
        <v>1100000</v>
      </c>
    </row>
    <row r="76" spans="1:6" ht="11.25" customHeight="1">
      <c r="A76" s="462" t="s">
        <v>99</v>
      </c>
      <c r="B76" s="501">
        <v>10</v>
      </c>
      <c r="C76" s="719" t="s">
        <v>1411</v>
      </c>
      <c r="D76" s="565">
        <v>50000</v>
      </c>
      <c r="E76" s="720">
        <v>10</v>
      </c>
      <c r="F76" s="523" t="s">
        <v>954</v>
      </c>
    </row>
    <row r="77" spans="1:6" ht="11.25" customHeight="1">
      <c r="A77" s="458" t="s">
        <v>297</v>
      </c>
      <c r="B77" s="501">
        <v>14.3</v>
      </c>
      <c r="C77" s="719" t="s">
        <v>1411</v>
      </c>
      <c r="D77" s="565">
        <v>50000</v>
      </c>
      <c r="E77" s="720">
        <v>14.3</v>
      </c>
      <c r="F77" s="523">
        <v>5300</v>
      </c>
    </row>
    <row r="78" spans="1:6" ht="11.25" customHeight="1">
      <c r="A78" s="462" t="s">
        <v>100</v>
      </c>
      <c r="B78" s="501">
        <v>3</v>
      </c>
      <c r="C78" s="719" t="s">
        <v>1412</v>
      </c>
      <c r="D78" s="565">
        <v>50000</v>
      </c>
      <c r="E78" s="720">
        <v>9.1</v>
      </c>
      <c r="F78" s="523">
        <v>3</v>
      </c>
    </row>
    <row r="79" spans="1:6" ht="11.25" customHeight="1">
      <c r="A79" s="462" t="s">
        <v>101</v>
      </c>
      <c r="B79" s="501">
        <v>81</v>
      </c>
      <c r="C79" s="719" t="s">
        <v>1411</v>
      </c>
      <c r="D79" s="565">
        <v>50000</v>
      </c>
      <c r="E79" s="720">
        <v>81</v>
      </c>
      <c r="F79" s="523" t="s">
        <v>954</v>
      </c>
    </row>
    <row r="80" spans="1:6" ht="11.25" customHeight="1">
      <c r="A80" s="458" t="s">
        <v>382</v>
      </c>
      <c r="B80" s="501">
        <v>50000</v>
      </c>
      <c r="C80" s="719" t="s">
        <v>769</v>
      </c>
      <c r="D80" s="565">
        <v>50000</v>
      </c>
      <c r="E80" s="720">
        <v>500000</v>
      </c>
      <c r="F80" s="523" t="s">
        <v>954</v>
      </c>
    </row>
    <row r="81" spans="1:6" ht="11.25" customHeight="1">
      <c r="A81" s="458" t="s">
        <v>594</v>
      </c>
      <c r="B81" s="501">
        <v>3.1E-9</v>
      </c>
      <c r="C81" s="719" t="s">
        <v>1411</v>
      </c>
      <c r="D81" s="565">
        <v>0.1</v>
      </c>
      <c r="E81" s="720">
        <v>3.1E-9</v>
      </c>
      <c r="F81" s="523">
        <v>5.0000000000000001E-9</v>
      </c>
    </row>
    <row r="82" spans="1:6" ht="11.25" customHeight="1">
      <c r="A82" s="458" t="s">
        <v>102</v>
      </c>
      <c r="B82" s="501">
        <v>60</v>
      </c>
      <c r="C82" s="719" t="s">
        <v>1411</v>
      </c>
      <c r="D82" s="565">
        <v>21000</v>
      </c>
      <c r="E82" s="720">
        <v>60</v>
      </c>
      <c r="F82" s="523" t="s">
        <v>954</v>
      </c>
    </row>
    <row r="83" spans="1:6" ht="11.25" customHeight="1">
      <c r="A83" s="458" t="s">
        <v>370</v>
      </c>
      <c r="B83" s="501">
        <v>8.6999999999999994E-3</v>
      </c>
      <c r="C83" s="719" t="s">
        <v>1411</v>
      </c>
      <c r="D83" s="565">
        <v>162.5</v>
      </c>
      <c r="E83" s="720">
        <v>8.6999999999999994E-3</v>
      </c>
      <c r="F83" s="523">
        <v>52</v>
      </c>
    </row>
    <row r="84" spans="1:6" ht="11.25" customHeight="1">
      <c r="A84" s="458" t="s">
        <v>337</v>
      </c>
      <c r="B84" s="501">
        <v>2.3E-3</v>
      </c>
      <c r="C84" s="719" t="s">
        <v>1411</v>
      </c>
      <c r="D84" s="565">
        <v>41</v>
      </c>
      <c r="E84" s="720">
        <v>2.3E-3</v>
      </c>
      <c r="F84" s="523">
        <v>0.81</v>
      </c>
    </row>
    <row r="85" spans="1:6" ht="11.25" customHeight="1">
      <c r="A85" s="458" t="s">
        <v>28</v>
      </c>
      <c r="B85" s="501">
        <v>0</v>
      </c>
      <c r="C85" s="719" t="s">
        <v>1411</v>
      </c>
      <c r="D85" s="565">
        <v>50000</v>
      </c>
      <c r="E85" s="720">
        <v>0</v>
      </c>
      <c r="F85" s="523" t="s">
        <v>954</v>
      </c>
    </row>
    <row r="86" spans="1:6" ht="11.25" customHeight="1">
      <c r="A86" s="458" t="s">
        <v>338</v>
      </c>
      <c r="B86" s="501">
        <v>7.3</v>
      </c>
      <c r="C86" s="719" t="s">
        <v>1411</v>
      </c>
      <c r="D86" s="565">
        <v>30</v>
      </c>
      <c r="E86" s="720">
        <v>7.3</v>
      </c>
      <c r="F86" s="523">
        <v>1070</v>
      </c>
    </row>
    <row r="87" spans="1:6" ht="11.25" customHeight="1">
      <c r="A87" s="458" t="s">
        <v>339</v>
      </c>
      <c r="B87" s="501">
        <v>7.1</v>
      </c>
      <c r="C87" s="719" t="s">
        <v>1411</v>
      </c>
      <c r="D87" s="565">
        <v>130</v>
      </c>
      <c r="E87" s="720">
        <v>7.1</v>
      </c>
      <c r="F87" s="523">
        <v>18</v>
      </c>
    </row>
    <row r="88" spans="1:6" ht="11.25" customHeight="1">
      <c r="A88" s="458" t="s">
        <v>340</v>
      </c>
      <c r="B88" s="501">
        <v>3.9</v>
      </c>
      <c r="C88" s="719" t="s">
        <v>1411</v>
      </c>
      <c r="D88" s="565">
        <v>845</v>
      </c>
      <c r="E88" s="720">
        <v>3.9</v>
      </c>
      <c r="F88" s="523">
        <v>5300</v>
      </c>
    </row>
    <row r="89" spans="1:6" ht="11.25" customHeight="1">
      <c r="A89" s="458" t="s">
        <v>103</v>
      </c>
      <c r="B89" s="501">
        <v>1800</v>
      </c>
      <c r="C89" s="719" t="s">
        <v>1411</v>
      </c>
      <c r="D89" s="565">
        <v>50000</v>
      </c>
      <c r="E89" s="720">
        <v>1800</v>
      </c>
      <c r="F89" s="523" t="s">
        <v>954</v>
      </c>
    </row>
    <row r="90" spans="1:6" ht="11.25" customHeight="1">
      <c r="A90" s="458" t="s">
        <v>341</v>
      </c>
      <c r="B90" s="501">
        <v>9.0000000000000006E-5</v>
      </c>
      <c r="C90" s="719" t="s">
        <v>1412</v>
      </c>
      <c r="D90" s="565">
        <v>20</v>
      </c>
      <c r="E90" s="720">
        <v>3.5999999999999999E-3</v>
      </c>
      <c r="F90" s="523">
        <v>9.0000000000000006E-5</v>
      </c>
    </row>
    <row r="91" spans="1:6" ht="11.25" customHeight="1">
      <c r="A91" s="458" t="s">
        <v>342</v>
      </c>
      <c r="B91" s="501">
        <v>3.8999999999999999E-5</v>
      </c>
      <c r="C91" s="719" t="s">
        <v>1412</v>
      </c>
      <c r="D91" s="565">
        <v>100</v>
      </c>
      <c r="E91" s="720">
        <v>3.5999999999999999E-3</v>
      </c>
      <c r="F91" s="523">
        <v>3.8999999999999999E-5</v>
      </c>
    </row>
    <row r="92" spans="1:6" ht="11.25" customHeight="1">
      <c r="A92" s="458" t="s">
        <v>371</v>
      </c>
      <c r="B92" s="501">
        <v>2.4000000000000001E-4</v>
      </c>
      <c r="C92" s="719" t="s">
        <v>1412</v>
      </c>
      <c r="D92" s="565">
        <v>3.1</v>
      </c>
      <c r="E92" s="720">
        <v>2.9999999999999997E-4</v>
      </c>
      <c r="F92" s="523">
        <v>2.4000000000000001E-4</v>
      </c>
    </row>
    <row r="93" spans="1:6" ht="11.25" customHeight="1">
      <c r="A93" s="458" t="s">
        <v>343</v>
      </c>
      <c r="B93" s="501">
        <v>0.3</v>
      </c>
      <c r="C93" s="719" t="s">
        <v>1411</v>
      </c>
      <c r="D93" s="565">
        <v>6</v>
      </c>
      <c r="E93" s="720">
        <v>0.3</v>
      </c>
      <c r="F93" s="523">
        <v>16</v>
      </c>
    </row>
    <row r="94" spans="1:6" ht="11.25" customHeight="1">
      <c r="A94" s="458" t="s">
        <v>364</v>
      </c>
      <c r="B94" s="501">
        <v>0.02</v>
      </c>
      <c r="C94" s="719" t="s">
        <v>1412</v>
      </c>
      <c r="D94" s="565">
        <v>3650</v>
      </c>
      <c r="E94" s="720">
        <v>6.3E-2</v>
      </c>
      <c r="F94" s="523">
        <v>0.02</v>
      </c>
    </row>
    <row r="95" spans="1:6" ht="11.25" customHeight="1">
      <c r="A95" s="458" t="s">
        <v>344</v>
      </c>
      <c r="B95" s="501">
        <v>2.9</v>
      </c>
      <c r="C95" s="719" t="s">
        <v>1412</v>
      </c>
      <c r="D95" s="565">
        <v>10</v>
      </c>
      <c r="E95" s="720">
        <v>12</v>
      </c>
      <c r="F95" s="523">
        <v>2.9</v>
      </c>
    </row>
    <row r="96" spans="1:6" ht="11.25" customHeight="1">
      <c r="A96" s="458" t="s">
        <v>104</v>
      </c>
      <c r="B96" s="501">
        <v>17000</v>
      </c>
      <c r="C96" s="719" t="s">
        <v>1411</v>
      </c>
      <c r="D96" s="565">
        <v>50000</v>
      </c>
      <c r="E96" s="720">
        <v>17000</v>
      </c>
      <c r="F96" s="523" t="s">
        <v>954</v>
      </c>
    </row>
    <row r="97" spans="1:6" ht="11.25" customHeight="1">
      <c r="A97" s="458" t="s">
        <v>345</v>
      </c>
      <c r="B97" s="501">
        <v>1.7999999999999999E-2</v>
      </c>
      <c r="C97" s="719" t="s">
        <v>1412</v>
      </c>
      <c r="D97" s="565">
        <v>9.5000000000000001E-2</v>
      </c>
      <c r="E97" s="720">
        <v>0.28000000000000003</v>
      </c>
      <c r="F97" s="523">
        <v>1.7999999999999999E-2</v>
      </c>
    </row>
    <row r="98" spans="1:6" ht="11.25" customHeight="1">
      <c r="A98" s="458" t="s">
        <v>105</v>
      </c>
      <c r="B98" s="501">
        <v>920</v>
      </c>
      <c r="C98" s="719" t="s">
        <v>1411</v>
      </c>
      <c r="D98" s="565">
        <v>50000</v>
      </c>
      <c r="E98" s="720">
        <v>920</v>
      </c>
      <c r="F98" s="523">
        <v>170000</v>
      </c>
    </row>
    <row r="99" spans="1:6" ht="11.25" customHeight="1">
      <c r="A99" s="458" t="s">
        <v>346</v>
      </c>
      <c r="B99" s="501">
        <v>5.6</v>
      </c>
      <c r="C99" s="719" t="s">
        <v>1411</v>
      </c>
      <c r="D99" s="565">
        <v>50000</v>
      </c>
      <c r="E99" s="720">
        <v>5.6</v>
      </c>
      <c r="F99" s="523" t="s">
        <v>954</v>
      </c>
    </row>
    <row r="100" spans="1:6" ht="11.25" customHeight="1">
      <c r="A100" s="458" t="s">
        <v>347</v>
      </c>
      <c r="B100" s="501">
        <v>2.5000000000000001E-2</v>
      </c>
      <c r="C100" s="719" t="s">
        <v>1411</v>
      </c>
      <c r="D100" s="565">
        <v>50000</v>
      </c>
      <c r="E100" s="720">
        <v>2.5000000000000001E-2</v>
      </c>
      <c r="F100" s="523">
        <v>4.7E-2</v>
      </c>
    </row>
    <row r="101" spans="1:6" ht="11.25" customHeight="1">
      <c r="A101" s="458" t="s">
        <v>348</v>
      </c>
      <c r="B101" s="501">
        <v>0.03</v>
      </c>
      <c r="C101" s="719" t="s">
        <v>1411</v>
      </c>
      <c r="D101" s="565">
        <v>50</v>
      </c>
      <c r="E101" s="720">
        <v>0.03</v>
      </c>
      <c r="F101" s="523" t="s">
        <v>954</v>
      </c>
    </row>
    <row r="102" spans="1:6" ht="11.25" customHeight="1">
      <c r="A102" s="458" t="s">
        <v>350</v>
      </c>
      <c r="B102" s="501">
        <v>8400</v>
      </c>
      <c r="C102" s="719" t="s">
        <v>769</v>
      </c>
      <c r="D102" s="565">
        <v>8400</v>
      </c>
      <c r="E102" s="720">
        <v>14000</v>
      </c>
      <c r="F102" s="523" t="s">
        <v>954</v>
      </c>
    </row>
    <row r="103" spans="1:6" ht="11.25" customHeight="1">
      <c r="A103" s="458" t="s">
        <v>351</v>
      </c>
      <c r="B103" s="501">
        <v>170</v>
      </c>
      <c r="C103" s="719" t="s">
        <v>1411</v>
      </c>
      <c r="D103" s="565">
        <v>1300</v>
      </c>
      <c r="E103" s="720">
        <v>170</v>
      </c>
      <c r="F103" s="523" t="s">
        <v>954</v>
      </c>
    </row>
    <row r="104" spans="1:6" ht="11.25" customHeight="1">
      <c r="A104" s="458" t="s">
        <v>352</v>
      </c>
      <c r="B104" s="501">
        <v>2.8E-3</v>
      </c>
      <c r="C104" s="719" t="s">
        <v>1411</v>
      </c>
      <c r="D104" s="565">
        <v>50000</v>
      </c>
      <c r="E104" s="720">
        <v>2.8E-3</v>
      </c>
      <c r="F104" s="523" t="s">
        <v>954</v>
      </c>
    </row>
    <row r="105" spans="1:6" ht="11.25" customHeight="1">
      <c r="A105" s="458" t="s">
        <v>353</v>
      </c>
      <c r="B105" s="501">
        <v>180</v>
      </c>
      <c r="C105" s="719" t="s">
        <v>769</v>
      </c>
      <c r="D105" s="565">
        <v>180</v>
      </c>
      <c r="E105" s="720">
        <v>18000</v>
      </c>
      <c r="F105" s="523" t="s">
        <v>954</v>
      </c>
    </row>
    <row r="106" spans="1:6" ht="11.25" customHeight="1">
      <c r="A106" s="458" t="s">
        <v>349</v>
      </c>
      <c r="B106" s="501">
        <v>590</v>
      </c>
      <c r="C106" s="719" t="s">
        <v>1412</v>
      </c>
      <c r="D106" s="565">
        <v>9100</v>
      </c>
      <c r="E106" s="720">
        <v>2200</v>
      </c>
      <c r="F106" s="523">
        <v>590</v>
      </c>
    </row>
    <row r="107" spans="1:6" ht="11.25" customHeight="1">
      <c r="A107" s="458" t="s">
        <v>590</v>
      </c>
      <c r="B107" s="501">
        <v>2.1</v>
      </c>
      <c r="C107" s="719" t="s">
        <v>1411</v>
      </c>
      <c r="D107" s="565">
        <v>10</v>
      </c>
      <c r="E107" s="720">
        <v>2.1</v>
      </c>
      <c r="F107" s="523" t="s">
        <v>954</v>
      </c>
    </row>
    <row r="108" spans="1:6" ht="11.25" customHeight="1">
      <c r="A108" s="458" t="s">
        <v>591</v>
      </c>
      <c r="B108" s="501">
        <v>10</v>
      </c>
      <c r="C108" s="719" t="s">
        <v>769</v>
      </c>
      <c r="D108" s="565">
        <v>10</v>
      </c>
      <c r="E108" s="720">
        <v>72</v>
      </c>
      <c r="F108" s="523" t="s">
        <v>954</v>
      </c>
    </row>
    <row r="109" spans="1:6" ht="11.25" customHeight="1">
      <c r="A109" s="458" t="s">
        <v>465</v>
      </c>
      <c r="B109" s="501">
        <v>370</v>
      </c>
      <c r="C109" s="719" t="s">
        <v>1411</v>
      </c>
      <c r="D109" s="565">
        <v>50000</v>
      </c>
      <c r="E109" s="720">
        <v>370</v>
      </c>
      <c r="F109" s="523" t="s">
        <v>954</v>
      </c>
    </row>
    <row r="110" spans="1:6" ht="11.25" customHeight="1">
      <c r="A110" s="458" t="s">
        <v>466</v>
      </c>
      <c r="B110" s="501">
        <v>12</v>
      </c>
      <c r="C110" s="719" t="s">
        <v>1411</v>
      </c>
      <c r="D110" s="565">
        <v>21</v>
      </c>
      <c r="E110" s="720">
        <v>12</v>
      </c>
      <c r="F110" s="523" t="s">
        <v>954</v>
      </c>
    </row>
    <row r="111" spans="1:6" ht="11.25" customHeight="1">
      <c r="A111" s="458" t="s">
        <v>812</v>
      </c>
      <c r="B111" s="501">
        <v>8.3000000000000007</v>
      </c>
      <c r="C111" s="719" t="s">
        <v>1411</v>
      </c>
      <c r="D111" s="565">
        <v>50000</v>
      </c>
      <c r="E111" s="720">
        <v>8.3000000000000007</v>
      </c>
      <c r="F111" s="523">
        <v>33</v>
      </c>
    </row>
    <row r="112" spans="1:6" ht="11.25" customHeight="1">
      <c r="A112" s="462" t="s">
        <v>106</v>
      </c>
      <c r="B112" s="501">
        <v>380</v>
      </c>
      <c r="C112" s="719" t="s">
        <v>1411</v>
      </c>
      <c r="D112" s="565">
        <v>50000</v>
      </c>
      <c r="E112" s="720">
        <v>380</v>
      </c>
      <c r="F112" s="523" t="s">
        <v>954</v>
      </c>
    </row>
    <row r="113" spans="1:6" ht="11.25" customHeight="1">
      <c r="A113" s="462" t="s">
        <v>107</v>
      </c>
      <c r="B113" s="501">
        <v>18</v>
      </c>
      <c r="C113" s="719" t="s">
        <v>1411</v>
      </c>
      <c r="D113" s="565">
        <v>50000</v>
      </c>
      <c r="E113" s="720">
        <v>18</v>
      </c>
      <c r="F113" s="523" t="s">
        <v>954</v>
      </c>
    </row>
    <row r="114" spans="1:6" ht="11.25" customHeight="1">
      <c r="A114" s="462" t="s">
        <v>108</v>
      </c>
      <c r="B114" s="501">
        <v>71</v>
      </c>
      <c r="C114" s="719" t="s">
        <v>1411</v>
      </c>
      <c r="D114" s="565">
        <v>50000</v>
      </c>
      <c r="E114" s="720">
        <v>71</v>
      </c>
      <c r="F114" s="523" t="s">
        <v>954</v>
      </c>
    </row>
    <row r="115" spans="1:6" ht="11.25" customHeight="1">
      <c r="A115" s="462" t="s">
        <v>109</v>
      </c>
      <c r="B115" s="501">
        <v>42</v>
      </c>
      <c r="C115" s="719" t="s">
        <v>1411</v>
      </c>
      <c r="D115" s="565">
        <v>50000</v>
      </c>
      <c r="E115" s="720">
        <v>42</v>
      </c>
      <c r="F115" s="523" t="s">
        <v>954</v>
      </c>
    </row>
    <row r="116" spans="1:6" ht="11.25" customHeight="1">
      <c r="A116" s="462" t="s">
        <v>110</v>
      </c>
      <c r="B116" s="501">
        <v>46</v>
      </c>
      <c r="C116" s="719" t="s">
        <v>1411</v>
      </c>
      <c r="D116" s="565">
        <v>50000</v>
      </c>
      <c r="E116" s="720">
        <v>46</v>
      </c>
      <c r="F116" s="523" t="s">
        <v>954</v>
      </c>
    </row>
    <row r="117" spans="1:6" ht="11.25" customHeight="1">
      <c r="A117" s="458" t="s">
        <v>467</v>
      </c>
      <c r="B117" s="501">
        <v>3</v>
      </c>
      <c r="C117" s="719" t="s">
        <v>1412</v>
      </c>
      <c r="D117" s="565">
        <v>590</v>
      </c>
      <c r="E117" s="720">
        <v>7.9</v>
      </c>
      <c r="F117" s="523">
        <v>3</v>
      </c>
    </row>
    <row r="118" spans="1:6" ht="11.25" customHeight="1">
      <c r="A118" s="462" t="s">
        <v>111</v>
      </c>
      <c r="B118" s="501">
        <v>21500</v>
      </c>
      <c r="C118" s="719" t="s">
        <v>769</v>
      </c>
      <c r="D118" s="565">
        <v>21500</v>
      </c>
      <c r="E118" s="720">
        <v>850000</v>
      </c>
      <c r="F118" s="523" t="s">
        <v>954</v>
      </c>
    </row>
    <row r="119" spans="1:6" ht="11.25" customHeight="1">
      <c r="A119" s="458" t="s">
        <v>231</v>
      </c>
      <c r="B119" s="501">
        <v>600</v>
      </c>
      <c r="C119" s="719" t="s">
        <v>1411</v>
      </c>
      <c r="D119" s="565">
        <v>50000</v>
      </c>
      <c r="E119" s="720">
        <v>600</v>
      </c>
      <c r="F119" s="523" t="s">
        <v>954</v>
      </c>
    </row>
    <row r="120" spans="1:6" ht="11.25" customHeight="1">
      <c r="A120" s="458" t="s">
        <v>468</v>
      </c>
      <c r="B120" s="501">
        <v>4.5999999999999996</v>
      </c>
      <c r="C120" s="719" t="s">
        <v>1411</v>
      </c>
      <c r="D120" s="565">
        <v>408</v>
      </c>
      <c r="E120" s="720">
        <v>4.5999999999999996</v>
      </c>
      <c r="F120" s="523" t="s">
        <v>954</v>
      </c>
    </row>
    <row r="121" spans="1:6" ht="11.25" customHeight="1">
      <c r="A121" s="458" t="s">
        <v>469</v>
      </c>
      <c r="B121" s="501">
        <v>58</v>
      </c>
      <c r="C121" s="719" t="s">
        <v>1411</v>
      </c>
      <c r="D121" s="565">
        <v>7900</v>
      </c>
      <c r="E121" s="720">
        <v>58</v>
      </c>
      <c r="F121" s="523">
        <v>1700000</v>
      </c>
    </row>
    <row r="122" spans="1:6" ht="11.25" customHeight="1">
      <c r="A122" s="458" t="s">
        <v>365</v>
      </c>
      <c r="B122" s="501">
        <v>7.8999999999999996E-5</v>
      </c>
      <c r="C122" s="719" t="s">
        <v>1412</v>
      </c>
      <c r="D122" s="565">
        <v>21.5</v>
      </c>
      <c r="E122" s="720">
        <v>0.03</v>
      </c>
      <c r="F122" s="523">
        <v>7.8999999999999996E-5</v>
      </c>
    </row>
    <row r="123" spans="1:6" ht="11.25" customHeight="1">
      <c r="A123" s="458" t="s">
        <v>112</v>
      </c>
      <c r="B123" s="501">
        <v>95</v>
      </c>
      <c r="C123" s="719" t="s">
        <v>1411</v>
      </c>
      <c r="D123" s="565">
        <v>50000</v>
      </c>
      <c r="E123" s="720">
        <v>95</v>
      </c>
      <c r="F123" s="523" t="s">
        <v>954</v>
      </c>
    </row>
    <row r="124" spans="1:6" ht="11.25" customHeight="1">
      <c r="A124" s="458" t="s">
        <v>470</v>
      </c>
      <c r="B124" s="501">
        <v>10</v>
      </c>
      <c r="C124" s="719" t="s">
        <v>1411</v>
      </c>
      <c r="D124" s="565">
        <v>67.5</v>
      </c>
      <c r="E124" s="720">
        <v>10</v>
      </c>
      <c r="F124" s="523">
        <v>4000</v>
      </c>
    </row>
    <row r="125" spans="1:6" ht="11.25" customHeight="1">
      <c r="A125" s="458" t="s">
        <v>471</v>
      </c>
      <c r="B125" s="501">
        <v>71</v>
      </c>
      <c r="C125" s="719" t="s">
        <v>1411</v>
      </c>
      <c r="D125" s="565">
        <v>50000</v>
      </c>
      <c r="E125" s="720">
        <v>71</v>
      </c>
      <c r="F125" s="523" t="s">
        <v>954</v>
      </c>
    </row>
    <row r="126" spans="1:6" ht="11.25" customHeight="1">
      <c r="A126" s="458" t="s">
        <v>813</v>
      </c>
      <c r="B126" s="501">
        <v>0.1</v>
      </c>
      <c r="C126" s="719" t="s">
        <v>1411</v>
      </c>
      <c r="D126" s="565">
        <v>50000</v>
      </c>
      <c r="E126" s="720">
        <v>0.1</v>
      </c>
      <c r="F126" s="523" t="s">
        <v>954</v>
      </c>
    </row>
    <row r="127" spans="1:6" ht="11.25" customHeight="1">
      <c r="A127" s="458" t="s">
        <v>113</v>
      </c>
      <c r="B127" s="501">
        <v>9</v>
      </c>
      <c r="C127" s="719" t="s">
        <v>1411</v>
      </c>
      <c r="D127" s="565">
        <v>3100</v>
      </c>
      <c r="E127" s="720">
        <v>9</v>
      </c>
      <c r="F127" s="523" t="s">
        <v>954</v>
      </c>
    </row>
    <row r="128" spans="1:6" ht="11.25" customHeight="1">
      <c r="A128" s="458" t="s">
        <v>472</v>
      </c>
      <c r="B128" s="501">
        <v>11</v>
      </c>
      <c r="C128" s="719" t="s">
        <v>769</v>
      </c>
      <c r="D128" s="565">
        <v>11</v>
      </c>
      <c r="E128" s="720">
        <v>32</v>
      </c>
      <c r="F128" s="523" t="s">
        <v>954</v>
      </c>
    </row>
    <row r="129" spans="1:6" ht="11.25" customHeight="1">
      <c r="A129" s="458" t="s">
        <v>114</v>
      </c>
      <c r="B129" s="501">
        <v>251.31929956026045</v>
      </c>
      <c r="C129" s="719" t="s">
        <v>1411</v>
      </c>
      <c r="D129" s="565">
        <v>50000</v>
      </c>
      <c r="E129" s="720">
        <v>251.31929956026045</v>
      </c>
      <c r="F129" s="523" t="s">
        <v>954</v>
      </c>
    </row>
    <row r="130" spans="1:6" ht="11.25" customHeight="1">
      <c r="A130" s="458" t="s">
        <v>19</v>
      </c>
      <c r="B130" s="501">
        <v>18000</v>
      </c>
      <c r="C130" s="719" t="s">
        <v>1411</v>
      </c>
      <c r="D130" s="565">
        <v>50000</v>
      </c>
      <c r="E130" s="720">
        <v>18000</v>
      </c>
      <c r="F130" s="523" t="s">
        <v>954</v>
      </c>
    </row>
    <row r="131" spans="1:6" ht="11.25" customHeight="1">
      <c r="A131" s="458" t="s">
        <v>473</v>
      </c>
      <c r="B131" s="501">
        <v>10.8</v>
      </c>
      <c r="C131" s="719" t="s">
        <v>1411</v>
      </c>
      <c r="D131" s="565">
        <v>50000</v>
      </c>
      <c r="E131" s="720">
        <v>10.8</v>
      </c>
      <c r="F131" s="523" t="s">
        <v>954</v>
      </c>
    </row>
    <row r="132" spans="1:6" ht="11.25" customHeight="1">
      <c r="A132" s="458" t="s">
        <v>474</v>
      </c>
      <c r="B132" s="501">
        <v>3.5</v>
      </c>
      <c r="C132" s="719" t="s">
        <v>1412</v>
      </c>
      <c r="D132" s="565">
        <v>500</v>
      </c>
      <c r="E132" s="720">
        <v>610</v>
      </c>
      <c r="F132" s="523">
        <v>3.5</v>
      </c>
    </row>
    <row r="133" spans="1:6" ht="11.25" customHeight="1">
      <c r="A133" s="458" t="s">
        <v>475</v>
      </c>
      <c r="B133" s="501">
        <v>2.9</v>
      </c>
      <c r="C133" s="719" t="s">
        <v>1412</v>
      </c>
      <c r="D133" s="565">
        <v>300</v>
      </c>
      <c r="E133" s="720">
        <v>145</v>
      </c>
      <c r="F133" s="523">
        <v>2.9</v>
      </c>
    </row>
    <row r="134" spans="1:6" ht="11.25" customHeight="1">
      <c r="A134" s="458" t="s">
        <v>115</v>
      </c>
      <c r="B134" s="501">
        <v>1.2</v>
      </c>
      <c r="C134" s="719" t="s">
        <v>1411</v>
      </c>
      <c r="D134" s="565">
        <v>11500</v>
      </c>
      <c r="E134" s="720">
        <v>1.2</v>
      </c>
      <c r="F134" s="523" t="s">
        <v>954</v>
      </c>
    </row>
    <row r="135" spans="1:6" ht="11.25" customHeight="1">
      <c r="A135" s="462" t="s">
        <v>116</v>
      </c>
      <c r="B135" s="501">
        <v>330</v>
      </c>
      <c r="C135" s="719" t="s">
        <v>1411</v>
      </c>
      <c r="D135" s="565">
        <v>2500</v>
      </c>
      <c r="E135" s="720">
        <v>330</v>
      </c>
      <c r="F135" s="523" t="s">
        <v>954</v>
      </c>
    </row>
    <row r="136" spans="1:6" ht="11.25" customHeight="1">
      <c r="A136" s="458" t="s">
        <v>476</v>
      </c>
      <c r="B136" s="501">
        <v>12</v>
      </c>
      <c r="C136" s="719" t="s">
        <v>1411</v>
      </c>
      <c r="D136" s="565">
        <v>50000</v>
      </c>
      <c r="E136" s="720">
        <v>12</v>
      </c>
      <c r="F136" s="523">
        <v>16</v>
      </c>
    </row>
    <row r="137" spans="1:6" ht="11.25" customHeight="1">
      <c r="A137" s="458" t="s">
        <v>366</v>
      </c>
      <c r="B137" s="501">
        <v>9.8000000000000007</v>
      </c>
      <c r="C137" s="719" t="s">
        <v>1411</v>
      </c>
      <c r="D137" s="565">
        <v>40</v>
      </c>
      <c r="E137" s="720">
        <v>9.8000000000000007</v>
      </c>
      <c r="F137" s="523">
        <v>140000</v>
      </c>
    </row>
    <row r="138" spans="1:6" ht="11.25" customHeight="1">
      <c r="A138" s="458" t="s">
        <v>20</v>
      </c>
      <c r="B138" s="501">
        <v>2.0000000000000001E-4</v>
      </c>
      <c r="C138" s="719" t="s">
        <v>1411</v>
      </c>
      <c r="D138" s="565">
        <v>140</v>
      </c>
      <c r="E138" s="720">
        <v>2.0000000000000001E-4</v>
      </c>
      <c r="F138" s="523">
        <v>2.4000000000000001E-4</v>
      </c>
    </row>
    <row r="139" spans="1:6" ht="11.25" customHeight="1">
      <c r="A139" s="458" t="s">
        <v>57</v>
      </c>
      <c r="B139" s="501">
        <v>3700</v>
      </c>
      <c r="C139" s="719" t="s">
        <v>1411</v>
      </c>
      <c r="D139" s="565">
        <v>5000</v>
      </c>
      <c r="E139" s="720">
        <v>3700</v>
      </c>
      <c r="F139" s="523" t="s">
        <v>954</v>
      </c>
    </row>
    <row r="140" spans="1:6" ht="11.25" customHeight="1">
      <c r="A140" s="458" t="s">
        <v>56</v>
      </c>
      <c r="B140" s="501">
        <v>640</v>
      </c>
      <c r="C140" s="719" t="s">
        <v>1411</v>
      </c>
      <c r="D140" s="565">
        <v>5000</v>
      </c>
      <c r="E140" s="720">
        <v>640</v>
      </c>
      <c r="F140" s="523" t="s">
        <v>954</v>
      </c>
    </row>
    <row r="141" spans="1:6" ht="11.25" customHeight="1">
      <c r="A141" s="458" t="s">
        <v>777</v>
      </c>
      <c r="B141" s="501">
        <v>640</v>
      </c>
      <c r="C141" s="719" t="s">
        <v>1411</v>
      </c>
      <c r="D141" s="565">
        <v>5000</v>
      </c>
      <c r="E141" s="720">
        <v>640</v>
      </c>
      <c r="F141" s="523" t="s">
        <v>954</v>
      </c>
    </row>
    <row r="142" spans="1:6" ht="11.25" customHeight="1">
      <c r="A142" s="458" t="s">
        <v>814</v>
      </c>
      <c r="B142" s="501">
        <v>110</v>
      </c>
      <c r="C142" s="719" t="s">
        <v>1411</v>
      </c>
      <c r="D142" s="565">
        <v>3000</v>
      </c>
      <c r="E142" s="720">
        <v>110</v>
      </c>
      <c r="F142" s="523" t="s">
        <v>954</v>
      </c>
    </row>
    <row r="143" spans="1:6" ht="11.25" customHeight="1">
      <c r="A143" s="458" t="s">
        <v>815</v>
      </c>
      <c r="B143" s="501">
        <v>11</v>
      </c>
      <c r="C143" s="719" t="s">
        <v>1411</v>
      </c>
      <c r="D143" s="565">
        <v>50000</v>
      </c>
      <c r="E143" s="720">
        <v>11</v>
      </c>
      <c r="F143" s="523">
        <v>340000</v>
      </c>
    </row>
    <row r="144" spans="1:6" ht="11.25" customHeight="1">
      <c r="A144" s="458" t="s">
        <v>477</v>
      </c>
      <c r="B144" s="501">
        <v>14</v>
      </c>
      <c r="C144" s="719" t="s">
        <v>1412</v>
      </c>
      <c r="D144" s="565">
        <v>50000</v>
      </c>
      <c r="E144" s="720">
        <v>1200</v>
      </c>
      <c r="F144" s="523">
        <v>14</v>
      </c>
    </row>
    <row r="145" spans="1:6" ht="11.25" customHeight="1">
      <c r="A145" s="458" t="s">
        <v>478</v>
      </c>
      <c r="B145" s="501">
        <v>26</v>
      </c>
      <c r="C145" s="719" t="s">
        <v>1412</v>
      </c>
      <c r="D145" s="565">
        <v>10000</v>
      </c>
      <c r="E145" s="720">
        <v>47</v>
      </c>
      <c r="F145" s="523">
        <v>26</v>
      </c>
    </row>
    <row r="146" spans="1:6" ht="11.25" customHeight="1">
      <c r="A146" s="458" t="s">
        <v>479</v>
      </c>
      <c r="B146" s="501">
        <v>12</v>
      </c>
      <c r="C146" s="719" t="s">
        <v>1411</v>
      </c>
      <c r="D146" s="565">
        <v>200</v>
      </c>
      <c r="E146" s="720">
        <v>12</v>
      </c>
      <c r="F146" s="523">
        <v>3600</v>
      </c>
    </row>
    <row r="147" spans="1:6" ht="11.25" customHeight="1">
      <c r="A147" s="458" t="s">
        <v>480</v>
      </c>
      <c r="B147" s="501">
        <v>1.2</v>
      </c>
      <c r="C147" s="719" t="s">
        <v>1412</v>
      </c>
      <c r="D147" s="565">
        <v>100</v>
      </c>
      <c r="E147" s="720">
        <v>6.5</v>
      </c>
      <c r="F147" s="523">
        <v>1.2</v>
      </c>
    </row>
    <row r="148" spans="1:6" ht="11.25" customHeight="1">
      <c r="A148" s="462" t="s">
        <v>117</v>
      </c>
      <c r="B148" s="501">
        <v>686</v>
      </c>
      <c r="C148" s="719" t="s">
        <v>1411</v>
      </c>
      <c r="D148" s="565">
        <v>50000</v>
      </c>
      <c r="E148" s="720">
        <v>686</v>
      </c>
      <c r="F148" s="523" t="s">
        <v>954</v>
      </c>
    </row>
    <row r="149" spans="1:6" ht="11.25" customHeight="1">
      <c r="A149" s="458" t="s">
        <v>118</v>
      </c>
      <c r="B149" s="501">
        <v>50</v>
      </c>
      <c r="C149" s="719" t="s">
        <v>1411</v>
      </c>
      <c r="D149" s="565">
        <v>35500</v>
      </c>
      <c r="E149" s="720">
        <v>50</v>
      </c>
      <c r="F149" s="523" t="s">
        <v>954</v>
      </c>
    </row>
    <row r="150" spans="1:6" ht="11.25" customHeight="1">
      <c r="A150" s="458" t="s">
        <v>119</v>
      </c>
      <c r="B150" s="501">
        <v>14</v>
      </c>
      <c r="C150" s="719" t="s">
        <v>1411</v>
      </c>
      <c r="D150" s="565">
        <v>50000</v>
      </c>
      <c r="E150" s="720">
        <v>14</v>
      </c>
      <c r="F150" s="523" t="s">
        <v>954</v>
      </c>
    </row>
    <row r="151" spans="1:6" ht="11.25" customHeight="1">
      <c r="A151" s="458" t="s">
        <v>120</v>
      </c>
      <c r="B151" s="501">
        <v>3.3315808860737541</v>
      </c>
      <c r="C151" s="719" t="s">
        <v>1411</v>
      </c>
      <c r="D151" s="565">
        <v>50000</v>
      </c>
      <c r="E151" s="720">
        <v>3.3315808860737541</v>
      </c>
      <c r="F151" s="523" t="s">
        <v>954</v>
      </c>
    </row>
    <row r="152" spans="1:6" ht="11.25" customHeight="1">
      <c r="A152" s="458" t="s">
        <v>602</v>
      </c>
      <c r="B152" s="501">
        <v>1.1399999999999999</v>
      </c>
      <c r="C152" s="719" t="s">
        <v>1411</v>
      </c>
      <c r="D152" s="565">
        <v>90</v>
      </c>
      <c r="E152" s="720">
        <v>1.1399999999999999</v>
      </c>
      <c r="F152" s="523" t="s">
        <v>954</v>
      </c>
    </row>
    <row r="153" spans="1:6" ht="11.25" customHeight="1">
      <c r="A153" s="462" t="s">
        <v>939</v>
      </c>
      <c r="B153" s="501">
        <v>10</v>
      </c>
      <c r="C153" s="719" t="s">
        <v>1411</v>
      </c>
      <c r="D153" s="565">
        <v>50000</v>
      </c>
      <c r="E153" s="720">
        <v>10</v>
      </c>
      <c r="F153" s="523" t="s">
        <v>954</v>
      </c>
    </row>
    <row r="154" spans="1:6" ht="11.25" customHeight="1">
      <c r="A154" s="462" t="s">
        <v>603</v>
      </c>
      <c r="B154" s="501">
        <v>39.469382156875795</v>
      </c>
      <c r="C154" s="719" t="s">
        <v>1411</v>
      </c>
      <c r="D154" s="565">
        <v>37000</v>
      </c>
      <c r="E154" s="720">
        <v>39.469382156875795</v>
      </c>
      <c r="F154" s="523" t="s">
        <v>954</v>
      </c>
    </row>
    <row r="155" spans="1:6" ht="11.25" customHeight="1">
      <c r="A155" s="462" t="s">
        <v>605</v>
      </c>
      <c r="B155" s="501">
        <v>20</v>
      </c>
      <c r="C155" s="719" t="s">
        <v>769</v>
      </c>
      <c r="D155" s="565">
        <v>20</v>
      </c>
      <c r="E155" s="720">
        <v>90</v>
      </c>
      <c r="F155" s="523" t="s">
        <v>954</v>
      </c>
    </row>
    <row r="156" spans="1:6" ht="11.25" customHeight="1">
      <c r="A156" s="458" t="s">
        <v>481</v>
      </c>
      <c r="B156" s="501">
        <v>81</v>
      </c>
      <c r="C156" s="719" t="s">
        <v>1411</v>
      </c>
      <c r="D156" s="565">
        <v>50000</v>
      </c>
      <c r="E156" s="720">
        <v>81</v>
      </c>
      <c r="F156" s="523" t="s">
        <v>954</v>
      </c>
    </row>
    <row r="157" spans="1:6" ht="11.25" customHeight="1">
      <c r="A157" s="458" t="s">
        <v>482</v>
      </c>
      <c r="B157" s="501">
        <v>170</v>
      </c>
      <c r="C157" s="719" t="s">
        <v>1412</v>
      </c>
      <c r="D157" s="565">
        <v>3400</v>
      </c>
      <c r="E157" s="720">
        <v>930</v>
      </c>
      <c r="F157" s="523">
        <v>170</v>
      </c>
    </row>
    <row r="158" spans="1:6" ht="11.25" customHeight="1">
      <c r="A158" s="458" t="s">
        <v>483</v>
      </c>
      <c r="B158" s="501">
        <v>13</v>
      </c>
      <c r="C158" s="719" t="s">
        <v>1411</v>
      </c>
      <c r="D158" s="565">
        <v>530</v>
      </c>
      <c r="E158" s="720">
        <v>13</v>
      </c>
      <c r="F158" s="523" t="s">
        <v>954</v>
      </c>
    </row>
    <row r="159" spans="1:6" ht="11.25" customHeight="1" thickBot="1">
      <c r="A159" s="516" t="s">
        <v>484</v>
      </c>
      <c r="B159" s="627">
        <v>86</v>
      </c>
      <c r="C159" s="721" t="s">
        <v>1411</v>
      </c>
      <c r="D159" s="575">
        <v>50000</v>
      </c>
      <c r="E159" s="722">
        <v>86</v>
      </c>
      <c r="F159" s="525" t="s">
        <v>954</v>
      </c>
    </row>
    <row r="160" spans="1:6" ht="11.25" customHeight="1" thickTop="1">
      <c r="A160" s="474" t="s">
        <v>488</v>
      </c>
      <c r="F160" s="483"/>
    </row>
    <row r="161" spans="1:6" ht="11.25" customHeight="1">
      <c r="A161" s="479" t="s">
        <v>396</v>
      </c>
      <c r="F161" s="483"/>
    </row>
    <row r="162" spans="1:6" ht="11.25" customHeight="1">
      <c r="A162" s="479"/>
      <c r="F162" s="483"/>
    </row>
    <row r="163" spans="1:6" ht="11.25" customHeight="1">
      <c r="A163" s="479" t="s">
        <v>778</v>
      </c>
      <c r="F163" s="483"/>
    </row>
    <row r="164" spans="1:6" ht="11.25" customHeight="1">
      <c r="A164" s="479" t="s">
        <v>355</v>
      </c>
      <c r="F164" s="483"/>
    </row>
    <row r="165" spans="1:6" ht="11.25" customHeight="1">
      <c r="A165" s="479" t="s">
        <v>600</v>
      </c>
      <c r="F165" s="483"/>
    </row>
    <row r="166" spans="1:6" ht="11.25" customHeight="1">
      <c r="A166" s="479" t="s">
        <v>1161</v>
      </c>
      <c r="F166" s="483"/>
    </row>
    <row r="167" spans="1:6" ht="11.25" customHeight="1">
      <c r="A167" s="479" t="s">
        <v>758</v>
      </c>
      <c r="F167" s="483"/>
    </row>
    <row r="168" spans="1:6" ht="11.25" customHeight="1" thickBot="1">
      <c r="A168" s="706" t="s">
        <v>261</v>
      </c>
      <c r="B168" s="663"/>
      <c r="C168" s="579"/>
      <c r="D168" s="663"/>
      <c r="E168" s="663"/>
      <c r="F168" s="723"/>
    </row>
    <row r="169" spans="1:6" ht="10.5" thickTop="1"/>
  </sheetData>
  <sheetProtection algorithmName="SHA-512" hashValue="S68dLDvHowqC1el7siFlxcufewqevJdEmr9SEFwowKznhHHPzAkvETv5ljySoEdilkaS7ZC97FYgf2MUjWLTvw==" saltValue="naJKSl59BQsL+3t6/any3Q==" spinCount="100000" sheet="1" objects="1" scenarios="1"/>
  <mergeCells count="2">
    <mergeCell ref="A1:F1"/>
    <mergeCell ref="B4:B5"/>
  </mergeCells>
  <phoneticPr fontId="0" type="noConversion"/>
  <printOptions horizontalCentered="1"/>
  <pageMargins left="0.17" right="0.16" top="0.53" bottom="1" header="0.5" footer="0.5"/>
  <pageSetup scale="81" fitToHeight="4" orientation="landscape" r:id="rId1"/>
  <headerFooter alignWithMargins="0">
    <oddFooter>&amp;LHawai'i DOH
Spring 2024&amp;C&amp;8Page &amp;P of &amp;N&amp;R&amp;A</oddFooter>
  </headerFooter>
  <rowBreaks count="1" manualBreakCount="1">
    <brk id="1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5"/>
    <pageSetUpPr fitToPage="1"/>
  </sheetPr>
  <dimension ref="A1:AF280"/>
  <sheetViews>
    <sheetView showGridLines="0" tabSelected="1" workbookViewId="0">
      <selection activeCell="D5" sqref="D5"/>
    </sheetView>
  </sheetViews>
  <sheetFormatPr defaultRowHeight="12.75"/>
  <cols>
    <col min="1" max="2" width="1.73046875" customWidth="1"/>
    <col min="3" max="3" width="21.59765625" customWidth="1"/>
    <col min="4" max="4" width="15.86328125" customWidth="1"/>
    <col min="5" max="6" width="2.59765625" customWidth="1"/>
    <col min="7" max="7" width="2.265625" customWidth="1"/>
    <col min="8" max="8" width="18.3984375" customWidth="1"/>
    <col min="10" max="10" width="17" customWidth="1"/>
    <col min="11" max="12" width="4.1328125" customWidth="1"/>
    <col min="13" max="13" width="38.59765625" hidden="1" customWidth="1"/>
    <col min="14" max="14" width="10.73046875" style="417" hidden="1" customWidth="1"/>
    <col min="15" max="15" width="38.265625" style="27" hidden="1" customWidth="1"/>
    <col min="16" max="18" width="15.73046875" style="393" hidden="1" customWidth="1"/>
    <col min="19" max="19" width="15.73046875" style="27" hidden="1" customWidth="1"/>
    <col min="20" max="21" width="10.265625" style="27" hidden="1" customWidth="1"/>
    <col min="22" max="22" width="11.73046875" style="27" hidden="1" customWidth="1"/>
    <col min="23" max="24" width="10.265625" style="27" hidden="1" customWidth="1"/>
    <col min="25" max="25" width="15.73046875" style="27" hidden="1" customWidth="1"/>
    <col min="26" max="26" width="10.73046875" style="27" customWidth="1"/>
    <col min="27" max="28" width="12.73046875" style="27" customWidth="1"/>
    <col min="29" max="29" width="3.73046875" style="28" customWidth="1"/>
    <col min="30" max="30" width="25.1328125" style="29" customWidth="1"/>
  </cols>
  <sheetData>
    <row r="1" spans="1:32" s="24" customFormat="1" ht="56.25" customHeight="1">
      <c r="C1" s="25" t="s">
        <v>1747</v>
      </c>
      <c r="D1" s="268"/>
      <c r="E1" s="26"/>
      <c r="F1" s="26"/>
      <c r="G1" s="26"/>
      <c r="H1" s="26"/>
      <c r="I1" s="26"/>
      <c r="J1" s="171"/>
      <c r="K1" s="77"/>
      <c r="L1" s="77"/>
      <c r="N1" s="418"/>
      <c r="O1" s="27"/>
      <c r="P1" s="393"/>
      <c r="Q1" s="393"/>
      <c r="R1" s="393"/>
      <c r="S1" s="27"/>
      <c r="T1" s="27"/>
      <c r="U1" s="27"/>
      <c r="V1" s="27"/>
      <c r="W1" s="27"/>
      <c r="X1" s="27"/>
      <c r="Y1" s="27"/>
      <c r="Z1" s="27"/>
      <c r="AA1" s="27"/>
      <c r="AB1" s="27"/>
      <c r="AC1" s="28"/>
      <c r="AD1" s="29"/>
      <c r="AE1" s="29"/>
      <c r="AF1" s="29"/>
    </row>
    <row r="2" spans="1:32" s="24" customFormat="1" ht="37.5" customHeight="1">
      <c r="C2" s="385" t="s">
        <v>1343</v>
      </c>
      <c r="D2" s="26"/>
      <c r="E2" s="26"/>
      <c r="F2" s="26"/>
      <c r="G2" s="26"/>
      <c r="H2" s="1195" t="str">
        <f>IF(D5=O14,"EALs apply to Commercial/Industrial land use. Land use restrictions may apply.","")</f>
        <v/>
      </c>
      <c r="I2" s="1196"/>
      <c r="J2" s="1196"/>
      <c r="K2" s="18"/>
      <c r="L2" s="18"/>
      <c r="N2" s="418"/>
      <c r="O2" s="27"/>
      <c r="P2" s="393"/>
      <c r="Q2" s="393"/>
      <c r="R2" s="393"/>
      <c r="S2" s="27"/>
      <c r="T2" s="27"/>
      <c r="U2" s="27"/>
      <c r="V2" s="27"/>
      <c r="W2" s="27"/>
      <c r="X2" s="27"/>
      <c r="Y2" s="27"/>
      <c r="Z2" s="27"/>
      <c r="AA2" s="27"/>
      <c r="AB2" s="27"/>
      <c r="AC2" s="28"/>
      <c r="AD2" s="29"/>
      <c r="AE2" s="29"/>
      <c r="AF2" s="29"/>
    </row>
    <row r="3" spans="1:32" s="24" customFormat="1" ht="27.95" customHeight="1" thickBot="1">
      <c r="B3" s="1197" t="s">
        <v>336</v>
      </c>
      <c r="C3" s="1198"/>
      <c r="D3" s="1198"/>
      <c r="E3" s="1198"/>
      <c r="F3" s="1198"/>
      <c r="H3" s="1190" t="str">
        <f>IF(D14=N27,C16,(VLOOKUP(C16,N33:O186,2,0)))</f>
        <v>DIBROMO,1,2- CHLOROPROPANE,3-</v>
      </c>
      <c r="I3" s="1191"/>
      <c r="J3" s="1191"/>
      <c r="K3" s="83"/>
      <c r="L3" s="83"/>
      <c r="N3" s="418"/>
      <c r="O3" s="27"/>
      <c r="P3" s="393"/>
      <c r="Q3" s="393"/>
      <c r="R3" s="393"/>
      <c r="S3" s="27"/>
      <c r="T3" s="27"/>
      <c r="U3" s="27"/>
      <c r="V3" s="27"/>
      <c r="W3" s="27"/>
      <c r="X3" s="27"/>
      <c r="Y3" s="27"/>
      <c r="Z3" s="27"/>
      <c r="AA3" s="27"/>
      <c r="AB3" s="27"/>
      <c r="AC3" s="28"/>
      <c r="AD3" s="29"/>
      <c r="AE3" s="29"/>
      <c r="AF3" s="29"/>
    </row>
    <row r="4" spans="1:32" s="24" customFormat="1" ht="18.75" customHeight="1" thickTop="1" thickBot="1">
      <c r="A4" s="30"/>
      <c r="B4" s="1199" t="s">
        <v>229</v>
      </c>
      <c r="C4" s="1210"/>
      <c r="D4" s="1210"/>
      <c r="E4" s="1210"/>
      <c r="F4" s="1211"/>
      <c r="H4" s="1203" t="s">
        <v>1153</v>
      </c>
      <c r="I4" s="1204"/>
      <c r="J4" s="1204"/>
      <c r="K4" s="177"/>
      <c r="L4" s="116"/>
      <c r="M4" s="33"/>
      <c r="N4" s="415"/>
      <c r="O4" s="27"/>
      <c r="P4" s="393"/>
      <c r="Q4" s="393"/>
      <c r="R4" s="393"/>
      <c r="S4" s="27"/>
      <c r="T4" s="27"/>
      <c r="U4" s="27"/>
      <c r="V4" s="27"/>
      <c r="W4" s="27"/>
      <c r="X4" s="27"/>
      <c r="Y4" s="27"/>
      <c r="Z4" s="27"/>
      <c r="AA4" s="27"/>
      <c r="AB4" s="27"/>
      <c r="AC4" s="28"/>
      <c r="AD4" s="29"/>
      <c r="AE4" s="29"/>
      <c r="AF4" s="29"/>
    </row>
    <row r="5" spans="1:32" s="24" customFormat="1" ht="36" customHeight="1" thickTop="1" thickBot="1">
      <c r="B5" s="34"/>
      <c r="C5" s="218" t="s">
        <v>601</v>
      </c>
      <c r="D5" s="113" t="s">
        <v>359</v>
      </c>
      <c r="E5" s="1212"/>
      <c r="F5" s="1213"/>
      <c r="H5" s="1214" t="s">
        <v>268</v>
      </c>
      <c r="I5" s="1215"/>
      <c r="J5" s="386">
        <f>'Surfer Compiler HDOH'!C71</f>
        <v>8.061539999999999E-4</v>
      </c>
      <c r="K5" s="192" t="str">
        <f>IF(D22&gt;J5,"X","")</f>
        <v/>
      </c>
      <c r="L5" s="425"/>
      <c r="M5" s="33"/>
      <c r="N5" s="415"/>
      <c r="O5" s="193" t="s">
        <v>1322</v>
      </c>
      <c r="P5" s="394"/>
      <c r="Q5" s="394"/>
      <c r="R5" s="394"/>
      <c r="S5" s="193"/>
      <c r="T5" s="193"/>
      <c r="U5" s="193"/>
      <c r="V5" s="193"/>
      <c r="W5" s="193"/>
      <c r="X5" s="193"/>
      <c r="Y5" s="193"/>
      <c r="Z5" s="193"/>
      <c r="AA5" s="193"/>
      <c r="AB5" s="193"/>
      <c r="AC5" s="37"/>
      <c r="AD5" s="29"/>
      <c r="AE5" s="29"/>
      <c r="AF5" s="29"/>
    </row>
    <row r="6" spans="1:32" s="24" customFormat="1" ht="6" customHeight="1" thickTop="1" thickBot="1">
      <c r="B6" s="38"/>
      <c r="C6" s="39"/>
      <c r="D6" s="40"/>
      <c r="E6" s="1216"/>
      <c r="F6" s="1213"/>
      <c r="H6" s="1222" t="s">
        <v>306</v>
      </c>
      <c r="I6" s="1217"/>
      <c r="J6" s="1220">
        <f>'Surfer Compiler HDOH'!C88</f>
        <v>0.04</v>
      </c>
      <c r="K6" s="179"/>
      <c r="L6" s="426"/>
      <c r="M6" s="33"/>
      <c r="N6" s="415"/>
      <c r="O6" s="27"/>
      <c r="P6" s="393"/>
      <c r="Q6" s="393"/>
      <c r="R6" s="393"/>
      <c r="S6" s="27"/>
      <c r="T6" s="27"/>
      <c r="U6" s="27"/>
      <c r="V6" s="27"/>
      <c r="W6" s="27"/>
      <c r="X6" s="27"/>
      <c r="Y6" s="27"/>
      <c r="Z6" s="27"/>
      <c r="AA6" s="27"/>
      <c r="AB6" s="27"/>
      <c r="AC6" s="37"/>
      <c r="AD6" s="29"/>
      <c r="AE6" s="29"/>
      <c r="AF6" s="29"/>
    </row>
    <row r="7" spans="1:32" s="24" customFormat="1" ht="17.25" customHeight="1" thickTop="1">
      <c r="B7" s="38"/>
      <c r="C7" s="219" t="s">
        <v>735</v>
      </c>
      <c r="D7" s="1206" t="s">
        <v>607</v>
      </c>
      <c r="E7" s="1217"/>
      <c r="F7" s="1213"/>
      <c r="H7" s="1223"/>
      <c r="I7" s="1217"/>
      <c r="J7" s="1221"/>
      <c r="K7" s="178" t="str">
        <f>IF(D24&gt;J6,"X","")</f>
        <v/>
      </c>
      <c r="L7" s="427"/>
      <c r="M7" s="33"/>
      <c r="N7" s="415"/>
      <c r="O7" s="27"/>
      <c r="P7" s="393"/>
      <c r="Q7" s="393"/>
      <c r="R7" s="393"/>
      <c r="S7" s="27"/>
      <c r="T7" s="27"/>
      <c r="U7" s="27"/>
      <c r="V7" s="27"/>
      <c r="W7" s="27"/>
      <c r="X7" s="27"/>
      <c r="Y7" s="27"/>
      <c r="Z7" s="27"/>
      <c r="AA7" s="27"/>
      <c r="AB7" s="27"/>
      <c r="AC7" s="37"/>
      <c r="AD7" s="29"/>
      <c r="AE7" s="29"/>
      <c r="AF7" s="29"/>
    </row>
    <row r="8" spans="1:32" s="24" customFormat="1" ht="12.75" customHeight="1" thickBot="1">
      <c r="B8" s="38"/>
      <c r="C8" s="39"/>
      <c r="D8" s="1207"/>
      <c r="E8" s="1217"/>
      <c r="F8" s="1213"/>
      <c r="H8" s="368"/>
      <c r="I8" s="369"/>
      <c r="J8" s="370"/>
      <c r="K8" s="45"/>
      <c r="M8" s="33"/>
      <c r="N8" s="415"/>
      <c r="O8" s="27"/>
      <c r="P8" s="393"/>
      <c r="Q8" s="393"/>
      <c r="R8" s="393"/>
      <c r="S8" s="27"/>
      <c r="T8" s="27"/>
      <c r="U8" s="27"/>
      <c r="V8" s="27"/>
      <c r="W8" s="27"/>
      <c r="X8" s="27"/>
      <c r="Y8" s="27"/>
      <c r="Z8" s="27"/>
      <c r="AA8" s="27"/>
      <c r="AB8" s="27"/>
      <c r="AC8" s="37"/>
      <c r="AD8" s="29"/>
      <c r="AE8" s="29"/>
      <c r="AF8" s="29"/>
    </row>
    <row r="9" spans="1:32" s="24" customFormat="1" ht="6.75" customHeight="1" thickTop="1" thickBot="1">
      <c r="B9" s="38"/>
      <c r="C9" s="39"/>
      <c r="D9" s="50"/>
      <c r="E9" s="1217"/>
      <c r="F9" s="1213"/>
      <c r="H9" s="1224" t="s">
        <v>1141</v>
      </c>
      <c r="I9" s="1225"/>
      <c r="J9" s="1208">
        <f>'Surfer Compiler HDOH'!C99</f>
        <v>0.33796296296296285</v>
      </c>
      <c r="M9" s="33"/>
      <c r="N9" s="415"/>
      <c r="O9" s="27"/>
      <c r="P9" s="393"/>
      <c r="Q9" s="393"/>
      <c r="R9" s="393"/>
      <c r="S9" s="27"/>
      <c r="T9" s="27"/>
      <c r="U9" s="27"/>
      <c r="V9" s="27"/>
      <c r="W9" s="27"/>
      <c r="X9" s="27"/>
      <c r="Y9" s="27"/>
      <c r="Z9" s="27"/>
      <c r="AA9" s="27"/>
      <c r="AB9" s="27"/>
      <c r="AC9" s="37"/>
      <c r="AD9" s="29"/>
      <c r="AE9" s="29"/>
      <c r="AF9" s="29"/>
    </row>
    <row r="10" spans="1:32" s="24" customFormat="1" ht="35.25" customHeight="1" thickTop="1" thickBot="1">
      <c r="B10" s="114"/>
      <c r="C10" s="241" t="s">
        <v>738</v>
      </c>
      <c r="D10" s="153" t="s">
        <v>725</v>
      </c>
      <c r="E10" s="1217"/>
      <c r="F10" s="1213"/>
      <c r="H10" s="1226"/>
      <c r="I10" s="1227"/>
      <c r="J10" s="1209"/>
      <c r="K10" s="192" t="str">
        <f>IF(D26&gt;J9,"X","")</f>
        <v/>
      </c>
      <c r="L10" s="425"/>
      <c r="M10" s="46"/>
      <c r="N10" s="416"/>
      <c r="O10" s="58" t="s">
        <v>273</v>
      </c>
      <c r="P10" s="395" t="s">
        <v>267</v>
      </c>
      <c r="Q10" s="395"/>
      <c r="R10" s="396"/>
      <c r="S10" s="195" t="s">
        <v>736</v>
      </c>
      <c r="T10" s="195"/>
      <c r="U10" s="195"/>
      <c r="V10" s="195"/>
      <c r="W10" s="195"/>
      <c r="X10" s="195"/>
      <c r="Y10" s="57"/>
      <c r="Z10" s="57"/>
      <c r="AA10" s="57"/>
      <c r="AB10" s="57"/>
      <c r="AD10" s="29"/>
      <c r="AE10" s="58"/>
      <c r="AF10" s="29"/>
    </row>
    <row r="11" spans="1:32" s="24" customFormat="1" ht="4.5" customHeight="1" thickTop="1" thickBot="1">
      <c r="B11" s="47"/>
      <c r="C11" s="48"/>
      <c r="D11" s="154"/>
      <c r="E11" s="1218"/>
      <c r="F11" s="1219"/>
      <c r="I11"/>
      <c r="J11"/>
      <c r="K11"/>
      <c r="L11"/>
      <c r="M11" s="46"/>
      <c r="N11" s="416"/>
      <c r="O11" s="37"/>
      <c r="P11" s="393"/>
      <c r="Q11" s="393"/>
      <c r="R11" s="393"/>
      <c r="S11" s="27"/>
      <c r="T11" s="27"/>
      <c r="U11" s="27"/>
      <c r="V11" s="27"/>
      <c r="W11" s="27"/>
      <c r="X11" s="27"/>
      <c r="Y11" s="27"/>
      <c r="Z11" s="27"/>
      <c r="AA11" s="27"/>
      <c r="AB11" s="27"/>
      <c r="AD11" s="29"/>
      <c r="AE11" s="29"/>
      <c r="AF11" s="29"/>
    </row>
    <row r="12" spans="1:32" s="24" customFormat="1" ht="9" customHeight="1" thickTop="1" thickBot="1">
      <c r="B12" s="1205"/>
      <c r="C12" s="1205"/>
      <c r="D12" s="1205"/>
      <c r="E12" s="1205"/>
      <c r="F12" s="1205"/>
      <c r="H12" s="371"/>
      <c r="I12" s="372"/>
      <c r="J12" s="372"/>
      <c r="K12"/>
      <c r="L12"/>
      <c r="M12" s="46"/>
      <c r="N12" s="416"/>
      <c r="P12" s="397"/>
      <c r="Q12" s="397"/>
      <c r="R12" s="397"/>
      <c r="AF12" s="29"/>
    </row>
    <row r="13" spans="1:32" s="24" customFormat="1" ht="18" customHeight="1" thickTop="1" thickBot="1">
      <c r="B13" s="31"/>
      <c r="C13" s="1200" t="s">
        <v>685</v>
      </c>
      <c r="D13" s="1210"/>
      <c r="E13" s="1210"/>
      <c r="F13" s="1233"/>
      <c r="H13" s="1234" t="str">
        <f>IF(OR(K5="X",K7="X"),"EALs exceeded.  Refer to Detailed EALs (next tab) to identify specific environmental hazards that may be posed by contamination.","")</f>
        <v/>
      </c>
      <c r="I13" s="1235"/>
      <c r="J13" s="1235"/>
      <c r="K13" s="1235"/>
      <c r="L13" s="46"/>
      <c r="M13" s="46"/>
      <c r="N13" s="416"/>
      <c r="O13" s="28" t="s">
        <v>359</v>
      </c>
      <c r="P13" s="398" t="s">
        <v>607</v>
      </c>
      <c r="Q13" s="398"/>
      <c r="R13" s="397"/>
      <c r="S13" s="242" t="s">
        <v>737</v>
      </c>
      <c r="T13" s="242"/>
      <c r="U13" s="242"/>
      <c r="V13" s="242"/>
      <c r="W13" s="242"/>
      <c r="X13" s="242"/>
      <c r="Y13" s="61"/>
      <c r="Z13" s="61"/>
      <c r="AA13" s="61"/>
      <c r="AB13" s="61"/>
      <c r="AD13" s="29"/>
      <c r="AE13" s="28"/>
      <c r="AF13" s="29"/>
    </row>
    <row r="14" spans="1:32" s="24" customFormat="1" ht="33.75" customHeight="1" thickTop="1" thickBot="1">
      <c r="B14" s="38"/>
      <c r="C14" s="414" t="s">
        <v>1311</v>
      </c>
      <c r="D14" s="113" t="s">
        <v>1162</v>
      </c>
      <c r="E14" s="423"/>
      <c r="F14" s="421"/>
      <c r="H14" s="1234"/>
      <c r="I14" s="1235"/>
      <c r="J14" s="1235"/>
      <c r="K14" s="1235"/>
      <c r="L14" s="46"/>
      <c r="M14" s="46"/>
      <c r="N14" s="416"/>
      <c r="O14" s="379" t="s">
        <v>360</v>
      </c>
      <c r="P14" s="398" t="s">
        <v>274</v>
      </c>
      <c r="Q14" s="398"/>
      <c r="R14" s="397"/>
      <c r="S14" s="23" t="s">
        <v>724</v>
      </c>
      <c r="T14" s="242"/>
      <c r="U14" s="242"/>
      <c r="V14" s="242"/>
      <c r="W14" s="242"/>
      <c r="X14" s="242"/>
      <c r="Y14" s="61"/>
      <c r="Z14" s="61"/>
      <c r="AA14" s="61"/>
      <c r="AB14" s="61"/>
      <c r="AD14" s="29"/>
      <c r="AE14" s="28"/>
      <c r="AF14" s="29"/>
    </row>
    <row r="15" spans="1:32" s="24" customFormat="1" ht="5.65" customHeight="1" thickTop="1" thickBot="1">
      <c r="B15" s="38"/>
      <c r="C15" s="414"/>
      <c r="D15" s="420"/>
      <c r="E15" s="422"/>
      <c r="F15" s="421"/>
      <c r="H15" s="1234"/>
      <c r="I15" s="1235"/>
      <c r="J15" s="1235"/>
      <c r="K15" s="1235"/>
      <c r="L15" s="46"/>
      <c r="M15" s="46"/>
      <c r="N15" s="416"/>
      <c r="O15" s="28"/>
      <c r="P15" s="398"/>
      <c r="Q15" s="398"/>
      <c r="R15" s="397"/>
      <c r="S15" s="242"/>
      <c r="T15" s="242"/>
      <c r="U15" s="242"/>
      <c r="V15" s="242"/>
      <c r="W15" s="242"/>
      <c r="X15" s="242"/>
      <c r="Y15" s="61"/>
      <c r="Z15" s="61"/>
      <c r="AA15" s="61"/>
      <c r="AB15" s="61"/>
      <c r="AD15" s="29"/>
      <c r="AE15" s="28"/>
      <c r="AF15" s="29"/>
    </row>
    <row r="16" spans="1:32" s="24" customFormat="1" ht="27" customHeight="1" thickTop="1" thickBot="1">
      <c r="B16" s="35"/>
      <c r="C16" s="1192" t="s">
        <v>381</v>
      </c>
      <c r="D16" s="1193"/>
      <c r="E16" s="1194"/>
      <c r="F16" s="36"/>
      <c r="H16" s="1235"/>
      <c r="I16" s="1235"/>
      <c r="J16" s="1235"/>
      <c r="K16" s="1235"/>
      <c r="L16" s="46"/>
      <c r="M16" s="46"/>
      <c r="N16" s="416"/>
      <c r="Q16" s="398"/>
      <c r="R16" s="397"/>
      <c r="T16" s="23"/>
      <c r="U16" s="23"/>
      <c r="V16" s="23"/>
      <c r="W16" s="23"/>
      <c r="X16" s="380" t="s">
        <v>664</v>
      </c>
      <c r="Y16" s="61"/>
      <c r="Z16" s="61"/>
      <c r="AA16" s="61"/>
      <c r="AB16" s="61"/>
      <c r="AD16" s="29"/>
      <c r="AE16" s="28"/>
      <c r="AF16" s="29"/>
    </row>
    <row r="17" spans="2:32" s="24" customFormat="1" ht="6" customHeight="1" thickTop="1" thickBot="1">
      <c r="B17" s="41"/>
      <c r="C17" s="42"/>
      <c r="D17" s="43"/>
      <c r="E17" s="43"/>
      <c r="F17" s="44"/>
      <c r="H17" s="1235"/>
      <c r="I17" s="1235"/>
      <c r="J17" s="1235"/>
      <c r="K17" s="1235"/>
      <c r="L17" s="46"/>
      <c r="M17" s="46"/>
      <c r="N17" s="416"/>
      <c r="O17" s="27"/>
      <c r="P17" s="393"/>
      <c r="Q17" s="393"/>
      <c r="R17" s="393"/>
      <c r="S17" s="27"/>
      <c r="T17" s="27"/>
      <c r="U17" s="27"/>
      <c r="V17" s="27"/>
      <c r="W17" s="27"/>
      <c r="X17" s="27"/>
      <c r="Y17" s="27"/>
      <c r="Z17" s="27"/>
      <c r="AA17" s="27"/>
      <c r="AB17" s="27"/>
      <c r="AC17" s="37"/>
      <c r="AD17" s="29"/>
      <c r="AE17" s="29"/>
      <c r="AF17" s="29"/>
    </row>
    <row r="18" spans="2:32" s="24" customFormat="1" ht="9" customHeight="1" thickTop="1" thickBot="1">
      <c r="B18"/>
      <c r="C18" s="172"/>
      <c r="D18" s="172"/>
      <c r="E18" s="172"/>
      <c r="H18" s="1235"/>
      <c r="I18" s="1235"/>
      <c r="J18" s="1235"/>
      <c r="K18" s="1235"/>
      <c r="L18" s="46"/>
      <c r="M18" s="32"/>
      <c r="N18" s="416"/>
      <c r="O18" s="27"/>
      <c r="P18" s="393"/>
      <c r="Q18" s="393"/>
      <c r="R18" s="393"/>
      <c r="S18" s="27"/>
      <c r="T18" s="27"/>
      <c r="U18" s="27"/>
      <c r="V18" s="27"/>
      <c r="W18" s="27"/>
      <c r="Y18" s="27"/>
      <c r="Z18" s="27"/>
      <c r="AA18" s="27"/>
      <c r="AB18" s="27"/>
      <c r="AC18" s="37"/>
      <c r="AD18" s="29"/>
      <c r="AE18" s="29"/>
      <c r="AF18" s="29"/>
    </row>
    <row r="19" spans="2:32" ht="24" customHeight="1" thickTop="1" thickBot="1">
      <c r="B19" s="1199" t="s">
        <v>560</v>
      </c>
      <c r="C19" s="1200"/>
      <c r="D19" s="1200"/>
      <c r="E19" s="1200"/>
      <c r="F19" s="1239"/>
      <c r="G19" s="24"/>
      <c r="H19" s="148" t="s">
        <v>266</v>
      </c>
      <c r="I19" s="180"/>
      <c r="J19" s="180"/>
      <c r="K19" s="92"/>
      <c r="L19" s="92"/>
      <c r="W19" s="263" t="s">
        <v>325</v>
      </c>
      <c r="X19" s="27">
        <v>1</v>
      </c>
      <c r="Y19" s="406" t="s">
        <v>960</v>
      </c>
    </row>
    <row r="20" spans="2:32" ht="30.75" customHeight="1" thickTop="1">
      <c r="B20" s="1201"/>
      <c r="C20" s="1202"/>
      <c r="D20" s="1202"/>
      <c r="E20" s="1202"/>
      <c r="F20" s="1240"/>
      <c r="G20" s="24"/>
      <c r="H20" s="1241" t="str">
        <f>VLOOKUP(H3,O33:Y186,11)</f>
        <v>Volatile chemical. Collect soil gas data for site-specific evaluation of vapor intrusion hazards if Tier 1 action levels for this hazard exceeded (see Advanced EHE Options tab of Surfer).</v>
      </c>
      <c r="I20" s="1242"/>
      <c r="J20" s="1242"/>
      <c r="K20" s="1243"/>
      <c r="L20" s="413"/>
      <c r="W20" s="263" t="s">
        <v>318</v>
      </c>
      <c r="X20" s="27">
        <v>2</v>
      </c>
      <c r="Y20" s="28" t="s">
        <v>961</v>
      </c>
    </row>
    <row r="21" spans="2:32" ht="12.75" customHeight="1" thickBot="1">
      <c r="B21" s="38"/>
      <c r="C21" s="49"/>
      <c r="D21" s="50"/>
      <c r="E21" s="51"/>
      <c r="F21" s="174"/>
      <c r="G21" s="24"/>
      <c r="H21" s="1244"/>
      <c r="I21" s="1245"/>
      <c r="J21" s="1245"/>
      <c r="K21" s="1246"/>
      <c r="L21" s="413"/>
      <c r="Y21" s="28"/>
    </row>
    <row r="22" spans="2:32" ht="16.149999999999999" thickTop="1" thickBot="1">
      <c r="B22" s="38"/>
      <c r="C22" s="173" t="s">
        <v>268</v>
      </c>
      <c r="D22" s="190"/>
      <c r="E22" s="382"/>
      <c r="F22" s="175"/>
      <c r="G22" s="24"/>
      <c r="H22" s="1244"/>
      <c r="I22" s="1245"/>
      <c r="J22" s="1245"/>
      <c r="K22" s="1246"/>
      <c r="L22" s="413"/>
      <c r="W22" s="263" t="s">
        <v>326</v>
      </c>
      <c r="X22" s="27">
        <v>3</v>
      </c>
      <c r="Y22" s="406" t="s">
        <v>984</v>
      </c>
    </row>
    <row r="23" spans="2:32" ht="6.75" customHeight="1" thickTop="1" thickBot="1">
      <c r="B23" s="38"/>
      <c r="C23" s="52"/>
      <c r="D23" s="191"/>
      <c r="E23" s="51"/>
      <c r="F23" s="175"/>
      <c r="G23" s="24"/>
      <c r="H23" s="1244"/>
      <c r="I23" s="1245"/>
      <c r="J23" s="1245"/>
      <c r="K23" s="1246"/>
      <c r="L23" s="413"/>
      <c r="W23" s="263"/>
      <c r="Y23" s="37"/>
    </row>
    <row r="24" spans="2:32" ht="17.25" customHeight="1" thickTop="1" thickBot="1">
      <c r="B24" s="38"/>
      <c r="C24" s="173" t="s">
        <v>306</v>
      </c>
      <c r="D24" s="190"/>
      <c r="E24" s="383"/>
      <c r="F24" s="175"/>
      <c r="G24" s="24"/>
      <c r="H24" s="1244"/>
      <c r="I24" s="1245"/>
      <c r="J24" s="1245"/>
      <c r="K24" s="1246"/>
      <c r="L24" s="413"/>
      <c r="W24" s="263" t="s">
        <v>667</v>
      </c>
      <c r="X24" s="27">
        <v>4</v>
      </c>
      <c r="Y24" s="28" t="s">
        <v>669</v>
      </c>
    </row>
    <row r="25" spans="2:32" ht="6.75" customHeight="1" thickTop="1" thickBot="1">
      <c r="B25" s="38"/>
      <c r="C25" s="173"/>
      <c r="D25" s="384"/>
      <c r="E25" s="382"/>
      <c r="F25" s="175"/>
      <c r="G25" s="24"/>
      <c r="H25" s="1244"/>
      <c r="I25" s="1245"/>
      <c r="J25" s="1245"/>
      <c r="K25" s="1246"/>
      <c r="L25" s="413"/>
      <c r="W25" s="263"/>
      <c r="Y25" s="28"/>
    </row>
    <row r="26" spans="2:32" ht="17.25" customHeight="1" thickTop="1" thickBot="1">
      <c r="B26" s="38"/>
      <c r="C26" s="173" t="s">
        <v>1142</v>
      </c>
      <c r="D26" s="190"/>
      <c r="E26" s="360"/>
      <c r="F26" s="175"/>
      <c r="G26" s="24"/>
      <c r="H26" s="1244"/>
      <c r="I26" s="1245"/>
      <c r="J26" s="1245"/>
      <c r="K26" s="1246"/>
      <c r="L26" s="413"/>
      <c r="N26" s="424" t="s">
        <v>1310</v>
      </c>
      <c r="W26" s="263" t="s">
        <v>986</v>
      </c>
      <c r="X26" s="27">
        <v>5</v>
      </c>
      <c r="Y26" s="407" t="s">
        <v>985</v>
      </c>
    </row>
    <row r="27" spans="2:32" ht="20.25" customHeight="1" thickTop="1" thickBot="1">
      <c r="B27" s="47"/>
      <c r="C27" s="53"/>
      <c r="D27" s="54"/>
      <c r="E27" s="55"/>
      <c r="F27" s="176"/>
      <c r="G27" s="24"/>
      <c r="H27" s="1247"/>
      <c r="I27" s="1248"/>
      <c r="J27" s="1248"/>
      <c r="K27" s="1249"/>
      <c r="L27" s="413"/>
      <c r="N27" s="389" t="s">
        <v>1162</v>
      </c>
      <c r="Y27" s="28"/>
    </row>
    <row r="28" spans="2:32" ht="15.75" thickTop="1">
      <c r="C28" s="172"/>
      <c r="D28" s="172"/>
      <c r="E28" s="172"/>
      <c r="F28" s="24"/>
      <c r="G28" s="24"/>
      <c r="N28" s="389" t="s">
        <v>1163</v>
      </c>
      <c r="P28" s="399"/>
      <c r="Q28" s="399"/>
      <c r="R28" s="399"/>
      <c r="S28" s="181"/>
      <c r="T28" s="181"/>
      <c r="U28" s="181"/>
      <c r="V28" s="181"/>
      <c r="Z28" s="194"/>
    </row>
    <row r="29" spans="2:32" ht="15.4">
      <c r="C29" s="78" t="s">
        <v>354</v>
      </c>
      <c r="D29" s="77"/>
      <c r="E29" s="77"/>
      <c r="F29" s="24"/>
      <c r="G29" s="24"/>
      <c r="H29" s="77"/>
      <c r="I29" s="24"/>
      <c r="J29" s="24"/>
      <c r="K29" s="24"/>
      <c r="L29" s="24"/>
      <c r="M29" s="24"/>
      <c r="N29" s="418"/>
      <c r="O29" s="32"/>
      <c r="P29" s="1236" t="s">
        <v>980</v>
      </c>
      <c r="Q29" s="1236" t="s">
        <v>981</v>
      </c>
      <c r="R29" s="1236" t="s">
        <v>517</v>
      </c>
      <c r="S29" s="32"/>
      <c r="T29" s="32"/>
      <c r="U29" s="32"/>
      <c r="V29" s="32"/>
      <c r="W29" s="32"/>
      <c r="X29" s="32"/>
      <c r="Y29" s="24"/>
      <c r="Z29" s="29"/>
      <c r="AA29"/>
      <c r="AB29"/>
      <c r="AC29"/>
      <c r="AD29"/>
    </row>
    <row r="30" spans="2:32" ht="46.5" customHeight="1">
      <c r="C30" s="1179" t="s">
        <v>1397</v>
      </c>
      <c r="D30" s="1238"/>
      <c r="E30" s="1238"/>
      <c r="F30" s="1238"/>
      <c r="G30" s="1238"/>
      <c r="H30" s="1238"/>
      <c r="I30" s="1238"/>
      <c r="J30" s="1238"/>
      <c r="K30" s="1238"/>
      <c r="L30" s="412"/>
      <c r="M30" s="428"/>
      <c r="N30" s="419"/>
      <c r="O30" s="433" t="s">
        <v>1315</v>
      </c>
      <c r="P30" s="1237"/>
      <c r="Q30" s="1237"/>
      <c r="R30" s="1237"/>
      <c r="S30" s="1231" t="s">
        <v>36</v>
      </c>
      <c r="T30" s="194"/>
      <c r="U30" s="194"/>
      <c r="V30" s="194"/>
      <c r="W30" s="194"/>
      <c r="X30" s="194"/>
      <c r="Y30" s="32"/>
      <c r="Z30" s="29"/>
      <c r="AA30"/>
      <c r="AB30"/>
      <c r="AC30"/>
      <c r="AD30"/>
    </row>
    <row r="31" spans="2:32" ht="8.25" customHeight="1">
      <c r="C31" s="79"/>
      <c r="D31" s="32"/>
      <c r="E31" s="32"/>
      <c r="F31" s="32"/>
      <c r="G31" s="32"/>
      <c r="H31" s="32"/>
      <c r="I31" s="32"/>
      <c r="J31" s="32"/>
      <c r="K31" s="32"/>
      <c r="L31" s="32"/>
      <c r="M31" s="112"/>
      <c r="N31" s="416"/>
      <c r="O31" s="32"/>
      <c r="P31" s="1237"/>
      <c r="Q31" s="1237"/>
      <c r="R31" s="1237"/>
      <c r="S31" s="1232"/>
      <c r="T31" s="245"/>
      <c r="U31" s="245"/>
      <c r="V31" s="1230" t="s">
        <v>662</v>
      </c>
      <c r="W31" s="245"/>
      <c r="X31" s="245"/>
      <c r="Y31" s="32"/>
      <c r="Z31" s="29"/>
      <c r="AA31"/>
      <c r="AB31"/>
      <c r="AC31"/>
      <c r="AD31"/>
    </row>
    <row r="32" spans="2:32" ht="18" customHeight="1">
      <c r="C32" s="79" t="s">
        <v>488</v>
      </c>
      <c r="D32" s="32"/>
      <c r="E32" s="32"/>
      <c r="F32" s="32"/>
      <c r="G32" s="32"/>
      <c r="H32" s="32"/>
      <c r="I32" s="32"/>
      <c r="J32" s="32"/>
      <c r="K32" s="32"/>
      <c r="L32" s="32"/>
      <c r="M32" s="434" t="s">
        <v>1316</v>
      </c>
      <c r="N32" s="435" t="s">
        <v>1163</v>
      </c>
      <c r="O32" s="436" t="s">
        <v>1162</v>
      </c>
      <c r="P32" s="1237"/>
      <c r="Q32" s="1237"/>
      <c r="R32" s="1237"/>
      <c r="S32" s="1232"/>
      <c r="T32" s="273" t="s">
        <v>663</v>
      </c>
      <c r="U32" s="273" t="s">
        <v>661</v>
      </c>
      <c r="V32" s="1181"/>
      <c r="W32" s="273" t="s">
        <v>668</v>
      </c>
      <c r="X32" s="273" t="s">
        <v>664</v>
      </c>
      <c r="Y32" s="182" t="s">
        <v>488</v>
      </c>
      <c r="Z32" s="29"/>
      <c r="AA32"/>
      <c r="AB32"/>
      <c r="AC32"/>
      <c r="AD32"/>
    </row>
    <row r="33" spans="3:30" ht="47.65" customHeight="1">
      <c r="C33" s="1179" t="s">
        <v>1437</v>
      </c>
      <c r="D33" s="1229"/>
      <c r="E33" s="1229"/>
      <c r="F33" s="1229"/>
      <c r="G33" s="1229"/>
      <c r="H33" s="1229"/>
      <c r="I33" s="1229"/>
      <c r="J33" s="1229"/>
      <c r="K33" s="1229"/>
      <c r="L33" s="411"/>
      <c r="M33" s="437" t="str">
        <f>IF($D$14=$N$27,O33,N33)</f>
        <v>ACENAPHTHENE</v>
      </c>
      <c r="N33" s="429" t="s">
        <v>1164</v>
      </c>
      <c r="O33" s="81" t="s">
        <v>548</v>
      </c>
      <c r="P33" s="400" t="s">
        <v>954</v>
      </c>
      <c r="Q33" s="400" t="s">
        <v>954</v>
      </c>
      <c r="R33" s="400" t="s">
        <v>954</v>
      </c>
      <c r="S33" s="365">
        <v>0.2</v>
      </c>
      <c r="T33" s="364" t="s">
        <v>665</v>
      </c>
      <c r="U33" s="363" t="s">
        <v>651</v>
      </c>
      <c r="V33" s="363" t="s">
        <v>665</v>
      </c>
      <c r="W33" s="391">
        <f>IF('Table H (Constants)'!F10=0,"",'Table H (Constants)'!F10)</f>
        <v>5027</v>
      </c>
      <c r="X33" s="378">
        <v>5</v>
      </c>
      <c r="Y33" s="28" t="str">
        <f t="shared" ref="Y33:Y41" si="0">IF(X33=$X$19,$Y$19,IF(X33=$X$20,$Y$20,IF(X33=$X$22,$Y$22,IF(X33=$X$24,$Y$24,$Y$26))))</f>
        <v>Not anticipated to be significantly mobile in soil or groundwater.  Batch tests recommended if soil leaching action level exceeded (see Advanced EHE Options tab of Surfer). Evaluate potential surface runoff hazards into aquatic habitats.</v>
      </c>
      <c r="Z33" s="29"/>
      <c r="AA33"/>
      <c r="AB33"/>
      <c r="AC33"/>
      <c r="AD33"/>
    </row>
    <row r="34" spans="3:30" ht="79.900000000000006" customHeight="1">
      <c r="C34" s="1179" t="s">
        <v>903</v>
      </c>
      <c r="D34" s="1181"/>
      <c r="E34" s="1181"/>
      <c r="F34" s="1181"/>
      <c r="G34" s="1181"/>
      <c r="H34" s="1181"/>
      <c r="I34" s="1181"/>
      <c r="J34" s="1181"/>
      <c r="K34" s="1181"/>
      <c r="L34" s="183"/>
      <c r="M34" s="438" t="str">
        <f t="shared" ref="M34:M97" si="1">IF($D$14=$N$27,O34,N34)</f>
        <v>ACENAPHTHYLENE</v>
      </c>
      <c r="N34" s="429" t="s">
        <v>1165</v>
      </c>
      <c r="O34" s="81" t="s">
        <v>549</v>
      </c>
      <c r="P34" s="400" t="s">
        <v>954</v>
      </c>
      <c r="Q34" s="400" t="s">
        <v>954</v>
      </c>
      <c r="R34" s="400" t="s">
        <v>954</v>
      </c>
      <c r="S34" s="365">
        <v>0.2</v>
      </c>
      <c r="T34" s="364" t="s">
        <v>665</v>
      </c>
      <c r="U34" s="363" t="s">
        <v>651</v>
      </c>
      <c r="V34" s="363" t="s">
        <v>665</v>
      </c>
      <c r="W34" s="391">
        <f>IF('Table H (Constants)'!F11=0,"",'Table H (Constants)'!F11)</f>
        <v>2500</v>
      </c>
      <c r="X34" s="378">
        <v>5</v>
      </c>
      <c r="Y34" s="28" t="str">
        <f t="shared" si="0"/>
        <v>Not anticipated to be significantly mobile in soil or groundwater.  Batch tests recommended if soil leaching action level exceeded (see Advanced EHE Options tab of Surfer). Evaluate potential surface runoff hazards into aquatic habitats.</v>
      </c>
      <c r="Z34" s="29"/>
      <c r="AA34"/>
      <c r="AB34"/>
      <c r="AC34"/>
      <c r="AD34"/>
    </row>
    <row r="35" spans="3:30" ht="15.75" customHeight="1">
      <c r="C35" s="1179" t="s">
        <v>12</v>
      </c>
      <c r="D35" s="1181"/>
      <c r="E35" s="1181"/>
      <c r="F35" s="1181"/>
      <c r="G35" s="1181"/>
      <c r="H35" s="1181"/>
      <c r="I35" s="1181"/>
      <c r="J35" s="1181"/>
      <c r="K35" s="1181"/>
      <c r="L35" s="183"/>
      <c r="M35" s="438" t="str">
        <f t="shared" si="1"/>
        <v>ACETONE</v>
      </c>
      <c r="N35" s="429" t="s">
        <v>1166</v>
      </c>
      <c r="O35" s="81" t="s">
        <v>550</v>
      </c>
      <c r="P35" s="400" t="s">
        <v>954</v>
      </c>
      <c r="Q35" s="400" t="s">
        <v>954</v>
      </c>
      <c r="R35" s="400" t="s">
        <v>954</v>
      </c>
      <c r="S35" s="365">
        <v>0.2</v>
      </c>
      <c r="T35" s="364" t="s">
        <v>665</v>
      </c>
      <c r="U35" s="363" t="s">
        <v>651</v>
      </c>
      <c r="V35" s="363" t="s">
        <v>665</v>
      </c>
      <c r="W35" s="391">
        <f>IF('Table H (Constants)'!F12=0,"",'Table H (Constants)'!F12)</f>
        <v>2.4</v>
      </c>
      <c r="X35" s="378">
        <f>IF(T35="Y",$X$20,IF(U35="V",$X$19,IF(W35&gt;30000,$X$26,IF(V35="N",$X$24,$X$22))))</f>
        <v>1</v>
      </c>
      <c r="Y35" s="28" t="str">
        <f t="shared" si="0"/>
        <v>Volatile chemical. Collect soil gas data for site-specific evaluation of vapor intrusion hazards if Tier 1 action levels for this hazard exceeded (see Advanced EHE Options tab of Surfer).</v>
      </c>
      <c r="Z35" s="29"/>
      <c r="AA35"/>
      <c r="AB35"/>
      <c r="AC35"/>
      <c r="AD35"/>
    </row>
    <row r="36" spans="3:30" ht="15" customHeight="1">
      <c r="C36" s="1179" t="s">
        <v>843</v>
      </c>
      <c r="D36" s="1181"/>
      <c r="E36" s="1181"/>
      <c r="F36" s="1181"/>
      <c r="G36" s="1181"/>
      <c r="H36" s="1181"/>
      <c r="I36" s="1181"/>
      <c r="J36" s="1181"/>
      <c r="K36" s="1181"/>
      <c r="L36" s="183"/>
      <c r="M36" s="438" t="str">
        <f t="shared" si="1"/>
        <v>ALDRIN</v>
      </c>
      <c r="N36" s="429" t="s">
        <v>1167</v>
      </c>
      <c r="O36" s="408" t="s">
        <v>551</v>
      </c>
      <c r="P36" s="400">
        <v>1E-4</v>
      </c>
      <c r="Q36" s="400">
        <v>1E-4</v>
      </c>
      <c r="R36" s="400">
        <v>1E-4</v>
      </c>
      <c r="S36" s="365">
        <v>0.5</v>
      </c>
      <c r="T36" s="364" t="s">
        <v>665</v>
      </c>
      <c r="U36" s="363" t="s">
        <v>653</v>
      </c>
      <c r="V36" s="363" t="s">
        <v>666</v>
      </c>
      <c r="W36" s="391">
        <f>IF('Table H (Constants)'!F13=0,"",'Table H (Constants)'!F13)</f>
        <v>82020</v>
      </c>
      <c r="X36" s="378">
        <f>IF(T36="Y",$X$20,IF(U36="V",$X$19,IF(W36&gt;30000,$X$26,IF(V36="N",$X$24,$X$22))))</f>
        <v>5</v>
      </c>
      <c r="Y36" s="409" t="s">
        <v>1063</v>
      </c>
      <c r="Z36" s="29"/>
      <c r="AA36"/>
      <c r="AB36"/>
      <c r="AC36"/>
      <c r="AD36"/>
    </row>
    <row r="37" spans="3:30" ht="30" customHeight="1">
      <c r="C37" s="1179" t="s">
        <v>1318</v>
      </c>
      <c r="D37" s="1181"/>
      <c r="E37" s="1181"/>
      <c r="F37" s="1181"/>
      <c r="G37" s="1181"/>
      <c r="H37" s="1181"/>
      <c r="I37" s="1181"/>
      <c r="J37" s="1181"/>
      <c r="K37" s="1181"/>
      <c r="L37" s="183"/>
      <c r="M37" s="438" t="str">
        <f t="shared" si="1"/>
        <v>AMETRYN</v>
      </c>
      <c r="N37" s="429" t="s">
        <v>1168</v>
      </c>
      <c r="O37" s="1" t="s">
        <v>161</v>
      </c>
      <c r="P37" s="400" t="s">
        <v>954</v>
      </c>
      <c r="Q37" s="400" t="s">
        <v>954</v>
      </c>
      <c r="R37" s="400" t="s">
        <v>954</v>
      </c>
      <c r="S37" s="365">
        <v>0.2</v>
      </c>
      <c r="T37" s="364" t="s">
        <v>665</v>
      </c>
      <c r="U37" s="363" t="s">
        <v>653</v>
      </c>
      <c r="V37" s="363" t="s">
        <v>666</v>
      </c>
      <c r="W37" s="391">
        <f>IF('Table H (Constants)'!F14=0,"",'Table H (Constants)'!F14)</f>
        <v>428.2</v>
      </c>
      <c r="X37" s="378">
        <f>IF(T37="Y",$X$20,IF(U37="V",$X$19,IF(W37&gt;30000,$X$26,IF(V37="N",$X$24,$X$22))))</f>
        <v>3</v>
      </c>
      <c r="Y37" s="28" t="str">
        <f t="shared" si="0"/>
        <v>Potentially significant soil leaching hazard and subsequent contamination of groundwater.  Batch tests recommended if soil leaching action level exceeded (see Advanced EHE Options tab of Surfer).</v>
      </c>
      <c r="Z37" s="29"/>
      <c r="AA37"/>
      <c r="AB37"/>
      <c r="AC37"/>
      <c r="AD37"/>
    </row>
    <row r="38" spans="3:30" ht="15" customHeight="1">
      <c r="C38" s="1179" t="s">
        <v>1317</v>
      </c>
      <c r="D38" s="1181"/>
      <c r="E38" s="1181"/>
      <c r="F38" s="1181"/>
      <c r="G38" s="1181"/>
      <c r="H38" s="1181"/>
      <c r="I38" s="1181"/>
      <c r="J38" s="1181"/>
      <c r="K38" s="1181"/>
      <c r="L38" s="183"/>
      <c r="M38" s="438" t="str">
        <f t="shared" si="1"/>
        <v>AMINO,2- DINITROTOLUENE,4,6-</v>
      </c>
      <c r="N38" s="429" t="s">
        <v>1169</v>
      </c>
      <c r="O38" s="430" t="s">
        <v>162</v>
      </c>
      <c r="P38" s="400" t="s">
        <v>954</v>
      </c>
      <c r="Q38" s="400" t="s">
        <v>954</v>
      </c>
      <c r="R38" s="400" t="s">
        <v>954</v>
      </c>
      <c r="S38" s="365">
        <v>0.2</v>
      </c>
      <c r="T38" s="364" t="s">
        <v>665</v>
      </c>
      <c r="U38" s="363" t="s">
        <v>653</v>
      </c>
      <c r="V38" s="363" t="s">
        <v>666</v>
      </c>
      <c r="W38" s="391">
        <f>IF('Table H (Constants)'!F15=0,"",'Table H (Constants)'!F15)</f>
        <v>283</v>
      </c>
      <c r="X38" s="378">
        <f>IF(T38="Y",$X$20,IF(U38="V",$X$19,IF(W38&gt;30000,$X$26,IF(V38="N",$X$24,$X$22))))</f>
        <v>3</v>
      </c>
      <c r="Y38" s="28" t="str">
        <f t="shared" si="0"/>
        <v>Potentially significant soil leaching hazard and subsequent contamination of groundwater.  Batch tests recommended if soil leaching action level exceeded (see Advanced EHE Options tab of Surfer).</v>
      </c>
      <c r="Z38" s="29"/>
      <c r="AA38"/>
      <c r="AB38"/>
      <c r="AC38"/>
      <c r="AD38"/>
    </row>
    <row r="39" spans="3:30" ht="36" customHeight="1">
      <c r="C39" s="1228" t="s">
        <v>8</v>
      </c>
      <c r="D39" s="1181"/>
      <c r="E39" s="1181"/>
      <c r="F39" s="1181"/>
      <c r="G39" s="1181"/>
      <c r="H39" s="1181"/>
      <c r="I39" s="1181"/>
      <c r="J39" s="1181"/>
      <c r="K39" s="1181"/>
      <c r="L39" s="183"/>
      <c r="M39" s="438" t="str">
        <f t="shared" si="1"/>
        <v>AMINO,4- DINITROTOLUENE,2,6-</v>
      </c>
      <c r="N39" s="429" t="s">
        <v>1170</v>
      </c>
      <c r="O39" s="430" t="s">
        <v>94</v>
      </c>
      <c r="P39" s="400" t="s">
        <v>954</v>
      </c>
      <c r="Q39" s="400" t="s">
        <v>954</v>
      </c>
      <c r="R39" s="400" t="s">
        <v>954</v>
      </c>
      <c r="S39" s="365">
        <v>0.2</v>
      </c>
      <c r="T39" s="364" t="s">
        <v>665</v>
      </c>
      <c r="U39" s="363" t="s">
        <v>653</v>
      </c>
      <c r="V39" s="363" t="s">
        <v>666</v>
      </c>
      <c r="W39" s="391">
        <f>IF('Table H (Constants)'!F16=0,"",'Table H (Constants)'!F16)</f>
        <v>283</v>
      </c>
      <c r="X39" s="378">
        <f>IF(T39="Y",$X$20,IF(U39="V",$X$19,IF(W39&gt;30000,$X$26,IF(V39="N",$X$24,$X$22))))</f>
        <v>3</v>
      </c>
      <c r="Y39" s="28" t="str">
        <f t="shared" si="0"/>
        <v>Potentially significant soil leaching hazard and subsequent contamination of groundwater.  Batch tests recommended if soil leaching action level exceeded (see Advanced EHE Options tab of Surfer).</v>
      </c>
      <c r="Z39" s="29"/>
      <c r="AA39"/>
      <c r="AB39"/>
      <c r="AC39"/>
      <c r="AD39"/>
    </row>
    <row r="40" spans="3:30" ht="32.25" customHeight="1">
      <c r="C40" s="1181" t="s">
        <v>844</v>
      </c>
      <c r="D40" s="1181"/>
      <c r="E40" s="1181"/>
      <c r="F40" s="1181"/>
      <c r="G40" s="1181"/>
      <c r="H40" s="1181"/>
      <c r="I40" s="1181"/>
      <c r="J40" s="1181"/>
      <c r="K40" s="1181"/>
      <c r="L40" s="183"/>
      <c r="M40" s="438" t="str">
        <f t="shared" si="1"/>
        <v>ANTHRACENE</v>
      </c>
      <c r="N40" s="429" t="s">
        <v>1171</v>
      </c>
      <c r="O40" s="81" t="s">
        <v>552</v>
      </c>
      <c r="P40" s="400" t="s">
        <v>954</v>
      </c>
      <c r="Q40" s="400" t="s">
        <v>954</v>
      </c>
      <c r="R40" s="400" t="s">
        <v>954</v>
      </c>
      <c r="S40" s="365">
        <v>0.2</v>
      </c>
      <c r="T40" s="364" t="s">
        <v>665</v>
      </c>
      <c r="U40" s="363" t="s">
        <v>651</v>
      </c>
      <c r="V40" s="363" t="s">
        <v>665</v>
      </c>
      <c r="W40" s="391">
        <f>IF('Table H (Constants)'!F17=0,"",'Table H (Constants)'!F17)</f>
        <v>16360</v>
      </c>
      <c r="X40" s="378">
        <v>5</v>
      </c>
      <c r="Y40" s="28" t="str">
        <f t="shared" si="0"/>
        <v>Not anticipated to be significantly mobile in soil or groundwater.  Batch tests recommended if soil leaching action level exceeded (see Advanced EHE Options tab of Surfer). Evaluate potential surface runoff hazards into aquatic habitats.</v>
      </c>
      <c r="Z40" s="29"/>
      <c r="AA40"/>
      <c r="AB40"/>
      <c r="AC40"/>
      <c r="AD40"/>
    </row>
    <row r="41" spans="3:30" ht="18" customHeight="1">
      <c r="C41" s="1180"/>
      <c r="D41" s="1181"/>
      <c r="E41" s="1181"/>
      <c r="F41" s="1181"/>
      <c r="G41" s="1181"/>
      <c r="H41" s="1181"/>
      <c r="I41" s="1181"/>
      <c r="J41" s="1181"/>
      <c r="K41" s="1181"/>
      <c r="L41" s="183"/>
      <c r="M41" s="438" t="str">
        <f t="shared" si="1"/>
        <v>ANTIMONY</v>
      </c>
      <c r="N41" s="429" t="s">
        <v>1172</v>
      </c>
      <c r="O41" s="81" t="s">
        <v>553</v>
      </c>
      <c r="P41" s="400" t="s">
        <v>954</v>
      </c>
      <c r="Q41" s="400" t="s">
        <v>954</v>
      </c>
      <c r="R41" s="400" t="s">
        <v>954</v>
      </c>
      <c r="S41" s="365">
        <v>0.2</v>
      </c>
      <c r="T41" s="364" t="s">
        <v>666</v>
      </c>
      <c r="U41" s="363" t="s">
        <v>653</v>
      </c>
      <c r="V41" s="363" t="s">
        <v>666</v>
      </c>
      <c r="W41" s="391" t="str">
        <f>IF('Table H (Constants)'!F18=0,"",'Table H (Constants)'!F18)</f>
        <v/>
      </c>
      <c r="X41" s="378">
        <f t="shared" ref="X41:X52" si="2">IF(T41="Y",$X$20,IF(U41="V",$X$19,IF(W41&gt;30000,$X$26,IF(V41="N",$X$24,$X$22))))</f>
        <v>2</v>
      </c>
      <c r="Y41" s="28" t="str">
        <f t="shared" si="0"/>
        <v>Naturally occurring metal.  Action levels for leaching of metals from soil and subsequent contamination of groundwater not developed.  Batch tests and/or groundwater monitoring recommended if soil background exceeded (see Advanced EHE Options tab of Surfer).</v>
      </c>
      <c r="Z41" s="29"/>
      <c r="AA41"/>
      <c r="AB41"/>
      <c r="AC41"/>
      <c r="AD41"/>
    </row>
    <row r="42" spans="3:30">
      <c r="M42" s="438" t="str">
        <f t="shared" si="1"/>
        <v>ARSENIC</v>
      </c>
      <c r="N42" s="429" t="s">
        <v>1173</v>
      </c>
      <c r="O42" s="367" t="s">
        <v>686</v>
      </c>
      <c r="P42" s="400">
        <v>1E-4</v>
      </c>
      <c r="Q42" s="400">
        <v>1E-4</v>
      </c>
      <c r="R42" s="400">
        <v>1.0000000000000001E-5</v>
      </c>
      <c r="S42" s="365">
        <v>1</v>
      </c>
      <c r="T42" s="364" t="s">
        <v>666</v>
      </c>
      <c r="U42" s="363" t="s">
        <v>653</v>
      </c>
      <c r="V42" s="363" t="s">
        <v>666</v>
      </c>
      <c r="W42" s="391" t="str">
        <f>IF('Table H (Constants)'!F19=0,"",'Table H (Constants)'!F19)</f>
        <v/>
      </c>
      <c r="X42" s="378">
        <f t="shared" si="2"/>
        <v>2</v>
      </c>
      <c r="Y42" s="392" t="s">
        <v>1379</v>
      </c>
      <c r="Z42" s="29"/>
      <c r="AA42"/>
      <c r="AB42"/>
      <c r="AC42"/>
      <c r="AD42"/>
    </row>
    <row r="43" spans="3:30">
      <c r="M43" s="438" t="str">
        <f t="shared" si="1"/>
        <v>ATRAZINE</v>
      </c>
      <c r="N43" s="429" t="s">
        <v>1174</v>
      </c>
      <c r="O43" s="1" t="s">
        <v>95</v>
      </c>
      <c r="P43" s="400">
        <v>9.9999999999999995E-7</v>
      </c>
      <c r="Q43" s="400">
        <v>9.9999999999999995E-7</v>
      </c>
      <c r="R43" s="400">
        <v>1.0000000000000001E-5</v>
      </c>
      <c r="S43" s="365">
        <v>0.2</v>
      </c>
      <c r="T43" s="364" t="s">
        <v>665</v>
      </c>
      <c r="U43" s="363" t="s">
        <v>653</v>
      </c>
      <c r="V43" s="363" t="s">
        <v>666</v>
      </c>
      <c r="W43" s="391">
        <f>IF('Table H (Constants)'!F20=0,"",'Table H (Constants)'!F20)</f>
        <v>224.5</v>
      </c>
      <c r="X43" s="378">
        <f t="shared" si="2"/>
        <v>3</v>
      </c>
      <c r="Y43" s="28" t="str">
        <f t="shared" ref="Y43:Y62" si="3">IF(X43=$X$19,$Y$19,IF(X43=$X$20,$Y$20,IF(X43=$X$22,$Y$22,IF(X43=$X$24,$Y$24,$Y$26))))</f>
        <v>Potentially significant soil leaching hazard and subsequent contamination of groundwater.  Batch tests recommended if soil leaching action level exceeded (see Advanced EHE Options tab of Surfer).</v>
      </c>
      <c r="Z43" s="29"/>
      <c r="AA43"/>
      <c r="AB43"/>
      <c r="AC43"/>
      <c r="AD43"/>
    </row>
    <row r="44" spans="3:30">
      <c r="M44" s="438" t="str">
        <f t="shared" si="1"/>
        <v>BARIUM</v>
      </c>
      <c r="N44" s="429" t="s">
        <v>1175</v>
      </c>
      <c r="O44" s="81" t="s">
        <v>687</v>
      </c>
      <c r="P44" s="400" t="s">
        <v>954</v>
      </c>
      <c r="Q44" s="400" t="s">
        <v>954</v>
      </c>
      <c r="R44" s="400" t="s">
        <v>954</v>
      </c>
      <c r="S44" s="365">
        <v>0.2</v>
      </c>
      <c r="T44" s="364" t="s">
        <v>666</v>
      </c>
      <c r="U44" s="363" t="s">
        <v>653</v>
      </c>
      <c r="V44" s="363" t="s">
        <v>666</v>
      </c>
      <c r="W44" s="391" t="str">
        <f>IF('Table H (Constants)'!F21=0,"",'Table H (Constants)'!F21)</f>
        <v/>
      </c>
      <c r="X44" s="378">
        <f t="shared" si="2"/>
        <v>2</v>
      </c>
      <c r="Y44" s="28" t="str">
        <f t="shared" si="3"/>
        <v>Naturally occurring metal.  Action levels for leaching of metals from soil and subsequent contamination of groundwater not developed.  Batch tests and/or groundwater monitoring recommended if soil background exceeded (see Advanced EHE Options tab of Surfer).</v>
      </c>
      <c r="Z44" s="29"/>
      <c r="AA44"/>
      <c r="AB44"/>
      <c r="AC44"/>
      <c r="AD44"/>
    </row>
    <row r="45" spans="3:30">
      <c r="M45" s="438" t="str">
        <f t="shared" si="1"/>
        <v>BENOMYL</v>
      </c>
      <c r="N45" s="429" t="s">
        <v>1312</v>
      </c>
      <c r="O45" s="81" t="s">
        <v>1156</v>
      </c>
      <c r="P45" s="400" t="s">
        <v>954</v>
      </c>
      <c r="Q45" s="400" t="s">
        <v>954</v>
      </c>
      <c r="R45" s="400" t="s">
        <v>954</v>
      </c>
      <c r="S45" s="365">
        <v>0.2</v>
      </c>
      <c r="T45" s="364" t="s">
        <v>666</v>
      </c>
      <c r="U45" s="363" t="s">
        <v>653</v>
      </c>
      <c r="V45" s="363" t="s">
        <v>666</v>
      </c>
      <c r="W45" s="391">
        <f>IF('Table H (Constants)'!F22=0,"",'Table H (Constants)'!F22)</f>
        <v>336.2</v>
      </c>
      <c r="X45" s="378">
        <v>3</v>
      </c>
      <c r="Y45" s="28" t="str">
        <f t="shared" si="3"/>
        <v>Potentially significant soil leaching hazard and subsequent contamination of groundwater.  Batch tests recommended if soil leaching action level exceeded (see Advanced EHE Options tab of Surfer).</v>
      </c>
      <c r="Z45" s="29"/>
      <c r="AA45"/>
      <c r="AB45"/>
      <c r="AC45"/>
      <c r="AD45"/>
    </row>
    <row r="46" spans="3:30">
      <c r="M46" s="438" t="str">
        <f t="shared" si="1"/>
        <v>BENZENE</v>
      </c>
      <c r="N46" s="429" t="s">
        <v>1176</v>
      </c>
      <c r="O46" s="81" t="s">
        <v>688</v>
      </c>
      <c r="P46" s="400">
        <v>9.9999999999999995E-7</v>
      </c>
      <c r="Q46" s="400">
        <v>9.9999999999999995E-7</v>
      </c>
      <c r="R46" s="400">
        <v>9.9999999999999995E-7</v>
      </c>
      <c r="S46" s="365">
        <v>0.2</v>
      </c>
      <c r="T46" s="364" t="s">
        <v>665</v>
      </c>
      <c r="U46" s="363" t="s">
        <v>651</v>
      </c>
      <c r="V46" s="363" t="s">
        <v>665</v>
      </c>
      <c r="W46" s="391">
        <f>IF('Table H (Constants)'!F23=0,"",'Table H (Constants)'!F23)</f>
        <v>150</v>
      </c>
      <c r="X46" s="378">
        <f t="shared" si="2"/>
        <v>1</v>
      </c>
      <c r="Y46" s="28" t="str">
        <f t="shared" si="3"/>
        <v>Volatile chemical. Collect soil gas data for site-specific evaluation of vapor intrusion hazards if Tier 1 action levels for this hazard exceeded (see Advanced EHE Options tab of Surfer).</v>
      </c>
      <c r="Z46" s="29"/>
      <c r="AA46"/>
      <c r="AB46"/>
      <c r="AC46"/>
      <c r="AD46"/>
    </row>
    <row r="47" spans="3:30">
      <c r="M47" s="438" t="str">
        <f t="shared" si="1"/>
        <v>BENZO(a)ANTHRACENE</v>
      </c>
      <c r="N47" s="429" t="s">
        <v>1177</v>
      </c>
      <c r="O47" s="81" t="s">
        <v>689</v>
      </c>
      <c r="P47" s="400">
        <v>1.0000000000000001E-5</v>
      </c>
      <c r="Q47" s="400">
        <v>1.0000000000000001E-5</v>
      </c>
      <c r="R47" s="400">
        <v>1.0000000000000001E-5</v>
      </c>
      <c r="S47" s="365">
        <v>0.2</v>
      </c>
      <c r="T47" s="364" t="s">
        <v>665</v>
      </c>
      <c r="U47" s="363" t="s">
        <v>653</v>
      </c>
      <c r="V47" s="363" t="s">
        <v>666</v>
      </c>
      <c r="W47" s="391">
        <f>IF('Table H (Constants)'!F24=0,"",'Table H (Constants)'!F24)</f>
        <v>176900</v>
      </c>
      <c r="X47" s="378">
        <f t="shared" si="2"/>
        <v>5</v>
      </c>
      <c r="Y47" s="28" t="str">
        <f t="shared" si="3"/>
        <v>Not anticipated to be significantly mobile in soil or groundwater.  Batch tests recommended if soil leaching action level exceeded (see Advanced EHE Options tab of Surfer). Evaluate potential surface runoff hazards into aquatic habitats.</v>
      </c>
      <c r="Z47" s="29"/>
      <c r="AA47"/>
      <c r="AB47"/>
      <c r="AC47"/>
      <c r="AD47"/>
    </row>
    <row r="48" spans="3:30">
      <c r="M48" s="438" t="str">
        <f t="shared" si="1"/>
        <v>BENZO(a)PYRENE</v>
      </c>
      <c r="N48" s="429" t="s">
        <v>1178</v>
      </c>
      <c r="O48" s="81" t="s">
        <v>690</v>
      </c>
      <c r="P48" s="400">
        <v>5.0000000000000002E-5</v>
      </c>
      <c r="Q48" s="400">
        <v>5.0000000000000002E-5</v>
      </c>
      <c r="R48" s="400">
        <v>5.0000000000000002E-5</v>
      </c>
      <c r="S48" s="365">
        <v>0.2</v>
      </c>
      <c r="T48" s="364" t="s">
        <v>665</v>
      </c>
      <c r="U48" s="363" t="s">
        <v>653</v>
      </c>
      <c r="V48" s="363" t="s">
        <v>666</v>
      </c>
      <c r="W48" s="391">
        <f>IF('Table H (Constants)'!F25=0,"",'Table H (Constants)'!F25)</f>
        <v>587400</v>
      </c>
      <c r="X48" s="378">
        <f t="shared" si="2"/>
        <v>5</v>
      </c>
      <c r="Y48" s="28" t="str">
        <f t="shared" si="3"/>
        <v>Not anticipated to be significantly mobile in soil or groundwater.  Batch tests recommended if soil leaching action level exceeded (see Advanced EHE Options tab of Surfer). Evaluate potential surface runoff hazards into aquatic habitats.</v>
      </c>
      <c r="Z48" s="29"/>
      <c r="AA48"/>
      <c r="AB48"/>
      <c r="AC48"/>
      <c r="AD48"/>
    </row>
    <row r="49" spans="13:30">
      <c r="M49" s="438" t="str">
        <f t="shared" si="1"/>
        <v>BENZO(b)FLUORANTHENE</v>
      </c>
      <c r="N49" s="429" t="s">
        <v>1179</v>
      </c>
      <c r="O49" s="81" t="s">
        <v>691</v>
      </c>
      <c r="P49" s="400">
        <v>1.0000000000000001E-5</v>
      </c>
      <c r="Q49" s="400">
        <v>1.0000000000000001E-5</v>
      </c>
      <c r="R49" s="400">
        <v>1.0000000000000001E-5</v>
      </c>
      <c r="S49" s="365">
        <v>0.2</v>
      </c>
      <c r="T49" s="364" t="s">
        <v>665</v>
      </c>
      <c r="U49" s="363" t="s">
        <v>653</v>
      </c>
      <c r="V49" s="363" t="s">
        <v>666</v>
      </c>
      <c r="W49" s="391">
        <f>IF('Table H (Constants)'!F26=0,"",'Table H (Constants)'!F26)</f>
        <v>599400</v>
      </c>
      <c r="X49" s="378">
        <f t="shared" si="2"/>
        <v>5</v>
      </c>
      <c r="Y49" s="28" t="str">
        <f t="shared" si="3"/>
        <v>Not anticipated to be significantly mobile in soil or groundwater.  Batch tests recommended if soil leaching action level exceeded (see Advanced EHE Options tab of Surfer). Evaluate potential surface runoff hazards into aquatic habitats.</v>
      </c>
      <c r="Z49" s="29"/>
      <c r="AA49"/>
      <c r="AB49"/>
      <c r="AC49"/>
      <c r="AD49"/>
    </row>
    <row r="50" spans="13:30">
      <c r="M50" s="438" t="str">
        <f t="shared" si="1"/>
        <v>BENZO(g,h,i)PERYLENE</v>
      </c>
      <c r="N50" s="429" t="s">
        <v>1180</v>
      </c>
      <c r="O50" s="81" t="s">
        <v>692</v>
      </c>
      <c r="P50" s="400" t="s">
        <v>954</v>
      </c>
      <c r="Q50" s="400" t="s">
        <v>954</v>
      </c>
      <c r="R50" s="400" t="s">
        <v>954</v>
      </c>
      <c r="S50" s="365">
        <v>0.2</v>
      </c>
      <c r="T50" s="364" t="s">
        <v>665</v>
      </c>
      <c r="U50" s="363" t="s">
        <v>653</v>
      </c>
      <c r="V50" s="363" t="s">
        <v>666</v>
      </c>
      <c r="W50" s="391">
        <f>IF('Table H (Constants)'!F27=0,"",'Table H (Constants)'!F27)</f>
        <v>1600000</v>
      </c>
      <c r="X50" s="378">
        <f t="shared" si="2"/>
        <v>5</v>
      </c>
      <c r="Y50" s="28" t="str">
        <f t="shared" si="3"/>
        <v>Not anticipated to be significantly mobile in soil or groundwater.  Batch tests recommended if soil leaching action level exceeded (see Advanced EHE Options tab of Surfer). Evaluate potential surface runoff hazards into aquatic habitats.</v>
      </c>
      <c r="Z50" s="29"/>
      <c r="AA50"/>
      <c r="AB50"/>
      <c r="AC50"/>
      <c r="AD50"/>
    </row>
    <row r="51" spans="13:30">
      <c r="M51" s="438" t="str">
        <f t="shared" si="1"/>
        <v>BENZO(k)FLUORANTHENE</v>
      </c>
      <c r="N51" s="429" t="s">
        <v>1181</v>
      </c>
      <c r="O51" s="81" t="s">
        <v>693</v>
      </c>
      <c r="P51" s="400">
        <v>1.0000000000000001E-5</v>
      </c>
      <c r="Q51" s="400">
        <v>1.0000000000000001E-5</v>
      </c>
      <c r="R51" s="400">
        <v>1.0000000000000001E-5</v>
      </c>
      <c r="S51" s="365">
        <v>0.2</v>
      </c>
      <c r="T51" s="364" t="s">
        <v>665</v>
      </c>
      <c r="U51" s="363" t="s">
        <v>653</v>
      </c>
      <c r="V51" s="363" t="s">
        <v>666</v>
      </c>
      <c r="W51" s="391">
        <f>IF('Table H (Constants)'!F28=0,"",'Table H (Constants)'!F28)</f>
        <v>587400</v>
      </c>
      <c r="X51" s="378">
        <f t="shared" si="2"/>
        <v>5</v>
      </c>
      <c r="Y51" s="28" t="str">
        <f t="shared" si="3"/>
        <v>Not anticipated to be significantly mobile in soil or groundwater.  Batch tests recommended if soil leaching action level exceeded (see Advanced EHE Options tab of Surfer). Evaluate potential surface runoff hazards into aquatic habitats.</v>
      </c>
      <c r="Z51" s="29"/>
      <c r="AA51"/>
      <c r="AB51"/>
      <c r="AC51"/>
      <c r="AD51"/>
    </row>
    <row r="52" spans="13:30">
      <c r="M52" s="438" t="str">
        <f t="shared" si="1"/>
        <v>BERYLLIUM</v>
      </c>
      <c r="N52" s="429" t="s">
        <v>1182</v>
      </c>
      <c r="O52" s="81" t="s">
        <v>126</v>
      </c>
      <c r="P52" s="400">
        <v>9.9999999999999995E-7</v>
      </c>
      <c r="Q52" s="400">
        <v>9.9999999999999995E-7</v>
      </c>
      <c r="R52" s="400">
        <v>1.0000000000000001E-5</v>
      </c>
      <c r="S52" s="365">
        <v>0.2</v>
      </c>
      <c r="T52" s="364" t="s">
        <v>666</v>
      </c>
      <c r="U52" s="363" t="s">
        <v>653</v>
      </c>
      <c r="V52" s="363" t="s">
        <v>666</v>
      </c>
      <c r="W52" s="391" t="str">
        <f>IF('Table H (Constants)'!F29=0,"",'Table H (Constants)'!F29)</f>
        <v/>
      </c>
      <c r="X52" s="378">
        <f t="shared" si="2"/>
        <v>2</v>
      </c>
      <c r="Y52" s="28" t="str">
        <f t="shared" si="3"/>
        <v>Naturally occurring metal.  Action levels for leaching of metals from soil and subsequent contamination of groundwater not developed.  Batch tests and/or groundwater monitoring recommended if soil background exceeded (see Advanced EHE Options tab of Surfer).</v>
      </c>
      <c r="Z52" s="29"/>
      <c r="AA52"/>
      <c r="AB52"/>
      <c r="AC52"/>
      <c r="AD52"/>
    </row>
    <row r="53" spans="13:30">
      <c r="M53" s="438" t="str">
        <f t="shared" si="1"/>
        <v>BIPHENYL, 1,1-</v>
      </c>
      <c r="N53" s="429" t="s">
        <v>1183</v>
      </c>
      <c r="O53" s="81" t="s">
        <v>233</v>
      </c>
      <c r="P53" s="400">
        <v>9.9999999999999995E-7</v>
      </c>
      <c r="Q53" s="400">
        <v>9.9999999999999995E-7</v>
      </c>
      <c r="R53" s="400">
        <v>9.9999999999999995E-7</v>
      </c>
      <c r="S53" s="365">
        <v>0.2</v>
      </c>
      <c r="T53" s="364" t="s">
        <v>665</v>
      </c>
      <c r="U53" s="363" t="s">
        <v>651</v>
      </c>
      <c r="V53" s="363" t="s">
        <v>665</v>
      </c>
      <c r="W53" s="391">
        <f>IF('Table H (Constants)'!F30=0,"",'Table H (Constants)'!F30)</f>
        <v>5129</v>
      </c>
      <c r="X53" s="378">
        <v>5</v>
      </c>
      <c r="Y53" s="28" t="str">
        <f t="shared" si="3"/>
        <v>Not anticipated to be significantly mobile in soil or groundwater.  Batch tests recommended if soil leaching action level exceeded (see Advanced EHE Options tab of Surfer). Evaluate potential surface runoff hazards into aquatic habitats.</v>
      </c>
      <c r="Z53" s="29"/>
      <c r="AA53"/>
      <c r="AB53"/>
      <c r="AC53"/>
      <c r="AD53"/>
    </row>
    <row r="54" spans="13:30">
      <c r="M54" s="438" t="str">
        <f t="shared" si="1"/>
        <v>BIS(2-CHLOROETHYL)ETHER</v>
      </c>
      <c r="N54" s="429" t="s">
        <v>1184</v>
      </c>
      <c r="O54" s="81" t="s">
        <v>127</v>
      </c>
      <c r="P54" s="400">
        <v>9.9999999999999995E-7</v>
      </c>
      <c r="Q54" s="400">
        <v>9.9999999999999995E-7</v>
      </c>
      <c r="R54" s="400">
        <v>9.9999999999999995E-7</v>
      </c>
      <c r="S54" s="365">
        <v>0.2</v>
      </c>
      <c r="T54" s="364" t="s">
        <v>665</v>
      </c>
      <c r="U54" s="363" t="s">
        <v>651</v>
      </c>
      <c r="V54" s="363" t="s">
        <v>666</v>
      </c>
      <c r="W54" s="391">
        <f>IF('Table H (Constants)'!F31=0,"",'Table H (Constants)'!F31)</f>
        <v>32.21</v>
      </c>
      <c r="X54" s="378">
        <f t="shared" ref="X54:X98" si="4">IF(T54="Y",$X$20,IF(U54="V",$X$19,IF(W54&gt;30000,$X$26,IF(V54="N",$X$24,$X$22))))</f>
        <v>1</v>
      </c>
      <c r="Y54" s="28" t="str">
        <f t="shared" si="3"/>
        <v>Volatile chemical. Collect soil gas data for site-specific evaluation of vapor intrusion hazards if Tier 1 action levels for this hazard exceeded (see Advanced EHE Options tab of Surfer).</v>
      </c>
      <c r="Z54" s="29"/>
      <c r="AA54"/>
      <c r="AB54"/>
      <c r="AC54"/>
      <c r="AD54"/>
    </row>
    <row r="55" spans="13:30">
      <c r="M55" s="438" t="str">
        <f t="shared" si="1"/>
        <v>BIS(2-CHLORO-1-METHYLETHYL)ETHER</v>
      </c>
      <c r="N55" s="429" t="s">
        <v>1744</v>
      </c>
      <c r="O55" s="1" t="s">
        <v>1103</v>
      </c>
      <c r="P55" s="400">
        <v>9.9999999999999995E-7</v>
      </c>
      <c r="Q55" s="400">
        <v>9.9999999999999995E-7</v>
      </c>
      <c r="R55" s="400">
        <v>9.9999999999999995E-7</v>
      </c>
      <c r="S55" s="365">
        <v>0.2</v>
      </c>
      <c r="T55" s="364" t="s">
        <v>665</v>
      </c>
      <c r="U55" s="363" t="s">
        <v>651</v>
      </c>
      <c r="V55" s="363" t="s">
        <v>666</v>
      </c>
      <c r="W55" s="391">
        <f>IF('Table H (Constants)'!F32=0,"",'Table H (Constants)'!F32)</f>
        <v>61</v>
      </c>
      <c r="X55" s="378">
        <f t="shared" si="4"/>
        <v>1</v>
      </c>
      <c r="Y55" s="28" t="str">
        <f t="shared" si="3"/>
        <v>Volatile chemical. Collect soil gas data for site-specific evaluation of vapor intrusion hazards if Tier 1 action levels for this hazard exceeded (see Advanced EHE Options tab of Surfer).</v>
      </c>
      <c r="Z55" s="29"/>
      <c r="AA55"/>
      <c r="AB55"/>
      <c r="AC55"/>
      <c r="AD55"/>
    </row>
    <row r="56" spans="13:30">
      <c r="M56" s="438" t="str">
        <f t="shared" si="1"/>
        <v>BIS(2-ETHYLHEXYL)PHTHALATE</v>
      </c>
      <c r="N56" s="429" t="s">
        <v>1185</v>
      </c>
      <c r="O56" s="81" t="s">
        <v>128</v>
      </c>
      <c r="P56" s="400">
        <v>9.9999999999999995E-7</v>
      </c>
      <c r="Q56" s="400">
        <v>9.9999999999999995E-7</v>
      </c>
      <c r="R56" s="400">
        <v>1.0000000000000001E-5</v>
      </c>
      <c r="S56" s="365">
        <v>0.2</v>
      </c>
      <c r="T56" s="364" t="s">
        <v>665</v>
      </c>
      <c r="U56" s="363" t="s">
        <v>653</v>
      </c>
      <c r="V56" s="363" t="s">
        <v>666</v>
      </c>
      <c r="W56" s="391">
        <f>IF('Table H (Constants)'!F33=0,"",'Table H (Constants)'!F33)</f>
        <v>119600</v>
      </c>
      <c r="X56" s="378">
        <f t="shared" si="4"/>
        <v>5</v>
      </c>
      <c r="Y56" s="28" t="str">
        <f t="shared" si="3"/>
        <v>Not anticipated to be significantly mobile in soil or groundwater.  Batch tests recommended if soil leaching action level exceeded (see Advanced EHE Options tab of Surfer). Evaluate potential surface runoff hazards into aquatic habitats.</v>
      </c>
      <c r="Z56" s="29"/>
      <c r="AA56"/>
      <c r="AB56"/>
      <c r="AC56"/>
      <c r="AD56"/>
    </row>
    <row r="57" spans="13:30">
      <c r="M57" s="438" t="str">
        <f t="shared" si="1"/>
        <v>BORON</v>
      </c>
      <c r="N57" s="429" t="s">
        <v>1186</v>
      </c>
      <c r="O57" s="81" t="s">
        <v>129</v>
      </c>
      <c r="P57" s="400" t="s">
        <v>954</v>
      </c>
      <c r="Q57" s="400" t="s">
        <v>954</v>
      </c>
      <c r="R57" s="400" t="s">
        <v>954</v>
      </c>
      <c r="S57" s="365">
        <v>0.2</v>
      </c>
      <c r="T57" s="364" t="s">
        <v>666</v>
      </c>
      <c r="U57" s="363" t="s">
        <v>653</v>
      </c>
      <c r="V57" s="363" t="s">
        <v>666</v>
      </c>
      <c r="W57" s="391" t="str">
        <f>IF('Table H (Constants)'!F34=0,"",'Table H (Constants)'!F34)</f>
        <v/>
      </c>
      <c r="X57" s="378">
        <f t="shared" si="4"/>
        <v>2</v>
      </c>
      <c r="Y57" s="28" t="str">
        <f t="shared" si="3"/>
        <v>Naturally occurring metal.  Action levels for leaching of metals from soil and subsequent contamination of groundwater not developed.  Batch tests and/or groundwater monitoring recommended if soil background exceeded (see Advanced EHE Options tab of Surfer).</v>
      </c>
      <c r="Z57" s="29"/>
      <c r="AA57"/>
      <c r="AB57"/>
      <c r="AC57"/>
      <c r="AD57"/>
    </row>
    <row r="58" spans="13:30">
      <c r="M58" s="438" t="str">
        <f t="shared" si="1"/>
        <v>BROMODICHLOROMETHANE</v>
      </c>
      <c r="N58" s="429" t="s">
        <v>1187</v>
      </c>
      <c r="O58" s="81" t="s">
        <v>130</v>
      </c>
      <c r="P58" s="400">
        <v>9.9999999999999995E-7</v>
      </c>
      <c r="Q58" s="400">
        <v>9.9999999999999995E-7</v>
      </c>
      <c r="R58" s="400">
        <v>9.9999999999999995E-7</v>
      </c>
      <c r="S58" s="365">
        <v>0.2</v>
      </c>
      <c r="T58" s="364" t="s">
        <v>665</v>
      </c>
      <c r="U58" s="363" t="s">
        <v>651</v>
      </c>
      <c r="V58" s="363" t="s">
        <v>666</v>
      </c>
      <c r="W58" s="391">
        <f>IF('Table H (Constants)'!F35=0,"",'Table H (Constants)'!F35)</f>
        <v>31.82</v>
      </c>
      <c r="X58" s="378">
        <f t="shared" si="4"/>
        <v>1</v>
      </c>
      <c r="Y58" s="28" t="str">
        <f t="shared" si="3"/>
        <v>Volatile chemical. Collect soil gas data for site-specific evaluation of vapor intrusion hazards if Tier 1 action levels for this hazard exceeded (see Advanced EHE Options tab of Surfer).</v>
      </c>
      <c r="Z58" s="29"/>
      <c r="AA58"/>
      <c r="AB58"/>
      <c r="AC58"/>
      <c r="AD58"/>
    </row>
    <row r="59" spans="13:30">
      <c r="M59" s="438" t="str">
        <f t="shared" si="1"/>
        <v>BROMOFORM</v>
      </c>
      <c r="N59" s="429" t="s">
        <v>1188</v>
      </c>
      <c r="O59" s="81" t="s">
        <v>131</v>
      </c>
      <c r="P59" s="400">
        <v>9.9999999999999995E-7</v>
      </c>
      <c r="Q59" s="400">
        <v>9.9999999999999995E-7</v>
      </c>
      <c r="R59" s="400">
        <v>1.0000000000000001E-5</v>
      </c>
      <c r="S59" s="365">
        <v>0.2</v>
      </c>
      <c r="T59" s="364" t="s">
        <v>665</v>
      </c>
      <c r="U59" s="363" t="s">
        <v>653</v>
      </c>
      <c r="V59" s="363" t="s">
        <v>666</v>
      </c>
      <c r="W59" s="391">
        <f>IF('Table H (Constants)'!F36=0,"",'Table H (Constants)'!F36)</f>
        <v>31.82</v>
      </c>
      <c r="X59" s="378">
        <f t="shared" si="4"/>
        <v>3</v>
      </c>
      <c r="Y59" s="28" t="str">
        <f t="shared" si="3"/>
        <v>Potentially significant soil leaching hazard and subsequent contamination of groundwater.  Batch tests recommended if soil leaching action level exceeded (see Advanced EHE Options tab of Surfer).</v>
      </c>
      <c r="Z59" s="29"/>
      <c r="AA59"/>
      <c r="AB59"/>
      <c r="AC59"/>
      <c r="AD59"/>
    </row>
    <row r="60" spans="13:30">
      <c r="M60" s="438" t="str">
        <f t="shared" si="1"/>
        <v>BROMOMETHANE</v>
      </c>
      <c r="N60" s="429" t="s">
        <v>1189</v>
      </c>
      <c r="O60" s="81" t="s">
        <v>132</v>
      </c>
      <c r="P60" s="400" t="s">
        <v>954</v>
      </c>
      <c r="Q60" s="400" t="s">
        <v>954</v>
      </c>
      <c r="R60" s="400" t="s">
        <v>954</v>
      </c>
      <c r="S60" s="365">
        <v>0.2</v>
      </c>
      <c r="T60" s="364" t="s">
        <v>665</v>
      </c>
      <c r="U60" s="363" t="s">
        <v>651</v>
      </c>
      <c r="V60" s="363" t="s">
        <v>666</v>
      </c>
      <c r="W60" s="391">
        <f>IF('Table H (Constants)'!F37=0,"",'Table H (Constants)'!F37)</f>
        <v>13.22</v>
      </c>
      <c r="X60" s="378">
        <f t="shared" si="4"/>
        <v>1</v>
      </c>
      <c r="Y60" s="28" t="str">
        <f t="shared" si="3"/>
        <v>Volatile chemical. Collect soil gas data for site-specific evaluation of vapor intrusion hazards if Tier 1 action levels for this hazard exceeded (see Advanced EHE Options tab of Surfer).</v>
      </c>
      <c r="Z60" s="29"/>
      <c r="AA60"/>
      <c r="AB60"/>
      <c r="AC60"/>
      <c r="AD60"/>
    </row>
    <row r="61" spans="13:30">
      <c r="M61" s="438" t="str">
        <f t="shared" si="1"/>
        <v>CADMIUM</v>
      </c>
      <c r="N61" s="429" t="s">
        <v>1190</v>
      </c>
      <c r="O61" s="81" t="s">
        <v>133</v>
      </c>
      <c r="P61" s="400">
        <v>9.9999999999999995E-7</v>
      </c>
      <c r="Q61" s="400">
        <v>9.9999999999999995E-7</v>
      </c>
      <c r="R61" s="400">
        <v>1.0000000000000001E-5</v>
      </c>
      <c r="S61" s="365">
        <v>0.2</v>
      </c>
      <c r="T61" s="364" t="s">
        <v>666</v>
      </c>
      <c r="U61" s="363" t="s">
        <v>653</v>
      </c>
      <c r="V61" s="363" t="s">
        <v>666</v>
      </c>
      <c r="W61" s="391" t="str">
        <f>IF('Table H (Constants)'!F38=0,"",'Table H (Constants)'!F38)</f>
        <v/>
      </c>
      <c r="X61" s="378">
        <f t="shared" si="4"/>
        <v>2</v>
      </c>
      <c r="Y61" s="28" t="str">
        <f t="shared" si="3"/>
        <v>Naturally occurring metal.  Action levels for leaching of metals from soil and subsequent contamination of groundwater not developed.  Batch tests and/or groundwater monitoring recommended if soil background exceeded (see Advanced EHE Options tab of Surfer).</v>
      </c>
      <c r="Z61" s="29"/>
      <c r="AA61"/>
      <c r="AB61"/>
      <c r="AC61"/>
      <c r="AD61"/>
    </row>
    <row r="62" spans="13:30">
      <c r="M62" s="438" t="str">
        <f t="shared" si="1"/>
        <v>CARBON TETRACHLORIDE</v>
      </c>
      <c r="N62" s="429" t="s">
        <v>1191</v>
      </c>
      <c r="O62" s="81" t="s">
        <v>134</v>
      </c>
      <c r="P62" s="400">
        <v>9.9999999999999995E-7</v>
      </c>
      <c r="Q62" s="400">
        <v>9.9999999999999995E-7</v>
      </c>
      <c r="R62" s="400">
        <v>9.9999999999999995E-7</v>
      </c>
      <c r="S62" s="365">
        <v>0.2</v>
      </c>
      <c r="T62" s="364" t="s">
        <v>665</v>
      </c>
      <c r="U62" s="363" t="s">
        <v>651</v>
      </c>
      <c r="V62" s="363" t="s">
        <v>666</v>
      </c>
      <c r="W62" s="391">
        <f>IF('Table H (Constants)'!F39=0,"",'Table H (Constants)'!F39)</f>
        <v>43.89</v>
      </c>
      <c r="X62" s="378">
        <f t="shared" si="4"/>
        <v>1</v>
      </c>
      <c r="Y62" s="28" t="str">
        <f t="shared" si="3"/>
        <v>Volatile chemical. Collect soil gas data for site-specific evaluation of vapor intrusion hazards if Tier 1 action levels for this hazard exceeded (see Advanced EHE Options tab of Surfer).</v>
      </c>
      <c r="Z62" s="29"/>
      <c r="AA62"/>
      <c r="AB62"/>
      <c r="AC62"/>
      <c r="AD62"/>
    </row>
    <row r="63" spans="13:30">
      <c r="M63" s="438" t="str">
        <f t="shared" si="1"/>
        <v>CHLORDANE (TECHNICAL)</v>
      </c>
      <c r="N63" s="429" t="s">
        <v>1192</v>
      </c>
      <c r="O63" s="367" t="s">
        <v>614</v>
      </c>
      <c r="P63" s="400">
        <v>1.0000000000000001E-5</v>
      </c>
      <c r="Q63" s="400">
        <v>1.0000000000000001E-5</v>
      </c>
      <c r="R63" s="400">
        <v>1.0000000000000001E-5</v>
      </c>
      <c r="S63" s="365">
        <v>1</v>
      </c>
      <c r="T63" s="364" t="s">
        <v>665</v>
      </c>
      <c r="U63" s="363" t="s">
        <v>653</v>
      </c>
      <c r="V63" s="363" t="s">
        <v>666</v>
      </c>
      <c r="W63" s="391">
        <f>IF('Table H (Constants)'!F40=0,"",'Table H (Constants)'!F40)</f>
        <v>67540</v>
      </c>
      <c r="X63" s="378">
        <f t="shared" si="4"/>
        <v>5</v>
      </c>
      <c r="Y63" s="392" t="s">
        <v>1062</v>
      </c>
      <c r="Z63" s="29"/>
      <c r="AA63"/>
      <c r="AB63"/>
      <c r="AC63"/>
      <c r="AD63"/>
    </row>
    <row r="64" spans="13:30">
      <c r="M64" s="438" t="str">
        <f t="shared" si="1"/>
        <v>CHLOROANILINE, p-</v>
      </c>
      <c r="N64" s="429" t="s">
        <v>1193</v>
      </c>
      <c r="O64" s="81" t="s">
        <v>135</v>
      </c>
      <c r="P64" s="400">
        <v>9.9999999999999995E-7</v>
      </c>
      <c r="Q64" s="400">
        <v>9.9999999999999995E-7</v>
      </c>
      <c r="R64" s="400">
        <v>1.0000000000000001E-5</v>
      </c>
      <c r="S64" s="365">
        <v>0.2</v>
      </c>
      <c r="T64" s="364" t="s">
        <v>665</v>
      </c>
      <c r="U64" s="363" t="s">
        <v>653</v>
      </c>
      <c r="V64" s="363" t="s">
        <v>666</v>
      </c>
      <c r="W64" s="391">
        <f>IF('Table H (Constants)'!F41=0,"",'Table H (Constants)'!F41)</f>
        <v>112.7</v>
      </c>
      <c r="X64" s="378">
        <f t="shared" si="4"/>
        <v>3</v>
      </c>
      <c r="Y64" s="28" t="str">
        <f t="shared" ref="Y64:Y69" si="5">IF(X64=$X$19,$Y$19,IF(X64=$X$20,$Y$20,IF(X64=$X$22,$Y$22,IF(X64=$X$24,$Y$24,$Y$26))))</f>
        <v>Potentially significant soil leaching hazard and subsequent contamination of groundwater.  Batch tests recommended if soil leaching action level exceeded (see Advanced EHE Options tab of Surfer).</v>
      </c>
      <c r="Z64" s="29"/>
      <c r="AA64"/>
      <c r="AB64"/>
      <c r="AC64"/>
      <c r="AD64"/>
    </row>
    <row r="65" spans="13:30">
      <c r="M65" s="438" t="str">
        <f t="shared" si="1"/>
        <v>CHLOROBENZENE</v>
      </c>
      <c r="N65" s="429" t="s">
        <v>1194</v>
      </c>
      <c r="O65" s="81" t="s">
        <v>136</v>
      </c>
      <c r="P65" s="400" t="s">
        <v>954</v>
      </c>
      <c r="Q65" s="400" t="s">
        <v>954</v>
      </c>
      <c r="R65" s="400" t="s">
        <v>954</v>
      </c>
      <c r="S65" s="365">
        <v>0.2</v>
      </c>
      <c r="T65" s="364" t="s">
        <v>665</v>
      </c>
      <c r="U65" s="363" t="s">
        <v>651</v>
      </c>
      <c r="V65" s="363" t="s">
        <v>666</v>
      </c>
      <c r="W65" s="391">
        <f>IF('Table H (Constants)'!F42=0,"",'Table H (Constants)'!F42)</f>
        <v>233.9</v>
      </c>
      <c r="X65" s="378">
        <f t="shared" si="4"/>
        <v>1</v>
      </c>
      <c r="Y65" s="28" t="str">
        <f t="shared" si="5"/>
        <v>Volatile chemical. Collect soil gas data for site-specific evaluation of vapor intrusion hazards if Tier 1 action levels for this hazard exceeded (see Advanced EHE Options tab of Surfer).</v>
      </c>
      <c r="Z65" s="29"/>
      <c r="AA65"/>
      <c r="AB65"/>
      <c r="AC65"/>
      <c r="AD65"/>
    </row>
    <row r="66" spans="13:30">
      <c r="M66" s="438" t="str">
        <f t="shared" si="1"/>
        <v>CHLOROETHANE</v>
      </c>
      <c r="N66" s="429" t="s">
        <v>1195</v>
      </c>
      <c r="O66" s="81" t="s">
        <v>781</v>
      </c>
      <c r="P66" s="400">
        <v>9.9999999999999995E-7</v>
      </c>
      <c r="Q66" s="400">
        <v>9.9999999999999995E-7</v>
      </c>
      <c r="R66" s="400">
        <v>9.9999999999999995E-7</v>
      </c>
      <c r="S66" s="365">
        <v>0.2</v>
      </c>
      <c r="T66" s="364" t="s">
        <v>665</v>
      </c>
      <c r="U66" s="363" t="s">
        <v>651</v>
      </c>
      <c r="V66" s="363" t="s">
        <v>666</v>
      </c>
      <c r="W66" s="391">
        <f>IF('Table H (Constants)'!F43=0,"",'Table H (Constants)'!F43)</f>
        <v>21.73</v>
      </c>
      <c r="X66" s="378">
        <f t="shared" si="4"/>
        <v>1</v>
      </c>
      <c r="Y66" s="28" t="str">
        <f t="shared" si="5"/>
        <v>Volatile chemical. Collect soil gas data for site-specific evaluation of vapor intrusion hazards if Tier 1 action levels for this hazard exceeded (see Advanced EHE Options tab of Surfer).</v>
      </c>
      <c r="Z66" s="29"/>
      <c r="AA66"/>
      <c r="AB66"/>
      <c r="AC66"/>
      <c r="AD66"/>
    </row>
    <row r="67" spans="13:30">
      <c r="M67" s="438" t="str">
        <f t="shared" si="1"/>
        <v>CHLOROFORM</v>
      </c>
      <c r="N67" s="429" t="s">
        <v>1196</v>
      </c>
      <c r="O67" s="81" t="s">
        <v>137</v>
      </c>
      <c r="P67" s="400">
        <v>9.9999999999999995E-7</v>
      </c>
      <c r="Q67" s="400">
        <v>9.9999999999999995E-7</v>
      </c>
      <c r="R67" s="400">
        <v>9.9999999999999995E-7</v>
      </c>
      <c r="S67" s="365">
        <v>0.2</v>
      </c>
      <c r="T67" s="364" t="s">
        <v>665</v>
      </c>
      <c r="U67" s="363" t="s">
        <v>651</v>
      </c>
      <c r="V67" s="363" t="s">
        <v>666</v>
      </c>
      <c r="W67" s="391">
        <f>IF('Table H (Constants)'!F44=0,"",'Table H (Constants)'!F44)</f>
        <v>31.82</v>
      </c>
      <c r="X67" s="378">
        <f t="shared" si="4"/>
        <v>1</v>
      </c>
      <c r="Y67" s="28" t="str">
        <f t="shared" si="5"/>
        <v>Volatile chemical. Collect soil gas data for site-specific evaluation of vapor intrusion hazards if Tier 1 action levels for this hazard exceeded (see Advanced EHE Options tab of Surfer).</v>
      </c>
      <c r="Z67" s="29"/>
      <c r="AA67"/>
      <c r="AB67"/>
      <c r="AC67"/>
      <c r="AD67"/>
    </row>
    <row r="68" spans="13:30">
      <c r="M68" s="438" t="str">
        <f t="shared" si="1"/>
        <v>CHLOROMETHANE</v>
      </c>
      <c r="N68" s="429" t="s">
        <v>1197</v>
      </c>
      <c r="O68" s="81" t="s">
        <v>782</v>
      </c>
      <c r="P68" s="400">
        <v>9.9999999999999995E-7</v>
      </c>
      <c r="Q68" s="400">
        <v>9.9999999999999995E-7</v>
      </c>
      <c r="R68" s="400">
        <v>9.9999999999999995E-7</v>
      </c>
      <c r="S68" s="365">
        <v>0.2</v>
      </c>
      <c r="T68" s="364" t="s">
        <v>665</v>
      </c>
      <c r="U68" s="363" t="s">
        <v>651</v>
      </c>
      <c r="V68" s="363" t="s">
        <v>666</v>
      </c>
      <c r="W68" s="391">
        <f>IF('Table H (Constants)'!F45=0,"",'Table H (Constants)'!F45)</f>
        <v>13.22</v>
      </c>
      <c r="X68" s="378">
        <f t="shared" si="4"/>
        <v>1</v>
      </c>
      <c r="Y68" s="28" t="str">
        <f t="shared" si="5"/>
        <v>Volatile chemical. Collect soil gas data for site-specific evaluation of vapor intrusion hazards if Tier 1 action levels for this hazard exceeded (see Advanced EHE Options tab of Surfer).</v>
      </c>
      <c r="Z68" s="29"/>
      <c r="AA68"/>
      <c r="AB68"/>
      <c r="AC68"/>
      <c r="AD68"/>
    </row>
    <row r="69" spans="13:30">
      <c r="M69" s="438" t="str">
        <f t="shared" si="1"/>
        <v>CHLOROPHENOL, 2-</v>
      </c>
      <c r="N69" s="429" t="s">
        <v>1198</v>
      </c>
      <c r="O69" s="81" t="s">
        <v>138</v>
      </c>
      <c r="P69" s="400" t="s">
        <v>954</v>
      </c>
      <c r="Q69" s="400" t="s">
        <v>954</v>
      </c>
      <c r="R69" s="400" t="s">
        <v>954</v>
      </c>
      <c r="S69" s="365">
        <v>0.2</v>
      </c>
      <c r="T69" s="364" t="s">
        <v>665</v>
      </c>
      <c r="U69" s="363" t="s">
        <v>651</v>
      </c>
      <c r="V69" s="363" t="s">
        <v>666</v>
      </c>
      <c r="W69" s="391">
        <f>IF('Table H (Constants)'!F46=0,"",'Table H (Constants)'!F46)</f>
        <v>388</v>
      </c>
      <c r="X69" s="378">
        <f t="shared" si="4"/>
        <v>1</v>
      </c>
      <c r="Y69" s="28" t="str">
        <f t="shared" si="5"/>
        <v>Volatile chemical. Collect soil gas data for site-specific evaluation of vapor intrusion hazards if Tier 1 action levels for this hazard exceeded (see Advanced EHE Options tab of Surfer).</v>
      </c>
      <c r="Z69" s="29"/>
      <c r="AA69"/>
      <c r="AB69"/>
      <c r="AC69"/>
      <c r="AD69"/>
    </row>
    <row r="70" spans="13:30">
      <c r="M70" s="438" t="str">
        <f t="shared" si="1"/>
        <v>CHROMIUM (Total)</v>
      </c>
      <c r="N70" s="429" t="s">
        <v>1199</v>
      </c>
      <c r="O70" s="367" t="s">
        <v>612</v>
      </c>
      <c r="P70" s="400">
        <v>9.9999999999999995E-7</v>
      </c>
      <c r="Q70" s="400">
        <v>9.9999999999999995E-7</v>
      </c>
      <c r="R70" s="400">
        <v>1.0000000000000001E-5</v>
      </c>
      <c r="S70" s="365">
        <v>0.2</v>
      </c>
      <c r="T70" s="364" t="s">
        <v>666</v>
      </c>
      <c r="U70" s="363" t="s">
        <v>653</v>
      </c>
      <c r="V70" s="363" t="s">
        <v>666</v>
      </c>
      <c r="W70" s="391" t="str">
        <f>IF('Table H (Constants)'!F47=0,"",'Table H (Constants)'!F47)</f>
        <v/>
      </c>
      <c r="X70" s="378">
        <f t="shared" si="4"/>
        <v>2</v>
      </c>
      <c r="Y70" s="392" t="s">
        <v>982</v>
      </c>
      <c r="Z70" s="29"/>
      <c r="AA70"/>
      <c r="AB70"/>
      <c r="AC70"/>
      <c r="AD70"/>
    </row>
    <row r="71" spans="13:30">
      <c r="M71" s="438" t="str">
        <f t="shared" si="1"/>
        <v>CHROMIUM III</v>
      </c>
      <c r="N71" s="431" t="s">
        <v>1200</v>
      </c>
      <c r="O71" s="81" t="s">
        <v>779</v>
      </c>
      <c r="P71" s="400" t="s">
        <v>954</v>
      </c>
      <c r="Q71" s="400" t="s">
        <v>954</v>
      </c>
      <c r="R71" s="400" t="s">
        <v>954</v>
      </c>
      <c r="S71" s="365">
        <v>0.2</v>
      </c>
      <c r="T71" s="364" t="s">
        <v>666</v>
      </c>
      <c r="U71" s="363" t="s">
        <v>653</v>
      </c>
      <c r="V71" s="363" t="s">
        <v>666</v>
      </c>
      <c r="W71" s="391" t="str">
        <f>IF('Table H (Constants)'!F48=0,"",'Table H (Constants)'!F48)</f>
        <v/>
      </c>
      <c r="X71" s="378">
        <f t="shared" si="4"/>
        <v>2</v>
      </c>
      <c r="Y71" s="28" t="str">
        <f>IF(X71=$X$19,$Y$19,IF(X71=$X$20,$Y$20,IF(X71=$X$22,$Y$22,IF(X71=$X$24,$Y$24,$Y$26))))</f>
        <v>Naturally occurring metal.  Action levels for leaching of metals from soil and subsequent contamination of groundwater not developed.  Batch tests and/or groundwater monitoring recommended if soil background exceeded (see Advanced EHE Options tab of Surfer).</v>
      </c>
      <c r="Z71" s="29"/>
      <c r="AA71"/>
      <c r="AB71"/>
      <c r="AC71"/>
      <c r="AD71"/>
    </row>
    <row r="72" spans="13:30" ht="14.25">
      <c r="M72" s="438" t="str">
        <f t="shared" si="1"/>
        <v>CHROMIUM VI</v>
      </c>
      <c r="N72" s="429" t="s">
        <v>1201</v>
      </c>
      <c r="O72" s="81" t="s">
        <v>780</v>
      </c>
      <c r="P72" s="400">
        <v>1E-4</v>
      </c>
      <c r="Q72" s="400">
        <v>1E-4</v>
      </c>
      <c r="R72" s="400">
        <v>1E-4</v>
      </c>
      <c r="S72" s="365">
        <v>0.2</v>
      </c>
      <c r="T72" s="364" t="s">
        <v>666</v>
      </c>
      <c r="U72" s="363" t="s">
        <v>653</v>
      </c>
      <c r="V72" s="363" t="s">
        <v>666</v>
      </c>
      <c r="W72" s="391" t="str">
        <f>IF('Table H (Constants)'!F49=0,"",'Table H (Constants)'!F49)</f>
        <v/>
      </c>
      <c r="X72" s="378">
        <f t="shared" si="4"/>
        <v>2</v>
      </c>
      <c r="Y72" s="406" t="s">
        <v>1061</v>
      </c>
      <c r="Z72" s="29"/>
      <c r="AA72"/>
      <c r="AB72"/>
      <c r="AC72"/>
      <c r="AD72"/>
    </row>
    <row r="73" spans="13:30">
      <c r="M73" s="438" t="str">
        <f t="shared" si="1"/>
        <v>CHRYSENE</v>
      </c>
      <c r="N73" s="429" t="s">
        <v>1202</v>
      </c>
      <c r="O73" s="81" t="s">
        <v>139</v>
      </c>
      <c r="P73" s="400">
        <v>1.0000000000000001E-5</v>
      </c>
      <c r="Q73" s="400">
        <v>1.0000000000000001E-5</v>
      </c>
      <c r="R73" s="400">
        <v>1.0000000000000001E-5</v>
      </c>
      <c r="S73" s="365">
        <v>0.2</v>
      </c>
      <c r="T73" s="364" t="s">
        <v>665</v>
      </c>
      <c r="U73" s="363" t="s">
        <v>653</v>
      </c>
      <c r="V73" s="363" t="s">
        <v>666</v>
      </c>
      <c r="W73" s="391">
        <f>IF('Table H (Constants)'!F50=0,"",'Table H (Constants)'!F50)</f>
        <v>180500</v>
      </c>
      <c r="X73" s="378">
        <f t="shared" si="4"/>
        <v>5</v>
      </c>
      <c r="Y73" s="28" t="str">
        <f t="shared" ref="Y73:Y107" si="6">IF(X73=$X$19,$Y$19,IF(X73=$X$20,$Y$20,IF(X73=$X$22,$Y$22,IF(X73=$X$24,$Y$24,$Y$26))))</f>
        <v>Not anticipated to be significantly mobile in soil or groundwater.  Batch tests recommended if soil leaching action level exceeded (see Advanced EHE Options tab of Surfer). Evaluate potential surface runoff hazards into aquatic habitats.</v>
      </c>
      <c r="Z73" s="29"/>
      <c r="AA73"/>
      <c r="AB73"/>
      <c r="AC73"/>
      <c r="AD73"/>
    </row>
    <row r="74" spans="13:30">
      <c r="M74" s="438" t="str">
        <f t="shared" si="1"/>
        <v>COBALT</v>
      </c>
      <c r="N74" s="429" t="s">
        <v>1203</v>
      </c>
      <c r="O74" s="81" t="s">
        <v>140</v>
      </c>
      <c r="P74" s="400">
        <v>9.9999999999999995E-7</v>
      </c>
      <c r="Q74" s="400">
        <v>9.9999999999999995E-7</v>
      </c>
      <c r="R74" s="400">
        <v>1.0000000000000001E-5</v>
      </c>
      <c r="S74" s="365">
        <v>0.2</v>
      </c>
      <c r="T74" s="364" t="s">
        <v>666</v>
      </c>
      <c r="U74" s="363" t="s">
        <v>653</v>
      </c>
      <c r="V74" s="363" t="s">
        <v>666</v>
      </c>
      <c r="W74" s="391" t="str">
        <f>IF('Table H (Constants)'!F51=0,"",'Table H (Constants)'!F51)</f>
        <v/>
      </c>
      <c r="X74" s="378">
        <f t="shared" si="4"/>
        <v>2</v>
      </c>
      <c r="Y74" s="28" t="str">
        <f t="shared" si="6"/>
        <v>Naturally occurring metal.  Action levels for leaching of metals from soil and subsequent contamination of groundwater not developed.  Batch tests and/or groundwater monitoring recommended if soil background exceeded (see Advanced EHE Options tab of Surfer).</v>
      </c>
      <c r="Z74" s="29"/>
      <c r="AA74"/>
      <c r="AB74"/>
      <c r="AC74"/>
      <c r="AD74"/>
    </row>
    <row r="75" spans="13:30">
      <c r="M75" s="438" t="str">
        <f t="shared" si="1"/>
        <v>COPPER</v>
      </c>
      <c r="N75" s="429" t="s">
        <v>1204</v>
      </c>
      <c r="O75" s="81" t="s">
        <v>141</v>
      </c>
      <c r="P75" s="400" t="s">
        <v>954</v>
      </c>
      <c r="Q75" s="400" t="s">
        <v>954</v>
      </c>
      <c r="R75" s="400" t="s">
        <v>954</v>
      </c>
      <c r="S75" s="365">
        <v>0.2</v>
      </c>
      <c r="T75" s="364" t="s">
        <v>666</v>
      </c>
      <c r="U75" s="363" t="s">
        <v>653</v>
      </c>
      <c r="V75" s="363" t="s">
        <v>666</v>
      </c>
      <c r="W75" s="391" t="str">
        <f>IF('Table H (Constants)'!F52=0,"",'Table H (Constants)'!F52)</f>
        <v/>
      </c>
      <c r="X75" s="378">
        <f t="shared" si="4"/>
        <v>2</v>
      </c>
      <c r="Y75" s="28" t="str">
        <f t="shared" si="6"/>
        <v>Naturally occurring metal.  Action levels for leaching of metals from soil and subsequent contamination of groundwater not developed.  Batch tests and/or groundwater monitoring recommended if soil background exceeded (see Advanced EHE Options tab of Surfer).</v>
      </c>
      <c r="Z75" s="29"/>
      <c r="AA75"/>
      <c r="AB75"/>
      <c r="AC75"/>
      <c r="AD75"/>
    </row>
    <row r="76" spans="13:30">
      <c r="M76" s="438" t="str">
        <f t="shared" si="1"/>
        <v>CYANIDE (Free)</v>
      </c>
      <c r="N76" s="429" t="s">
        <v>1314</v>
      </c>
      <c r="O76" s="81" t="s">
        <v>142</v>
      </c>
      <c r="P76" s="400" t="s">
        <v>954</v>
      </c>
      <c r="Q76" s="400" t="s">
        <v>954</v>
      </c>
      <c r="R76" s="400" t="s">
        <v>954</v>
      </c>
      <c r="S76" s="365">
        <v>0.2</v>
      </c>
      <c r="T76" s="364" t="s">
        <v>665</v>
      </c>
      <c r="U76" s="363" t="s">
        <v>651</v>
      </c>
      <c r="V76" s="363" t="s">
        <v>666</v>
      </c>
      <c r="W76" s="391" t="str">
        <f>IF('Table H (Constants)'!F53=0,"",'Table H (Constants)'!F53)</f>
        <v/>
      </c>
      <c r="X76" s="378">
        <f t="shared" si="4"/>
        <v>1</v>
      </c>
      <c r="Y76" s="28" t="str">
        <f t="shared" si="6"/>
        <v>Volatile chemical. Collect soil gas data for site-specific evaluation of vapor intrusion hazards if Tier 1 action levels for this hazard exceeded (see Advanced EHE Options tab of Surfer).</v>
      </c>
      <c r="Z76" s="29"/>
      <c r="AA76"/>
      <c r="AB76"/>
      <c r="AC76"/>
      <c r="AD76"/>
    </row>
    <row r="77" spans="13:30" ht="25.5">
      <c r="M77" s="438" t="str">
        <f t="shared" si="1"/>
        <v>CYCLO-1,3,5-TRIMETHYLENE-2,4,6-TRINITRAMINE (RDX)</v>
      </c>
      <c r="N77" s="429" t="s">
        <v>1205</v>
      </c>
      <c r="O77" s="430" t="s">
        <v>96</v>
      </c>
      <c r="P77" s="400">
        <v>9.9999999999999995E-7</v>
      </c>
      <c r="Q77" s="400">
        <v>9.9999999999999995E-7</v>
      </c>
      <c r="R77" s="400">
        <v>1.0000000000000001E-5</v>
      </c>
      <c r="S77" s="365">
        <v>0.2</v>
      </c>
      <c r="T77" s="364" t="s">
        <v>665</v>
      </c>
      <c r="U77" s="363" t="s">
        <v>653</v>
      </c>
      <c r="V77" s="363" t="s">
        <v>666</v>
      </c>
      <c r="W77" s="391">
        <f>IF('Table H (Constants)'!F54=0,"",'Table H (Constants)'!F54)</f>
        <v>89.07</v>
      </c>
      <c r="X77" s="378">
        <f t="shared" si="4"/>
        <v>3</v>
      </c>
      <c r="Y77" s="28" t="str">
        <f t="shared" si="6"/>
        <v>Potentially significant soil leaching hazard and subsequent contamination of groundwater.  Batch tests recommended if soil leaching action level exceeded (see Advanced EHE Options tab of Surfer).</v>
      </c>
      <c r="Z77" s="29"/>
      <c r="AA77"/>
      <c r="AB77"/>
      <c r="AC77"/>
      <c r="AD77"/>
    </row>
    <row r="78" spans="13:30">
      <c r="M78" s="438" t="str">
        <f t="shared" si="1"/>
        <v>DALAPON</v>
      </c>
      <c r="N78" s="429" t="s">
        <v>1206</v>
      </c>
      <c r="O78" s="1" t="s">
        <v>97</v>
      </c>
      <c r="P78" s="400" t="s">
        <v>954</v>
      </c>
      <c r="Q78" s="400" t="s">
        <v>954</v>
      </c>
      <c r="R78" s="400" t="s">
        <v>954</v>
      </c>
      <c r="S78" s="365">
        <v>0.2</v>
      </c>
      <c r="T78" s="364" t="s">
        <v>665</v>
      </c>
      <c r="U78" s="363" t="s">
        <v>653</v>
      </c>
      <c r="V78" s="363" t="s">
        <v>666</v>
      </c>
      <c r="W78" s="391">
        <f>IF('Table H (Constants)'!F55=0,"",'Table H (Constants)'!F55)</f>
        <v>3.2</v>
      </c>
      <c r="X78" s="378">
        <f t="shared" si="4"/>
        <v>3</v>
      </c>
      <c r="Y78" s="28" t="str">
        <f t="shared" si="6"/>
        <v>Potentially significant soil leaching hazard and subsequent contamination of groundwater.  Batch tests recommended if soil leaching action level exceeded (see Advanced EHE Options tab of Surfer).</v>
      </c>
      <c r="Z78" s="29"/>
      <c r="AA78"/>
      <c r="AB78"/>
      <c r="AC78"/>
      <c r="AD78"/>
    </row>
    <row r="79" spans="13:30">
      <c r="M79" s="438" t="str">
        <f t="shared" si="1"/>
        <v>DIBENZO(a,h)ANTHTRACENE</v>
      </c>
      <c r="N79" s="429" t="s">
        <v>1207</v>
      </c>
      <c r="O79" s="81" t="s">
        <v>143</v>
      </c>
      <c r="P79" s="400">
        <v>1.0000000000000001E-5</v>
      </c>
      <c r="Q79" s="400">
        <v>1.0000000000000001E-5</v>
      </c>
      <c r="R79" s="400">
        <v>1.0000000000000001E-5</v>
      </c>
      <c r="S79" s="365">
        <v>0.2</v>
      </c>
      <c r="T79" s="364" t="s">
        <v>665</v>
      </c>
      <c r="U79" s="363" t="s">
        <v>653</v>
      </c>
      <c r="V79" s="363" t="s">
        <v>666</v>
      </c>
      <c r="W79" s="391">
        <f>IF('Table H (Constants)'!F56=0,"",'Table H (Constants)'!F56)</f>
        <v>1912000</v>
      </c>
      <c r="X79" s="378">
        <f t="shared" si="4"/>
        <v>5</v>
      </c>
      <c r="Y79" s="28" t="str">
        <f t="shared" si="6"/>
        <v>Not anticipated to be significantly mobile in soil or groundwater.  Batch tests recommended if soil leaching action level exceeded (see Advanced EHE Options tab of Surfer). Evaluate potential surface runoff hazards into aquatic habitats.</v>
      </c>
      <c r="Z79" s="29"/>
      <c r="AA79"/>
      <c r="AB79"/>
      <c r="AC79"/>
      <c r="AD79"/>
    </row>
    <row r="80" spans="13:30">
      <c r="M80" s="438" t="str">
        <f t="shared" si="1"/>
        <v>DIBROMO,1,2- CHLOROPROPANE,3-</v>
      </c>
      <c r="N80" s="429" t="s">
        <v>1208</v>
      </c>
      <c r="O80" s="81" t="s">
        <v>381</v>
      </c>
      <c r="P80" s="400">
        <v>9.9999999999999995E-7</v>
      </c>
      <c r="Q80" s="400">
        <v>9.9999999999999995E-7</v>
      </c>
      <c r="R80" s="400">
        <v>9.9999999999999995E-7</v>
      </c>
      <c r="S80" s="365">
        <v>0.2</v>
      </c>
      <c r="T80" s="364" t="s">
        <v>665</v>
      </c>
      <c r="U80" s="363" t="s">
        <v>651</v>
      </c>
      <c r="V80" s="363" t="s">
        <v>666</v>
      </c>
      <c r="W80" s="391">
        <f>IF('Table H (Constants)'!F57=0,"",'Table H (Constants)'!F57)</f>
        <v>115.8</v>
      </c>
      <c r="X80" s="378">
        <f t="shared" si="4"/>
        <v>1</v>
      </c>
      <c r="Y80" s="28" t="str">
        <f t="shared" si="6"/>
        <v>Volatile chemical. Collect soil gas data for site-specific evaluation of vapor intrusion hazards if Tier 1 action levels for this hazard exceeded (see Advanced EHE Options tab of Surfer).</v>
      </c>
      <c r="Z80" s="29"/>
      <c r="AA80"/>
      <c r="AB80"/>
      <c r="AC80"/>
      <c r="AD80"/>
    </row>
    <row r="81" spans="13:30">
      <c r="M81" s="438" t="str">
        <f t="shared" si="1"/>
        <v>DIBROMOCHLOROMETHANE</v>
      </c>
      <c r="N81" s="429" t="s">
        <v>1209</v>
      </c>
      <c r="O81" s="81" t="s">
        <v>144</v>
      </c>
      <c r="P81" s="400">
        <v>9.9999999999999995E-7</v>
      </c>
      <c r="Q81" s="400">
        <v>9.9999999999999995E-7</v>
      </c>
      <c r="R81" s="400">
        <v>9.9999999999999995E-7</v>
      </c>
      <c r="S81" s="365">
        <v>0.2</v>
      </c>
      <c r="T81" s="364" t="s">
        <v>665</v>
      </c>
      <c r="U81" s="363" t="s">
        <v>651</v>
      </c>
      <c r="V81" s="363" t="s">
        <v>666</v>
      </c>
      <c r="W81" s="391">
        <f>IF('Table H (Constants)'!F58=0,"",'Table H (Constants)'!F58)</f>
        <v>31.82</v>
      </c>
      <c r="X81" s="378">
        <f t="shared" si="4"/>
        <v>1</v>
      </c>
      <c r="Y81" s="28" t="str">
        <f t="shared" si="6"/>
        <v>Volatile chemical. Collect soil gas data for site-specific evaluation of vapor intrusion hazards if Tier 1 action levels for this hazard exceeded (see Advanced EHE Options tab of Surfer).</v>
      </c>
      <c r="Z81" s="29"/>
      <c r="AA81"/>
      <c r="AB81"/>
      <c r="AC81"/>
      <c r="AD81"/>
    </row>
    <row r="82" spans="13:30">
      <c r="M82" s="438" t="str">
        <f t="shared" si="1"/>
        <v>DIBROMOETHANE, 1,2-</v>
      </c>
      <c r="N82" s="429" t="s">
        <v>1210</v>
      </c>
      <c r="O82" s="81" t="s">
        <v>487</v>
      </c>
      <c r="P82" s="400">
        <v>9.9999999999999995E-7</v>
      </c>
      <c r="Q82" s="400">
        <v>9.9999999999999995E-7</v>
      </c>
      <c r="R82" s="400">
        <v>9.9999999999999995E-7</v>
      </c>
      <c r="S82" s="365">
        <v>0.2</v>
      </c>
      <c r="T82" s="364" t="s">
        <v>665</v>
      </c>
      <c r="U82" s="363" t="s">
        <v>651</v>
      </c>
      <c r="V82" s="363" t="s">
        <v>666</v>
      </c>
      <c r="W82" s="391">
        <f>IF('Table H (Constants)'!F59=0,"",'Table H (Constants)'!F59)</f>
        <v>39.6</v>
      </c>
      <c r="X82" s="378">
        <f t="shared" si="4"/>
        <v>1</v>
      </c>
      <c r="Y82" s="28" t="str">
        <f t="shared" si="6"/>
        <v>Volatile chemical. Collect soil gas data for site-specific evaluation of vapor intrusion hazards if Tier 1 action levels for this hazard exceeded (see Advanced EHE Options tab of Surfer).</v>
      </c>
      <c r="Z82" s="29"/>
      <c r="AA82"/>
      <c r="AB82"/>
      <c r="AC82"/>
      <c r="AD82"/>
    </row>
    <row r="83" spans="13:30">
      <c r="M83" s="438" t="str">
        <f t="shared" si="1"/>
        <v>DICHLOROBENZENE, 1,2-</v>
      </c>
      <c r="N83" s="429" t="s">
        <v>1211</v>
      </c>
      <c r="O83" s="81" t="s">
        <v>145</v>
      </c>
      <c r="P83" s="400" t="s">
        <v>954</v>
      </c>
      <c r="Q83" s="400" t="s">
        <v>954</v>
      </c>
      <c r="R83" s="400" t="s">
        <v>954</v>
      </c>
      <c r="S83" s="365">
        <v>0.2</v>
      </c>
      <c r="T83" s="364" t="s">
        <v>665</v>
      </c>
      <c r="U83" s="363" t="s">
        <v>651</v>
      </c>
      <c r="V83" s="363" t="s">
        <v>666</v>
      </c>
      <c r="W83" s="391">
        <f>IF('Table H (Constants)'!F60=0,"",'Table H (Constants)'!F60)</f>
        <v>382.9</v>
      </c>
      <c r="X83" s="378">
        <f t="shared" si="4"/>
        <v>1</v>
      </c>
      <c r="Y83" s="28" t="str">
        <f t="shared" si="6"/>
        <v>Volatile chemical. Collect soil gas data for site-specific evaluation of vapor intrusion hazards if Tier 1 action levels for this hazard exceeded (see Advanced EHE Options tab of Surfer).</v>
      </c>
      <c r="Z83" s="29"/>
      <c r="AA83"/>
      <c r="AB83"/>
      <c r="AC83"/>
      <c r="AD83"/>
    </row>
    <row r="84" spans="13:30">
      <c r="M84" s="438" t="str">
        <f t="shared" si="1"/>
        <v>DICHLOROBENZENE, 1,3-</v>
      </c>
      <c r="N84" s="429" t="s">
        <v>1212</v>
      </c>
      <c r="O84" s="81" t="s">
        <v>225</v>
      </c>
      <c r="P84" s="400" t="s">
        <v>954</v>
      </c>
      <c r="Q84" s="400" t="s">
        <v>954</v>
      </c>
      <c r="R84" s="400" t="s">
        <v>954</v>
      </c>
      <c r="S84" s="365">
        <v>0.2</v>
      </c>
      <c r="T84" s="364" t="s">
        <v>665</v>
      </c>
      <c r="U84" s="363" t="s">
        <v>651</v>
      </c>
      <c r="V84" s="363" t="s">
        <v>666</v>
      </c>
      <c r="W84" s="391">
        <f>IF('Table H (Constants)'!F61=0,"",'Table H (Constants)'!F61)</f>
        <v>617</v>
      </c>
      <c r="X84" s="378">
        <f t="shared" si="4"/>
        <v>1</v>
      </c>
      <c r="Y84" s="28" t="str">
        <f t="shared" si="6"/>
        <v>Volatile chemical. Collect soil gas data for site-specific evaluation of vapor intrusion hazards if Tier 1 action levels for this hazard exceeded (see Advanced EHE Options tab of Surfer).</v>
      </c>
      <c r="Z84" s="29"/>
      <c r="AA84"/>
      <c r="AB84"/>
      <c r="AC84"/>
      <c r="AD84"/>
    </row>
    <row r="85" spans="13:30">
      <c r="M85" s="438" t="str">
        <f t="shared" si="1"/>
        <v>DICHLOROBENZENE, 1,4-</v>
      </c>
      <c r="N85" s="429" t="s">
        <v>1213</v>
      </c>
      <c r="O85" s="81" t="s">
        <v>226</v>
      </c>
      <c r="P85" s="400">
        <v>9.9999999999999995E-7</v>
      </c>
      <c r="Q85" s="400">
        <v>9.9999999999999995E-7</v>
      </c>
      <c r="R85" s="400">
        <v>9.9999999999999995E-7</v>
      </c>
      <c r="S85" s="365">
        <v>0.2</v>
      </c>
      <c r="T85" s="364" t="s">
        <v>665</v>
      </c>
      <c r="U85" s="363" t="s">
        <v>651</v>
      </c>
      <c r="V85" s="363" t="s">
        <v>666</v>
      </c>
      <c r="W85" s="391">
        <f>IF('Table H (Constants)'!F62=0,"",'Table H (Constants)'!F62)</f>
        <v>375.3</v>
      </c>
      <c r="X85" s="378">
        <f t="shared" si="4"/>
        <v>1</v>
      </c>
      <c r="Y85" s="28" t="str">
        <f t="shared" si="6"/>
        <v>Volatile chemical. Collect soil gas data for site-specific evaluation of vapor intrusion hazards if Tier 1 action levels for this hazard exceeded (see Advanced EHE Options tab of Surfer).</v>
      </c>
      <c r="Z85" s="29"/>
      <c r="AA85"/>
      <c r="AB85"/>
      <c r="AC85"/>
      <c r="AD85"/>
    </row>
    <row r="86" spans="13:30">
      <c r="M86" s="438" t="str">
        <f t="shared" si="1"/>
        <v>DICHLOROBENZIDINE, 3,3-</v>
      </c>
      <c r="N86" s="429" t="s">
        <v>1214</v>
      </c>
      <c r="O86" s="81" t="s">
        <v>227</v>
      </c>
      <c r="P86" s="400">
        <v>9.9999999999999995E-7</v>
      </c>
      <c r="Q86" s="400">
        <v>9.9999999999999995E-7</v>
      </c>
      <c r="R86" s="400">
        <v>1.0000000000000001E-5</v>
      </c>
      <c r="S86" s="365">
        <v>0.2</v>
      </c>
      <c r="T86" s="364" t="s">
        <v>665</v>
      </c>
      <c r="U86" s="363" t="s">
        <v>653</v>
      </c>
      <c r="V86" s="363" t="s">
        <v>666</v>
      </c>
      <c r="W86" s="391">
        <f>IF('Table H (Constants)'!F63=0,"",'Table H (Constants)'!F63)</f>
        <v>3190</v>
      </c>
      <c r="X86" s="378">
        <f t="shared" si="4"/>
        <v>3</v>
      </c>
      <c r="Y86" s="28" t="str">
        <f t="shared" si="6"/>
        <v>Potentially significant soil leaching hazard and subsequent contamination of groundwater.  Batch tests recommended if soil leaching action level exceeded (see Advanced EHE Options tab of Surfer).</v>
      </c>
      <c r="Z86" s="29"/>
      <c r="AA86"/>
      <c r="AB86"/>
      <c r="AC86"/>
      <c r="AD86"/>
    </row>
    <row r="87" spans="13:30" ht="25.5">
      <c r="M87" s="438" t="str">
        <f t="shared" si="1"/>
        <v>DICHLORODIPHENYLDICHLOROETHANE (DDD)</v>
      </c>
      <c r="N87" s="429" t="s">
        <v>1215</v>
      </c>
      <c r="O87" s="81" t="s">
        <v>361</v>
      </c>
      <c r="P87" s="400">
        <v>9.9999999999999995E-7</v>
      </c>
      <c r="Q87" s="400">
        <v>9.9999999999999995E-7</v>
      </c>
      <c r="R87" s="400">
        <v>1.0000000000000001E-5</v>
      </c>
      <c r="S87" s="365">
        <v>0.2</v>
      </c>
      <c r="T87" s="364" t="s">
        <v>665</v>
      </c>
      <c r="U87" s="363" t="s">
        <v>653</v>
      </c>
      <c r="V87" s="363" t="s">
        <v>666</v>
      </c>
      <c r="W87" s="391">
        <f>IF('Table H (Constants)'!F64=0,"",'Table H (Constants)'!F64)</f>
        <v>117500</v>
      </c>
      <c r="X87" s="378">
        <f t="shared" si="4"/>
        <v>5</v>
      </c>
      <c r="Y87" s="28" t="str">
        <f t="shared" si="6"/>
        <v>Not anticipated to be significantly mobile in soil or groundwater.  Batch tests recommended if soil leaching action level exceeded (see Advanced EHE Options tab of Surfer). Evaluate potential surface runoff hazards into aquatic habitats.</v>
      </c>
      <c r="Z87" s="29"/>
      <c r="AA87"/>
      <c r="AB87"/>
      <c r="AC87"/>
      <c r="AD87"/>
    </row>
    <row r="88" spans="13:30" ht="25.5">
      <c r="M88" s="438" t="str">
        <f t="shared" si="1"/>
        <v>DICHLORODIPHENYLDICHLOROETHYLENE (DDE)</v>
      </c>
      <c r="N88" s="429" t="s">
        <v>1216</v>
      </c>
      <c r="O88" s="81" t="s">
        <v>362</v>
      </c>
      <c r="P88" s="400">
        <v>9.9999999999999995E-7</v>
      </c>
      <c r="Q88" s="400">
        <v>9.9999999999999995E-7</v>
      </c>
      <c r="R88" s="400">
        <v>1.0000000000000001E-5</v>
      </c>
      <c r="S88" s="365">
        <v>0.2</v>
      </c>
      <c r="T88" s="364" t="s">
        <v>665</v>
      </c>
      <c r="U88" s="363" t="s">
        <v>653</v>
      </c>
      <c r="V88" s="363" t="s">
        <v>666</v>
      </c>
      <c r="W88" s="391">
        <f>IF('Table H (Constants)'!F65=0,"",'Table H (Constants)'!F65)</f>
        <v>117500</v>
      </c>
      <c r="X88" s="378">
        <f t="shared" si="4"/>
        <v>5</v>
      </c>
      <c r="Y88" s="28" t="str">
        <f t="shared" si="6"/>
        <v>Not anticipated to be significantly mobile in soil or groundwater.  Batch tests recommended if soil leaching action level exceeded (see Advanced EHE Options tab of Surfer). Evaluate potential surface runoff hazards into aquatic habitats.</v>
      </c>
      <c r="Z88" s="29"/>
      <c r="AA88"/>
      <c r="AB88"/>
      <c r="AC88"/>
      <c r="AD88"/>
    </row>
    <row r="89" spans="13:30" ht="25.5">
      <c r="M89" s="438" t="str">
        <f t="shared" si="1"/>
        <v>DICHLORODIPHENYLTRICHLOROETHANE (DDT)</v>
      </c>
      <c r="N89" s="429" t="s">
        <v>1217</v>
      </c>
      <c r="O89" s="81" t="s">
        <v>363</v>
      </c>
      <c r="P89" s="400">
        <v>9.9999999999999995E-7</v>
      </c>
      <c r="Q89" s="400">
        <v>9.9999999999999995E-7</v>
      </c>
      <c r="R89" s="400">
        <v>1.0000000000000001E-5</v>
      </c>
      <c r="S89" s="365">
        <v>0.2</v>
      </c>
      <c r="T89" s="364" t="s">
        <v>665</v>
      </c>
      <c r="U89" s="363" t="s">
        <v>653</v>
      </c>
      <c r="V89" s="363" t="s">
        <v>666</v>
      </c>
      <c r="W89" s="391">
        <f>IF('Table H (Constants)'!F66=0,"",'Table H (Constants)'!F66)</f>
        <v>168600</v>
      </c>
      <c r="X89" s="378">
        <f t="shared" si="4"/>
        <v>5</v>
      </c>
      <c r="Y89" s="28" t="str">
        <f t="shared" si="6"/>
        <v>Not anticipated to be significantly mobile in soil or groundwater.  Batch tests recommended if soil leaching action level exceeded (see Advanced EHE Options tab of Surfer). Evaluate potential surface runoff hazards into aquatic habitats.</v>
      </c>
      <c r="Z89" s="29"/>
      <c r="AA89"/>
      <c r="AB89"/>
      <c r="AC89"/>
      <c r="AD89"/>
    </row>
    <row r="90" spans="13:30">
      <c r="M90" s="438" t="str">
        <f t="shared" si="1"/>
        <v>DICHLOROETHANE, 1,1-</v>
      </c>
      <c r="N90" s="429" t="s">
        <v>1218</v>
      </c>
      <c r="O90" s="81" t="s">
        <v>234</v>
      </c>
      <c r="P90" s="400">
        <v>9.9999999999999995E-7</v>
      </c>
      <c r="Q90" s="400">
        <v>9.9999999999999995E-7</v>
      </c>
      <c r="R90" s="400">
        <v>9.9999999999999995E-7</v>
      </c>
      <c r="S90" s="365">
        <v>0.2</v>
      </c>
      <c r="T90" s="364" t="s">
        <v>665</v>
      </c>
      <c r="U90" s="363" t="s">
        <v>651</v>
      </c>
      <c r="V90" s="363" t="s">
        <v>666</v>
      </c>
      <c r="W90" s="391">
        <f>IF('Table H (Constants)'!F67=0,"",'Table H (Constants)'!F67)</f>
        <v>31.82</v>
      </c>
      <c r="X90" s="378">
        <f t="shared" si="4"/>
        <v>1</v>
      </c>
      <c r="Y90" s="28" t="str">
        <f t="shared" si="6"/>
        <v>Volatile chemical. Collect soil gas data for site-specific evaluation of vapor intrusion hazards if Tier 1 action levels for this hazard exceeded (see Advanced EHE Options tab of Surfer).</v>
      </c>
      <c r="Z90" s="29"/>
      <c r="AA90"/>
      <c r="AB90"/>
      <c r="AC90"/>
      <c r="AD90"/>
    </row>
    <row r="91" spans="13:30">
      <c r="M91" s="438" t="str">
        <f t="shared" si="1"/>
        <v>DICHLOROETHANE, 1,2-</v>
      </c>
      <c r="N91" s="429" t="s">
        <v>1219</v>
      </c>
      <c r="O91" s="81" t="s">
        <v>235</v>
      </c>
      <c r="P91" s="400">
        <v>9.9999999999999995E-7</v>
      </c>
      <c r="Q91" s="400">
        <v>9.9999999999999995E-7</v>
      </c>
      <c r="R91" s="400">
        <v>9.9999999999999995E-7</v>
      </c>
      <c r="S91" s="365">
        <v>0.2</v>
      </c>
      <c r="T91" s="364" t="s">
        <v>665</v>
      </c>
      <c r="U91" s="363" t="s">
        <v>651</v>
      </c>
      <c r="V91" s="363" t="s">
        <v>666</v>
      </c>
      <c r="W91" s="391">
        <f>IF('Table H (Constants)'!F68=0,"",'Table H (Constants)'!F68)</f>
        <v>39.6</v>
      </c>
      <c r="X91" s="378">
        <f t="shared" si="4"/>
        <v>1</v>
      </c>
      <c r="Y91" s="28" t="str">
        <f t="shared" si="6"/>
        <v>Volatile chemical. Collect soil gas data for site-specific evaluation of vapor intrusion hazards if Tier 1 action levels for this hazard exceeded (see Advanced EHE Options tab of Surfer).</v>
      </c>
      <c r="Z91" s="29"/>
      <c r="AA91"/>
      <c r="AB91"/>
      <c r="AC91"/>
      <c r="AD91"/>
    </row>
    <row r="92" spans="13:30">
      <c r="M92" s="438" t="str">
        <f t="shared" si="1"/>
        <v>DICHLOROETHYLENE, 1,1-</v>
      </c>
      <c r="N92" s="429" t="s">
        <v>1220</v>
      </c>
      <c r="O92" s="81" t="s">
        <v>294</v>
      </c>
      <c r="P92" s="400" t="s">
        <v>954</v>
      </c>
      <c r="Q92" s="400" t="s">
        <v>954</v>
      </c>
      <c r="R92" s="400" t="s">
        <v>954</v>
      </c>
      <c r="S92" s="365">
        <v>0.2</v>
      </c>
      <c r="T92" s="364" t="s">
        <v>665</v>
      </c>
      <c r="U92" s="363" t="s">
        <v>651</v>
      </c>
      <c r="V92" s="363" t="s">
        <v>666</v>
      </c>
      <c r="W92" s="391">
        <f>IF('Table H (Constants)'!F69=0,"",'Table H (Constants)'!F69)</f>
        <v>31.82</v>
      </c>
      <c r="X92" s="378">
        <f t="shared" si="4"/>
        <v>1</v>
      </c>
      <c r="Y92" s="28" t="str">
        <f t="shared" si="6"/>
        <v>Volatile chemical. Collect soil gas data for site-specific evaluation of vapor intrusion hazards if Tier 1 action levels for this hazard exceeded (see Advanced EHE Options tab of Surfer).</v>
      </c>
      <c r="Z92" s="29"/>
      <c r="AA92"/>
      <c r="AB92"/>
      <c r="AC92"/>
      <c r="AD92"/>
    </row>
    <row r="93" spans="13:30">
      <c r="M93" s="438" t="str">
        <f t="shared" si="1"/>
        <v>DICHLOROETHYLENE, Cis 1,2-</v>
      </c>
      <c r="N93" s="429" t="s">
        <v>1221</v>
      </c>
      <c r="O93" s="81" t="s">
        <v>295</v>
      </c>
      <c r="P93" s="400" t="s">
        <v>954</v>
      </c>
      <c r="Q93" s="400" t="s">
        <v>954</v>
      </c>
      <c r="R93" s="400" t="s">
        <v>954</v>
      </c>
      <c r="S93" s="365">
        <v>0.2</v>
      </c>
      <c r="T93" s="364" t="s">
        <v>665</v>
      </c>
      <c r="U93" s="363" t="s">
        <v>651</v>
      </c>
      <c r="V93" s="363" t="s">
        <v>666</v>
      </c>
      <c r="W93" s="391">
        <f>IF('Table H (Constants)'!F70=0,"",'Table H (Constants)'!F70)</f>
        <v>39.6</v>
      </c>
      <c r="X93" s="378">
        <f t="shared" si="4"/>
        <v>1</v>
      </c>
      <c r="Y93" s="28" t="str">
        <f t="shared" si="6"/>
        <v>Volatile chemical. Collect soil gas data for site-specific evaluation of vapor intrusion hazards if Tier 1 action levels for this hazard exceeded (see Advanced EHE Options tab of Surfer).</v>
      </c>
      <c r="Z93" s="29"/>
      <c r="AA93"/>
      <c r="AB93"/>
      <c r="AC93"/>
      <c r="AD93"/>
    </row>
    <row r="94" spans="13:30">
      <c r="M94" s="438" t="str">
        <f t="shared" si="1"/>
        <v>DICHLOROETHYLENE, Trans 1,2-</v>
      </c>
      <c r="N94" s="429" t="s">
        <v>1222</v>
      </c>
      <c r="O94" s="81" t="s">
        <v>228</v>
      </c>
      <c r="P94" s="400" t="s">
        <v>954</v>
      </c>
      <c r="Q94" s="400" t="s">
        <v>954</v>
      </c>
      <c r="R94" s="400" t="s">
        <v>954</v>
      </c>
      <c r="S94" s="365">
        <v>0.2</v>
      </c>
      <c r="T94" s="364" t="s">
        <v>665</v>
      </c>
      <c r="U94" s="363" t="s">
        <v>651</v>
      </c>
      <c r="V94" s="363" t="s">
        <v>666</v>
      </c>
      <c r="W94" s="391">
        <f>IF('Table H (Constants)'!F71=0,"",'Table H (Constants)'!F71)</f>
        <v>39.6</v>
      </c>
      <c r="X94" s="378">
        <f t="shared" si="4"/>
        <v>1</v>
      </c>
      <c r="Y94" s="28" t="str">
        <f t="shared" si="6"/>
        <v>Volatile chemical. Collect soil gas data for site-specific evaluation of vapor intrusion hazards if Tier 1 action levels for this hazard exceeded (see Advanced EHE Options tab of Surfer).</v>
      </c>
      <c r="Z94" s="29"/>
      <c r="AA94"/>
      <c r="AB94"/>
      <c r="AC94"/>
      <c r="AD94"/>
    </row>
    <row r="95" spans="13:30">
      <c r="M95" s="438" t="str">
        <f t="shared" si="1"/>
        <v>DICHLOROPHENOL, 2,4-</v>
      </c>
      <c r="N95" s="429" t="s">
        <v>1223</v>
      </c>
      <c r="O95" s="81" t="s">
        <v>942</v>
      </c>
      <c r="P95" s="400" t="s">
        <v>954</v>
      </c>
      <c r="Q95" s="400" t="s">
        <v>954</v>
      </c>
      <c r="R95" s="400" t="s">
        <v>954</v>
      </c>
      <c r="S95" s="365">
        <v>0.2</v>
      </c>
      <c r="T95" s="364" t="s">
        <v>665</v>
      </c>
      <c r="U95" s="363" t="s">
        <v>653</v>
      </c>
      <c r="V95" s="363" t="s">
        <v>666</v>
      </c>
      <c r="W95" s="391">
        <f>IF('Table H (Constants)'!F72=0,"",'Table H (Constants)'!F72)</f>
        <v>147</v>
      </c>
      <c r="X95" s="378">
        <f t="shared" si="4"/>
        <v>3</v>
      </c>
      <c r="Y95" s="28" t="str">
        <f t="shared" si="6"/>
        <v>Potentially significant soil leaching hazard and subsequent contamination of groundwater.  Batch tests recommended if soil leaching action level exceeded (see Advanced EHE Options tab of Surfer).</v>
      </c>
      <c r="Z95" s="29"/>
      <c r="AA95"/>
      <c r="AB95"/>
      <c r="AC95"/>
      <c r="AD95"/>
    </row>
    <row r="96" spans="13:30">
      <c r="M96" s="438" t="str">
        <f t="shared" si="1"/>
        <v>DICHLOROPHENOXYACETIC ACID (2,4-D)</v>
      </c>
      <c r="N96" s="429" t="s">
        <v>1224</v>
      </c>
      <c r="O96" s="1" t="s">
        <v>98</v>
      </c>
      <c r="P96" s="400" t="s">
        <v>954</v>
      </c>
      <c r="Q96" s="400" t="s">
        <v>954</v>
      </c>
      <c r="R96" s="400" t="s">
        <v>954</v>
      </c>
      <c r="S96" s="365">
        <v>0.2</v>
      </c>
      <c r="T96" s="364" t="s">
        <v>665</v>
      </c>
      <c r="U96" s="363" t="s">
        <v>653</v>
      </c>
      <c r="V96" s="363" t="s">
        <v>666</v>
      </c>
      <c r="W96" s="391">
        <f>IF('Table H (Constants)'!F73=0,"",'Table H (Constants)'!F73)</f>
        <v>29.63</v>
      </c>
      <c r="X96" s="378">
        <f t="shared" si="4"/>
        <v>3</v>
      </c>
      <c r="Y96" s="28" t="str">
        <f t="shared" si="6"/>
        <v>Potentially significant soil leaching hazard and subsequent contamination of groundwater.  Batch tests recommended if soil leaching action level exceeded (see Advanced EHE Options tab of Surfer).</v>
      </c>
      <c r="Z96" s="29"/>
      <c r="AA96"/>
      <c r="AB96"/>
      <c r="AC96"/>
      <c r="AD96"/>
    </row>
    <row r="97" spans="13:30">
      <c r="M97" s="438" t="str">
        <f t="shared" si="1"/>
        <v>DICHLOROPROPANE, 1,2-</v>
      </c>
      <c r="N97" s="429" t="s">
        <v>1225</v>
      </c>
      <c r="O97" s="81" t="s">
        <v>943</v>
      </c>
      <c r="P97" s="400">
        <v>9.9999999999999995E-7</v>
      </c>
      <c r="Q97" s="400">
        <v>9.9999999999999995E-7</v>
      </c>
      <c r="R97" s="400">
        <v>9.9999999999999995E-7</v>
      </c>
      <c r="S97" s="365">
        <v>0.2</v>
      </c>
      <c r="T97" s="364" t="s">
        <v>665</v>
      </c>
      <c r="U97" s="363" t="s">
        <v>651</v>
      </c>
      <c r="V97" s="363" t="s">
        <v>666</v>
      </c>
      <c r="W97" s="391">
        <f>IF('Table H (Constants)'!F74=0,"",'Table H (Constants)'!F74)</f>
        <v>60.7</v>
      </c>
      <c r="X97" s="378">
        <f t="shared" si="4"/>
        <v>1</v>
      </c>
      <c r="Y97" s="28" t="str">
        <f t="shared" si="6"/>
        <v>Volatile chemical. Collect soil gas data for site-specific evaluation of vapor intrusion hazards if Tier 1 action levels for this hazard exceeded (see Advanced EHE Options tab of Surfer).</v>
      </c>
      <c r="Z97" s="29"/>
      <c r="AA97"/>
      <c r="AB97"/>
      <c r="AC97"/>
      <c r="AD97"/>
    </row>
    <row r="98" spans="13:30">
      <c r="M98" s="438" t="str">
        <f t="shared" ref="M98:M161" si="7">IF($D$14=$N$27,O98,N98)</f>
        <v>DICHLOROPROPENE, 1,3-</v>
      </c>
      <c r="N98" s="429" t="s">
        <v>1226</v>
      </c>
      <c r="O98" s="81" t="s">
        <v>296</v>
      </c>
      <c r="P98" s="400">
        <v>9.9999999999999995E-7</v>
      </c>
      <c r="Q98" s="400">
        <v>9.9999999999999995E-7</v>
      </c>
      <c r="R98" s="400">
        <v>9.9999999999999995E-7</v>
      </c>
      <c r="S98" s="365">
        <v>0.2</v>
      </c>
      <c r="T98" s="364" t="s">
        <v>665</v>
      </c>
      <c r="U98" s="363" t="s">
        <v>651</v>
      </c>
      <c r="V98" s="363" t="s">
        <v>666</v>
      </c>
      <c r="W98" s="391">
        <f>IF('Table H (Constants)'!F75=0,"",'Table H (Constants)'!F75)</f>
        <v>72.17</v>
      </c>
      <c r="X98" s="378">
        <f t="shared" si="4"/>
        <v>1</v>
      </c>
      <c r="Y98" s="28" t="str">
        <f t="shared" si="6"/>
        <v>Volatile chemical. Collect soil gas data for site-specific evaluation of vapor intrusion hazards if Tier 1 action levels for this hazard exceeded (see Advanced EHE Options tab of Surfer).</v>
      </c>
      <c r="Z98" s="29"/>
      <c r="AA98"/>
      <c r="AB98"/>
      <c r="AC98"/>
      <c r="AD98"/>
    </row>
    <row r="99" spans="13:30">
      <c r="M99" s="438" t="str">
        <f t="shared" si="7"/>
        <v>DIELDRIN</v>
      </c>
      <c r="N99" s="429" t="s">
        <v>1227</v>
      </c>
      <c r="O99" s="408" t="s">
        <v>944</v>
      </c>
      <c r="P99" s="400">
        <v>1E-4</v>
      </c>
      <c r="Q99" s="400">
        <v>1E-4</v>
      </c>
      <c r="R99" s="400">
        <v>1E-4</v>
      </c>
      <c r="S99" s="365">
        <v>0.5</v>
      </c>
      <c r="T99" s="364" t="s">
        <v>665</v>
      </c>
      <c r="U99" s="363" t="s">
        <v>653</v>
      </c>
      <c r="V99" s="363" t="s">
        <v>666</v>
      </c>
      <c r="W99" s="391">
        <f>IF('Table H (Constants)'!F76=0,"",'Table H (Constants)'!F76)</f>
        <v>20090</v>
      </c>
      <c r="X99" s="378">
        <v>5</v>
      </c>
      <c r="Y99" s="409" t="s">
        <v>1064</v>
      </c>
      <c r="Z99" s="29"/>
      <c r="AA99"/>
      <c r="AB99"/>
      <c r="AC99"/>
      <c r="AD99"/>
    </row>
    <row r="100" spans="13:30">
      <c r="M100" s="438" t="str">
        <f t="shared" si="7"/>
        <v>DIETHYLPHTHALATE</v>
      </c>
      <c r="N100" s="429" t="s">
        <v>1228</v>
      </c>
      <c r="O100" s="81" t="s">
        <v>945</v>
      </c>
      <c r="P100" s="400" t="s">
        <v>954</v>
      </c>
      <c r="Q100" s="400" t="s">
        <v>954</v>
      </c>
      <c r="R100" s="400" t="s">
        <v>954</v>
      </c>
      <c r="S100" s="365">
        <v>0.2</v>
      </c>
      <c r="T100" s="364" t="s">
        <v>665</v>
      </c>
      <c r="U100" s="363" t="s">
        <v>653</v>
      </c>
      <c r="V100" s="363" t="s">
        <v>666</v>
      </c>
      <c r="W100" s="391">
        <f>IF('Table H (Constants)'!F77=0,"",'Table H (Constants)'!F77)</f>
        <v>104.9</v>
      </c>
      <c r="X100" s="378">
        <f t="shared" ref="X100:X109" si="8">IF(T100="Y",$X$20,IF(U100="V",$X$19,IF(W100&gt;30000,$X$26,IF(V100="N",$X$24,$X$22))))</f>
        <v>3</v>
      </c>
      <c r="Y100" s="28" t="str">
        <f t="shared" si="6"/>
        <v>Potentially significant soil leaching hazard and subsequent contamination of groundwater.  Batch tests recommended if soil leaching action level exceeded (see Advanced EHE Options tab of Surfer).</v>
      </c>
      <c r="Z100" s="29"/>
      <c r="AA100"/>
      <c r="AB100"/>
      <c r="AC100"/>
      <c r="AD100"/>
    </row>
    <row r="101" spans="13:30">
      <c r="M101" s="438" t="str">
        <f t="shared" si="7"/>
        <v>DIMETHYLPHENOL, 2,4-</v>
      </c>
      <c r="N101" s="429" t="s">
        <v>1229</v>
      </c>
      <c r="O101" s="81" t="s">
        <v>947</v>
      </c>
      <c r="P101" s="400" t="s">
        <v>954</v>
      </c>
      <c r="Q101" s="400" t="s">
        <v>954</v>
      </c>
      <c r="R101" s="400" t="s">
        <v>954</v>
      </c>
      <c r="S101" s="365">
        <v>0.2</v>
      </c>
      <c r="T101" s="364" t="s">
        <v>665</v>
      </c>
      <c r="U101" s="363" t="s">
        <v>651</v>
      </c>
      <c r="V101" s="363" t="s">
        <v>666</v>
      </c>
      <c r="W101" s="391">
        <f>IF('Table H (Constants)'!F78=0,"",'Table H (Constants)'!F78)</f>
        <v>491.8</v>
      </c>
      <c r="X101" s="378">
        <f t="shared" si="8"/>
        <v>1</v>
      </c>
      <c r="Y101" s="28" t="str">
        <f t="shared" si="6"/>
        <v>Volatile chemical. Collect soil gas data for site-specific evaluation of vapor intrusion hazards if Tier 1 action levels for this hazard exceeded (see Advanced EHE Options tab of Surfer).</v>
      </c>
      <c r="Z101" s="29"/>
      <c r="AA101"/>
      <c r="AB101"/>
      <c r="AC101"/>
      <c r="AD101"/>
    </row>
    <row r="102" spans="13:30">
      <c r="M102" s="438" t="str">
        <f t="shared" si="7"/>
        <v>DIMETHYLPHTHALATE</v>
      </c>
      <c r="N102" s="429" t="s">
        <v>1230</v>
      </c>
      <c r="O102" s="81" t="s">
        <v>946</v>
      </c>
      <c r="P102" s="400" t="s">
        <v>954</v>
      </c>
      <c r="Q102" s="400" t="s">
        <v>954</v>
      </c>
      <c r="R102" s="400" t="s">
        <v>954</v>
      </c>
      <c r="S102" s="365">
        <v>0.2</v>
      </c>
      <c r="T102" s="364" t="s">
        <v>665</v>
      </c>
      <c r="U102" s="363" t="s">
        <v>653</v>
      </c>
      <c r="V102" s="363" t="s">
        <v>666</v>
      </c>
      <c r="W102" s="391">
        <f>IF('Table H (Constants)'!F79=0,"",'Table H (Constants)'!F79)</f>
        <v>140</v>
      </c>
      <c r="X102" s="378">
        <f t="shared" si="8"/>
        <v>3</v>
      </c>
      <c r="Y102" s="28" t="str">
        <f t="shared" si="6"/>
        <v>Potentially significant soil leaching hazard and subsequent contamination of groundwater.  Batch tests recommended if soil leaching action level exceeded (see Advanced EHE Options tab of Surfer).</v>
      </c>
      <c r="Z102" s="29"/>
      <c r="AA102"/>
      <c r="AB102"/>
      <c r="AC102"/>
      <c r="AD102"/>
    </row>
    <row r="103" spans="13:30">
      <c r="M103" s="438" t="str">
        <f t="shared" si="7"/>
        <v>DINITROBENZENE, 1,3-</v>
      </c>
      <c r="N103" s="429" t="s">
        <v>1231</v>
      </c>
      <c r="O103" s="430" t="s">
        <v>99</v>
      </c>
      <c r="P103" s="400" t="s">
        <v>954</v>
      </c>
      <c r="Q103" s="400" t="s">
        <v>954</v>
      </c>
      <c r="R103" s="400" t="s">
        <v>954</v>
      </c>
      <c r="S103" s="365">
        <v>0.2</v>
      </c>
      <c r="T103" s="364" t="s">
        <v>665</v>
      </c>
      <c r="U103" s="363" t="s">
        <v>653</v>
      </c>
      <c r="V103" s="363" t="s">
        <v>666</v>
      </c>
      <c r="W103" s="391">
        <f>IF('Table H (Constants)'!F80=0,"",'Table H (Constants)'!F80)</f>
        <v>351.6</v>
      </c>
      <c r="X103" s="378">
        <f t="shared" si="8"/>
        <v>3</v>
      </c>
      <c r="Y103" s="28" t="str">
        <f t="shared" si="6"/>
        <v>Potentially significant soil leaching hazard and subsequent contamination of groundwater.  Batch tests recommended if soil leaching action level exceeded (see Advanced EHE Options tab of Surfer).</v>
      </c>
      <c r="Z103" s="29"/>
      <c r="AA103"/>
      <c r="AB103"/>
      <c r="AC103"/>
      <c r="AD103"/>
    </row>
    <row r="104" spans="13:30">
      <c r="M104" s="438" t="str">
        <f t="shared" si="7"/>
        <v>DINITROPHENOL, 2,4-</v>
      </c>
      <c r="N104" s="429" t="s">
        <v>1232</v>
      </c>
      <c r="O104" s="81" t="s">
        <v>297</v>
      </c>
      <c r="P104" s="400" t="s">
        <v>954</v>
      </c>
      <c r="Q104" s="400" t="s">
        <v>954</v>
      </c>
      <c r="R104" s="400" t="s">
        <v>954</v>
      </c>
      <c r="S104" s="365">
        <v>0.2</v>
      </c>
      <c r="T104" s="364" t="s">
        <v>665</v>
      </c>
      <c r="U104" s="363" t="s">
        <v>653</v>
      </c>
      <c r="V104" s="363" t="s">
        <v>666</v>
      </c>
      <c r="W104" s="391">
        <f>IF('Table H (Constants)'!F81=0,"",'Table H (Constants)'!F81)</f>
        <v>460.8</v>
      </c>
      <c r="X104" s="378">
        <f t="shared" si="8"/>
        <v>3</v>
      </c>
      <c r="Y104" s="28" t="str">
        <f t="shared" si="6"/>
        <v>Potentially significant soil leaching hazard and subsequent contamination of groundwater.  Batch tests recommended if soil leaching action level exceeded (see Advanced EHE Options tab of Surfer).</v>
      </c>
      <c r="Z104" s="29"/>
      <c r="AA104"/>
      <c r="AB104"/>
      <c r="AC104"/>
      <c r="AD104"/>
    </row>
    <row r="105" spans="13:30">
      <c r="M105" s="438" t="str">
        <f t="shared" si="7"/>
        <v>DINITROTOLUENE, 2,4- (2,4-DNT)</v>
      </c>
      <c r="N105" s="429" t="s">
        <v>1233</v>
      </c>
      <c r="O105" s="430" t="s">
        <v>100</v>
      </c>
      <c r="P105" s="400">
        <v>9.9999999999999995E-7</v>
      </c>
      <c r="Q105" s="400">
        <v>9.9999999999999995E-7</v>
      </c>
      <c r="R105" s="400">
        <v>1.0000000000000001E-5</v>
      </c>
      <c r="S105" s="365">
        <v>0.2</v>
      </c>
      <c r="T105" s="364" t="s">
        <v>665</v>
      </c>
      <c r="U105" s="363" t="s">
        <v>653</v>
      </c>
      <c r="V105" s="363" t="s">
        <v>666</v>
      </c>
      <c r="W105" s="391">
        <f>IF('Table H (Constants)'!F82=0,"",'Table H (Constants)'!F82)</f>
        <v>575.6</v>
      </c>
      <c r="X105" s="378">
        <f t="shared" si="8"/>
        <v>3</v>
      </c>
      <c r="Y105" s="28" t="str">
        <f t="shared" si="6"/>
        <v>Potentially significant soil leaching hazard and subsequent contamination of groundwater.  Batch tests recommended if soil leaching action level exceeded (see Advanced EHE Options tab of Surfer).</v>
      </c>
      <c r="Z105" s="29"/>
      <c r="AA105"/>
      <c r="AB105"/>
      <c r="AC105"/>
      <c r="AD105"/>
    </row>
    <row r="106" spans="13:30">
      <c r="M106" s="438" t="str">
        <f t="shared" si="7"/>
        <v>DINITROTOLUENE, 2,6- (2,6-DNT)</v>
      </c>
      <c r="N106" s="429" t="s">
        <v>1234</v>
      </c>
      <c r="O106" s="430" t="s">
        <v>101</v>
      </c>
      <c r="P106" s="400">
        <v>9.9999999999999995E-7</v>
      </c>
      <c r="Q106" s="400">
        <v>9.9999999999999995E-7</v>
      </c>
      <c r="R106" s="400">
        <v>1.0000000000000001E-5</v>
      </c>
      <c r="S106" s="365">
        <v>0.2</v>
      </c>
      <c r="T106" s="364" t="s">
        <v>665</v>
      </c>
      <c r="U106" s="363" t="s">
        <v>653</v>
      </c>
      <c r="V106" s="363" t="s">
        <v>666</v>
      </c>
      <c r="W106" s="391">
        <f>IF('Table H (Constants)'!F83=0,"",'Table H (Constants)'!F83)</f>
        <v>587.4</v>
      </c>
      <c r="X106" s="378">
        <f t="shared" si="8"/>
        <v>3</v>
      </c>
      <c r="Y106" s="28" t="str">
        <f t="shared" si="6"/>
        <v>Potentially significant soil leaching hazard and subsequent contamination of groundwater.  Batch tests recommended if soil leaching action level exceeded (see Advanced EHE Options tab of Surfer).</v>
      </c>
      <c r="Z106" s="29"/>
      <c r="AA106"/>
      <c r="AB106"/>
      <c r="AC106"/>
      <c r="AD106"/>
    </row>
    <row r="107" spans="13:30">
      <c r="M107" s="438" t="str">
        <f t="shared" si="7"/>
        <v>DIOXANE, 1,4-</v>
      </c>
      <c r="N107" s="429" t="s">
        <v>1235</v>
      </c>
      <c r="O107" s="81" t="s">
        <v>382</v>
      </c>
      <c r="P107" s="400">
        <v>9.9999999999999995E-7</v>
      </c>
      <c r="Q107" s="400">
        <v>9.9999999999999995E-7</v>
      </c>
      <c r="R107" s="400">
        <v>1.0000000000000001E-5</v>
      </c>
      <c r="S107" s="365">
        <v>0.2</v>
      </c>
      <c r="T107" s="364" t="s">
        <v>665</v>
      </c>
      <c r="U107" s="363" t="s">
        <v>653</v>
      </c>
      <c r="V107" s="363" t="s">
        <v>666</v>
      </c>
      <c r="W107" s="391">
        <f>IF('Table H (Constants)'!F84=0,"",'Table H (Constants)'!F84)</f>
        <v>2.6</v>
      </c>
      <c r="X107" s="378">
        <f t="shared" si="8"/>
        <v>3</v>
      </c>
      <c r="Y107" s="28" t="str">
        <f t="shared" si="6"/>
        <v>Potentially significant soil leaching hazard and subsequent contamination of groundwater.  Batch tests recommended if soil leaching action level exceeded (see Advanced EHE Options tab of Surfer).</v>
      </c>
      <c r="Z107" s="29"/>
      <c r="AA107"/>
      <c r="AB107"/>
      <c r="AC107"/>
      <c r="AD107"/>
    </row>
    <row r="108" spans="13:30">
      <c r="M108" s="438" t="str">
        <f t="shared" si="7"/>
        <v>DIOXINS (TEQ)</v>
      </c>
      <c r="N108" s="431" t="s">
        <v>1236</v>
      </c>
      <c r="O108" s="367" t="s">
        <v>594</v>
      </c>
      <c r="P108" s="400">
        <v>1E-4</v>
      </c>
      <c r="Q108" s="400">
        <v>1E-4</v>
      </c>
      <c r="R108" s="400">
        <v>1E-4</v>
      </c>
      <c r="S108" s="365">
        <v>1</v>
      </c>
      <c r="T108" s="364" t="s">
        <v>665</v>
      </c>
      <c r="U108" s="363" t="s">
        <v>653</v>
      </c>
      <c r="V108" s="363" t="s">
        <v>666</v>
      </c>
      <c r="W108" s="391">
        <f>IF('Table H (Constants)'!F85=0,"",'Table H (Constants)'!F85)</f>
        <v>249100</v>
      </c>
      <c r="X108" s="378">
        <v>2</v>
      </c>
      <c r="Y108" s="392" t="s">
        <v>1067</v>
      </c>
      <c r="Z108" s="29"/>
      <c r="AA108"/>
      <c r="AB108"/>
      <c r="AC108"/>
      <c r="AD108"/>
    </row>
    <row r="109" spans="13:30">
      <c r="M109" s="438" t="str">
        <f t="shared" si="7"/>
        <v>DIURON</v>
      </c>
      <c r="N109" s="429" t="s">
        <v>1237</v>
      </c>
      <c r="O109" s="1" t="s">
        <v>102</v>
      </c>
      <c r="P109" s="400" t="s">
        <v>954</v>
      </c>
      <c r="Q109" s="400" t="s">
        <v>954</v>
      </c>
      <c r="R109" s="400" t="s">
        <v>954</v>
      </c>
      <c r="S109" s="365">
        <v>0.2</v>
      </c>
      <c r="T109" s="364" t="s">
        <v>665</v>
      </c>
      <c r="U109" s="363" t="s">
        <v>653</v>
      </c>
      <c r="V109" s="363" t="s">
        <v>666</v>
      </c>
      <c r="W109" s="391">
        <f>IF('Table H (Constants)'!F86=0,"",'Table H (Constants)'!F86)</f>
        <v>109.1</v>
      </c>
      <c r="X109" s="378">
        <f t="shared" si="8"/>
        <v>3</v>
      </c>
      <c r="Y109" s="28" t="str">
        <f>IF(X109=$X$19,$Y$19,IF(X109=$X$20,$Y$20,IF(X109=$X$22,$Y$22,IF(X109=$X$24,$Y$24,$Y$26))))</f>
        <v>Potentially significant soil leaching hazard and subsequent contamination of groundwater.  Batch tests recommended if soil leaching action level exceeded (see Advanced EHE Options tab of Surfer).</v>
      </c>
      <c r="Z109" s="29"/>
      <c r="AA109"/>
      <c r="AB109"/>
      <c r="AC109"/>
      <c r="AD109"/>
    </row>
    <row r="110" spans="13:30">
      <c r="M110" s="438" t="str">
        <f t="shared" si="7"/>
        <v>ENDOSULFAN</v>
      </c>
      <c r="N110" s="429" t="s">
        <v>1238</v>
      </c>
      <c r="O110" s="81" t="s">
        <v>370</v>
      </c>
      <c r="P110" s="400" t="s">
        <v>954</v>
      </c>
      <c r="Q110" s="400" t="s">
        <v>954</v>
      </c>
      <c r="R110" s="400" t="s">
        <v>954</v>
      </c>
      <c r="S110" s="365">
        <v>0.2</v>
      </c>
      <c r="T110" s="364" t="s">
        <v>665</v>
      </c>
      <c r="U110" s="363" t="s">
        <v>653</v>
      </c>
      <c r="V110" s="363" t="s">
        <v>666</v>
      </c>
      <c r="W110" s="391">
        <f>IF('Table H (Constants)'!F87=0,"",'Table H (Constants)'!F87)</f>
        <v>6761</v>
      </c>
      <c r="X110" s="378">
        <v>5</v>
      </c>
      <c r="Y110" s="406" t="s">
        <v>1084</v>
      </c>
      <c r="Z110" s="29"/>
      <c r="AA110"/>
      <c r="AB110"/>
      <c r="AC110"/>
      <c r="AD110"/>
    </row>
    <row r="111" spans="13:30">
      <c r="M111" s="438" t="str">
        <f t="shared" si="7"/>
        <v>ENDRIN</v>
      </c>
      <c r="N111" s="429" t="s">
        <v>1239</v>
      </c>
      <c r="O111" s="81" t="s">
        <v>337</v>
      </c>
      <c r="P111" s="400" t="s">
        <v>954</v>
      </c>
      <c r="Q111" s="400" t="s">
        <v>954</v>
      </c>
      <c r="R111" s="400" t="s">
        <v>954</v>
      </c>
      <c r="S111" s="365">
        <v>0.2</v>
      </c>
      <c r="T111" s="364" t="s">
        <v>665</v>
      </c>
      <c r="U111" s="363" t="s">
        <v>653</v>
      </c>
      <c r="V111" s="363" t="s">
        <v>666</v>
      </c>
      <c r="W111" s="391">
        <f>IF('Table H (Constants)'!F88=0,"",'Table H (Constants)'!F88)</f>
        <v>20090</v>
      </c>
      <c r="X111" s="378">
        <v>5</v>
      </c>
      <c r="Y111" s="406" t="s">
        <v>1086</v>
      </c>
      <c r="Z111" s="29"/>
      <c r="AA111"/>
      <c r="AB111"/>
      <c r="AC111"/>
      <c r="AD111"/>
    </row>
    <row r="112" spans="13:30">
      <c r="M112" s="438" t="str">
        <f t="shared" si="7"/>
        <v>ETHANOL</v>
      </c>
      <c r="N112" s="429" t="s">
        <v>1240</v>
      </c>
      <c r="O112" s="367" t="s">
        <v>28</v>
      </c>
      <c r="P112" s="400" t="s">
        <v>954</v>
      </c>
      <c r="Q112" s="400" t="s">
        <v>954</v>
      </c>
      <c r="R112" s="400" t="s">
        <v>954</v>
      </c>
      <c r="S112" s="365">
        <v>0.2</v>
      </c>
      <c r="T112" s="364" t="s">
        <v>665</v>
      </c>
      <c r="U112" s="363" t="s">
        <v>653</v>
      </c>
      <c r="V112" s="363" t="s">
        <v>665</v>
      </c>
      <c r="W112" s="391">
        <f>IF('Table H (Constants)'!F89=0,"",'Table H (Constants)'!F89)</f>
        <v>0.309</v>
      </c>
      <c r="X112" s="378">
        <f>IF(T112="Y",$X$20,IF(U112="V",$X$19,IF(W112&gt;30000,$X$26,IF(V112="N",$X$24,$X$22))))</f>
        <v>4</v>
      </c>
      <c r="Y112" s="366" t="s">
        <v>580</v>
      </c>
      <c r="Z112" s="29"/>
      <c r="AA112"/>
      <c r="AB112"/>
      <c r="AC112"/>
      <c r="AD112"/>
    </row>
    <row r="113" spans="13:30">
      <c r="M113" s="438" t="str">
        <f t="shared" si="7"/>
        <v>ETHYLBENZENE</v>
      </c>
      <c r="N113" s="429" t="s">
        <v>1241</v>
      </c>
      <c r="O113" s="81" t="s">
        <v>338</v>
      </c>
      <c r="P113" s="400">
        <v>1.0000000000000001E-5</v>
      </c>
      <c r="Q113" s="400">
        <v>1.0000000000000001E-5</v>
      </c>
      <c r="R113" s="400">
        <v>9.9999999999999995E-7</v>
      </c>
      <c r="S113" s="365">
        <v>0.2</v>
      </c>
      <c r="T113" s="364" t="s">
        <v>665</v>
      </c>
      <c r="U113" s="363" t="s">
        <v>651</v>
      </c>
      <c r="V113" s="363" t="s">
        <v>665</v>
      </c>
      <c r="W113" s="391">
        <f>IF('Table H (Constants)'!F90=0,"",'Table H (Constants)'!F90)</f>
        <v>446.1</v>
      </c>
      <c r="X113" s="378">
        <f>IF(T113="Y",$X$20,IF(U113="V",$X$19,IF(W113&gt;30000,$X$26,IF(V113="N",$X$24,$X$22))))</f>
        <v>1</v>
      </c>
      <c r="Y113" s="28" t="str">
        <f t="shared" ref="Y113:Y130" si="9">IF(X113=$X$19,$Y$19,IF(X113=$X$20,$Y$20,IF(X113=$X$22,$Y$22,IF(X113=$X$24,$Y$24,$Y$26))))</f>
        <v>Volatile chemical. Collect soil gas data for site-specific evaluation of vapor intrusion hazards if Tier 1 action levels for this hazard exceeded (see Advanced EHE Options tab of Surfer).</v>
      </c>
      <c r="Z113" s="29"/>
      <c r="AA113"/>
      <c r="AB113"/>
      <c r="AC113"/>
      <c r="AD113"/>
    </row>
    <row r="114" spans="13:30">
      <c r="M114" s="438" t="str">
        <f t="shared" si="7"/>
        <v>FLUORANTHENE</v>
      </c>
      <c r="N114" s="429" t="s">
        <v>1242</v>
      </c>
      <c r="O114" s="81" t="s">
        <v>339</v>
      </c>
      <c r="P114" s="400" t="s">
        <v>954</v>
      </c>
      <c r="Q114" s="400" t="s">
        <v>954</v>
      </c>
      <c r="R114" s="400" t="s">
        <v>954</v>
      </c>
      <c r="S114" s="365">
        <v>0.2</v>
      </c>
      <c r="T114" s="364" t="s">
        <v>665</v>
      </c>
      <c r="U114" s="363" t="s">
        <v>653</v>
      </c>
      <c r="V114" s="363" t="s">
        <v>666</v>
      </c>
      <c r="W114" s="391">
        <f>IF('Table H (Constants)'!F91=0,"",'Table H (Constants)'!F91)</f>
        <v>55450</v>
      </c>
      <c r="X114" s="378">
        <f>IF(T114="Y",$X$20,IF(U114="V",$X$19,IF(W114&gt;30000,$X$26,IF(V114="N",$X$24,$X$22))))</f>
        <v>5</v>
      </c>
      <c r="Y114" s="28" t="str">
        <f t="shared" si="9"/>
        <v>Not anticipated to be significantly mobile in soil or groundwater.  Batch tests recommended if soil leaching action level exceeded (see Advanced EHE Options tab of Surfer). Evaluate potential surface runoff hazards into aquatic habitats.</v>
      </c>
      <c r="Z114" s="29"/>
      <c r="AA114"/>
      <c r="AB114"/>
      <c r="AC114"/>
      <c r="AD114"/>
    </row>
    <row r="115" spans="13:30">
      <c r="M115" s="438" t="str">
        <f t="shared" si="7"/>
        <v>FLUORENE</v>
      </c>
      <c r="N115" s="429" t="s">
        <v>1243</v>
      </c>
      <c r="O115" s="81" t="s">
        <v>340</v>
      </c>
      <c r="P115" s="400" t="s">
        <v>954</v>
      </c>
      <c r="Q115" s="400" t="s">
        <v>954</v>
      </c>
      <c r="R115" s="400" t="s">
        <v>954</v>
      </c>
      <c r="S115" s="365">
        <v>0.2</v>
      </c>
      <c r="T115" s="364" t="s">
        <v>665</v>
      </c>
      <c r="U115" s="363" t="s">
        <v>651</v>
      </c>
      <c r="V115" s="363" t="s">
        <v>665</v>
      </c>
      <c r="W115" s="391">
        <f>IF('Table H (Constants)'!F92=0,"",'Table H (Constants)'!F92)</f>
        <v>9160</v>
      </c>
      <c r="X115" s="378">
        <v>5</v>
      </c>
      <c r="Y115" s="28" t="str">
        <f t="shared" si="9"/>
        <v>Not anticipated to be significantly mobile in soil or groundwater.  Batch tests recommended if soil leaching action level exceeded (see Advanced EHE Options tab of Surfer). Evaluate potential surface runoff hazards into aquatic habitats.</v>
      </c>
      <c r="Z115" s="29"/>
      <c r="AA115"/>
      <c r="AB115"/>
      <c r="AC115"/>
      <c r="AD115"/>
    </row>
    <row r="116" spans="13:30">
      <c r="M116" s="438" t="str">
        <f t="shared" si="7"/>
        <v>GLYPHOSATE</v>
      </c>
      <c r="N116" s="429" t="s">
        <v>1244</v>
      </c>
      <c r="O116" s="1" t="s">
        <v>103</v>
      </c>
      <c r="P116" s="400" t="s">
        <v>954</v>
      </c>
      <c r="Q116" s="400" t="s">
        <v>954</v>
      </c>
      <c r="R116" s="400" t="s">
        <v>954</v>
      </c>
      <c r="S116" s="365">
        <v>0.2</v>
      </c>
      <c r="T116" s="364" t="s">
        <v>665</v>
      </c>
      <c r="U116" s="363" t="s">
        <v>653</v>
      </c>
      <c r="V116" s="363" t="s">
        <v>665</v>
      </c>
      <c r="W116" s="391">
        <f>IF('Table H (Constants)'!F93=0,"",'Table H (Constants)'!F93)</f>
        <v>2100</v>
      </c>
      <c r="X116" s="378">
        <f>IF(T116="Y",$X$20,IF(U116="V",$X$19,IF(W116&gt;30000,$X$26,IF(V116="N",$X$24,$X$22))))</f>
        <v>4</v>
      </c>
      <c r="Y116" s="28" t="str">
        <f t="shared" si="9"/>
        <v>Non-persistent contaminant with relatively low mobility potential.  Consider natural attenuation over time in final remedial actions.  See Advanced EHE Options tab of Surfer.</v>
      </c>
      <c r="Z116" s="29"/>
      <c r="AA116"/>
      <c r="AB116"/>
      <c r="AC116"/>
      <c r="AD116"/>
    </row>
    <row r="117" spans="13:30">
      <c r="M117" s="438" t="str">
        <f t="shared" si="7"/>
        <v>HEPTACHLOR</v>
      </c>
      <c r="N117" s="429" t="s">
        <v>1245</v>
      </c>
      <c r="O117" s="81" t="s">
        <v>341</v>
      </c>
      <c r="P117" s="400">
        <v>1.0000000000000001E-5</v>
      </c>
      <c r="Q117" s="400">
        <v>1.0000000000000001E-5</v>
      </c>
      <c r="R117" s="400">
        <v>1.0000000000000001E-5</v>
      </c>
      <c r="S117" s="365">
        <v>0.2</v>
      </c>
      <c r="T117" s="364" t="s">
        <v>665</v>
      </c>
      <c r="U117" s="363" t="s">
        <v>653</v>
      </c>
      <c r="V117" s="363" t="s">
        <v>666</v>
      </c>
      <c r="W117" s="391">
        <f>IF('Table H (Constants)'!F94=0,"",'Table H (Constants)'!F94)</f>
        <v>41260</v>
      </c>
      <c r="X117" s="378">
        <f>IF(T117="Y",$X$20,IF(U117="V",$X$19,IF(W117&gt;30000,$X$26,IF(V117="N",$X$24,$X$22))))</f>
        <v>5</v>
      </c>
      <c r="Y117" s="28" t="str">
        <f t="shared" si="9"/>
        <v>Not anticipated to be significantly mobile in soil or groundwater.  Batch tests recommended if soil leaching action level exceeded (see Advanced EHE Options tab of Surfer). Evaluate potential surface runoff hazards into aquatic habitats.</v>
      </c>
      <c r="Z117" s="29"/>
      <c r="AA117"/>
      <c r="AB117"/>
      <c r="AC117"/>
      <c r="AD117"/>
    </row>
    <row r="118" spans="13:30">
      <c r="M118" s="438" t="str">
        <f t="shared" si="7"/>
        <v>HEPTACHLOR EPOXIDE</v>
      </c>
      <c r="N118" s="429" t="s">
        <v>1246</v>
      </c>
      <c r="O118" s="81" t="s">
        <v>342</v>
      </c>
      <c r="P118" s="400">
        <v>1.0000000000000001E-5</v>
      </c>
      <c r="Q118" s="400">
        <v>1.0000000000000001E-5</v>
      </c>
      <c r="R118" s="400">
        <v>1.0000000000000001E-5</v>
      </c>
      <c r="S118" s="365">
        <v>0.2</v>
      </c>
      <c r="T118" s="364" t="s">
        <v>665</v>
      </c>
      <c r="U118" s="363" t="s">
        <v>653</v>
      </c>
      <c r="V118" s="363" t="s">
        <v>666</v>
      </c>
      <c r="W118" s="391">
        <f>IF('Table H (Constants)'!F95=0,"",'Table H (Constants)'!F95)</f>
        <v>10110</v>
      </c>
      <c r="X118" s="378">
        <v>5</v>
      </c>
      <c r="Y118" s="28" t="str">
        <f t="shared" si="9"/>
        <v>Not anticipated to be significantly mobile in soil or groundwater.  Batch tests recommended if soil leaching action level exceeded (see Advanced EHE Options tab of Surfer). Evaluate potential surface runoff hazards into aquatic habitats.</v>
      </c>
      <c r="Z118" s="29"/>
      <c r="AA118"/>
      <c r="AB118"/>
      <c r="AC118"/>
      <c r="AD118"/>
    </row>
    <row r="119" spans="13:30">
      <c r="M119" s="438" t="str">
        <f t="shared" si="7"/>
        <v>HEXACHLOROBENZENE</v>
      </c>
      <c r="N119" s="429" t="s">
        <v>1247</v>
      </c>
      <c r="O119" s="81" t="s">
        <v>371</v>
      </c>
      <c r="P119" s="400">
        <v>9.9999999999999995E-7</v>
      </c>
      <c r="Q119" s="400">
        <v>9.9999999999999995E-7</v>
      </c>
      <c r="R119" s="400">
        <v>1.0000000000000001E-5</v>
      </c>
      <c r="S119" s="365">
        <v>0.2</v>
      </c>
      <c r="T119" s="364" t="s">
        <v>665</v>
      </c>
      <c r="U119" s="363" t="s">
        <v>653</v>
      </c>
      <c r="V119" s="363" t="s">
        <v>666</v>
      </c>
      <c r="W119" s="391">
        <f>IF('Table H (Constants)'!F96=0,"",'Table H (Constants)'!F96)</f>
        <v>6195</v>
      </c>
      <c r="X119" s="378">
        <f t="shared" ref="X119:X133" si="10">IF(T119="Y",$X$20,IF(U119="V",$X$19,IF(W119&gt;30000,$X$26,IF(V119="N",$X$24,$X$22))))</f>
        <v>3</v>
      </c>
      <c r="Y119" s="28" t="str">
        <f t="shared" si="9"/>
        <v>Potentially significant soil leaching hazard and subsequent contamination of groundwater.  Batch tests recommended if soil leaching action level exceeded (see Advanced EHE Options tab of Surfer).</v>
      </c>
      <c r="Z119" s="29"/>
      <c r="AA119"/>
      <c r="AB119"/>
      <c r="AC119"/>
      <c r="AD119"/>
    </row>
    <row r="120" spans="13:30">
      <c r="M120" s="438" t="str">
        <f t="shared" si="7"/>
        <v>HEXACHLOROBUTADIENE</v>
      </c>
      <c r="N120" s="429" t="s">
        <v>1248</v>
      </c>
      <c r="O120" s="81" t="s">
        <v>343</v>
      </c>
      <c r="P120" s="400">
        <v>9.9999999999999995E-7</v>
      </c>
      <c r="Q120" s="400">
        <v>9.9999999999999995E-7</v>
      </c>
      <c r="R120" s="400">
        <v>1.0000000000000001E-5</v>
      </c>
      <c r="S120" s="365">
        <v>0.2</v>
      </c>
      <c r="T120" s="364" t="s">
        <v>665</v>
      </c>
      <c r="U120" s="363" t="s">
        <v>653</v>
      </c>
      <c r="V120" s="363" t="s">
        <v>666</v>
      </c>
      <c r="W120" s="391">
        <f>IF('Table H (Constants)'!F97=0,"",'Table H (Constants)'!F97)</f>
        <v>845.2</v>
      </c>
      <c r="X120" s="378">
        <f t="shared" si="10"/>
        <v>3</v>
      </c>
      <c r="Y120" s="28" t="str">
        <f t="shared" si="9"/>
        <v>Potentially significant soil leaching hazard and subsequent contamination of groundwater.  Batch tests recommended if soil leaching action level exceeded (see Advanced EHE Options tab of Surfer).</v>
      </c>
      <c r="Z120" s="29"/>
      <c r="AA120"/>
      <c r="AB120"/>
      <c r="AC120"/>
      <c r="AD120"/>
    </row>
    <row r="121" spans="13:30" ht="25.5">
      <c r="M121" s="438" t="str">
        <f t="shared" si="7"/>
        <v>HEXACHLOROCYCLOHEXANE (gamma) LINDANE</v>
      </c>
      <c r="N121" s="429" t="s">
        <v>1249</v>
      </c>
      <c r="O121" s="81" t="s">
        <v>364</v>
      </c>
      <c r="P121" s="400">
        <v>9.9999999999999995E-7</v>
      </c>
      <c r="Q121" s="400">
        <v>9.9999999999999995E-7</v>
      </c>
      <c r="R121" s="400">
        <v>1.0000000000000001E-5</v>
      </c>
      <c r="S121" s="365">
        <v>0.2</v>
      </c>
      <c r="T121" s="364" t="s">
        <v>665</v>
      </c>
      <c r="U121" s="363" t="s">
        <v>653</v>
      </c>
      <c r="V121" s="363" t="s">
        <v>666</v>
      </c>
      <c r="W121" s="391">
        <f>IF('Table H (Constants)'!F98=0,"",'Table H (Constants)'!F98)</f>
        <v>2807</v>
      </c>
      <c r="X121" s="378">
        <f t="shared" si="10"/>
        <v>3</v>
      </c>
      <c r="Y121" s="28" t="str">
        <f t="shared" si="9"/>
        <v>Potentially significant soil leaching hazard and subsequent contamination of groundwater.  Batch tests recommended if soil leaching action level exceeded (see Advanced EHE Options tab of Surfer).</v>
      </c>
      <c r="Z121" s="29"/>
      <c r="AA121"/>
      <c r="AB121"/>
      <c r="AC121"/>
      <c r="AD121"/>
    </row>
    <row r="122" spans="13:30">
      <c r="M122" s="438" t="str">
        <f t="shared" si="7"/>
        <v>HEXACHLOROETHANE</v>
      </c>
      <c r="N122" s="429" t="s">
        <v>1250</v>
      </c>
      <c r="O122" s="81" t="s">
        <v>344</v>
      </c>
      <c r="P122" s="400">
        <v>9.9999999999999995E-7</v>
      </c>
      <c r="Q122" s="400">
        <v>9.9999999999999995E-7</v>
      </c>
      <c r="R122" s="400">
        <v>1.0000000000000001E-5</v>
      </c>
      <c r="S122" s="365">
        <v>0.2</v>
      </c>
      <c r="T122" s="364" t="s">
        <v>665</v>
      </c>
      <c r="U122" s="363" t="s">
        <v>653</v>
      </c>
      <c r="V122" s="363" t="s">
        <v>666</v>
      </c>
      <c r="W122" s="391">
        <f>IF('Table H (Constants)'!F99=0,"",'Table H (Constants)'!F99)</f>
        <v>196.8</v>
      </c>
      <c r="X122" s="378">
        <f t="shared" si="10"/>
        <v>3</v>
      </c>
      <c r="Y122" s="28" t="str">
        <f t="shared" si="9"/>
        <v>Potentially significant soil leaching hazard and subsequent contamination of groundwater.  Batch tests recommended if soil leaching action level exceeded (see Advanced EHE Options tab of Surfer).</v>
      </c>
      <c r="Z122" s="29"/>
      <c r="AA122"/>
      <c r="AB122"/>
      <c r="AC122"/>
      <c r="AD122"/>
    </row>
    <row r="123" spans="13:30">
      <c r="M123" s="438" t="str">
        <f t="shared" si="7"/>
        <v>HEXAZINONE</v>
      </c>
      <c r="N123" s="429" t="s">
        <v>1251</v>
      </c>
      <c r="O123" s="1" t="s">
        <v>104</v>
      </c>
      <c r="P123" s="400" t="s">
        <v>954</v>
      </c>
      <c r="Q123" s="400" t="s">
        <v>954</v>
      </c>
      <c r="R123" s="400" t="s">
        <v>954</v>
      </c>
      <c r="S123" s="365">
        <v>0.2</v>
      </c>
      <c r="T123" s="364" t="s">
        <v>665</v>
      </c>
      <c r="U123" s="363" t="s">
        <v>653</v>
      </c>
      <c r="V123" s="363" t="s">
        <v>666</v>
      </c>
      <c r="W123" s="391">
        <f>IF('Table H (Constants)'!F100=0,"",'Table H (Constants)'!F100)</f>
        <v>129.4</v>
      </c>
      <c r="X123" s="378">
        <f t="shared" si="10"/>
        <v>3</v>
      </c>
      <c r="Y123" s="28" t="str">
        <f t="shared" si="9"/>
        <v>Potentially significant soil leaching hazard and subsequent contamination of groundwater.  Batch tests recommended if soil leaching action level exceeded (see Advanced EHE Options tab of Surfer).</v>
      </c>
      <c r="Z123" s="29"/>
      <c r="AA123"/>
      <c r="AB123"/>
      <c r="AC123"/>
      <c r="AD123"/>
    </row>
    <row r="124" spans="13:30">
      <c r="M124" s="438" t="str">
        <f t="shared" si="7"/>
        <v>INDENO(1,2,3-cd)PYRENE</v>
      </c>
      <c r="N124" s="429" t="s">
        <v>1252</v>
      </c>
      <c r="O124" s="81" t="s">
        <v>345</v>
      </c>
      <c r="P124" s="400">
        <v>1.0000000000000001E-5</v>
      </c>
      <c r="Q124" s="400">
        <v>1.0000000000000001E-5</v>
      </c>
      <c r="R124" s="400">
        <v>1.0000000000000001E-5</v>
      </c>
      <c r="S124" s="365">
        <v>0.2</v>
      </c>
      <c r="T124" s="364" t="s">
        <v>665</v>
      </c>
      <c r="U124" s="363" t="s">
        <v>653</v>
      </c>
      <c r="V124" s="363" t="s">
        <v>666</v>
      </c>
      <c r="W124" s="391">
        <f>IF('Table H (Constants)'!F101=0,"",'Table H (Constants)'!F101)</f>
        <v>1951000</v>
      </c>
      <c r="X124" s="378">
        <f t="shared" si="10"/>
        <v>5</v>
      </c>
      <c r="Y124" s="28" t="str">
        <f t="shared" si="9"/>
        <v>Not anticipated to be significantly mobile in soil or groundwater.  Batch tests recommended if soil leaching action level exceeded (see Advanced EHE Options tab of Surfer). Evaluate potential surface runoff hazards into aquatic habitats.</v>
      </c>
      <c r="Z124" s="29"/>
      <c r="AA124"/>
      <c r="AB124"/>
      <c r="AC124"/>
      <c r="AD124"/>
    </row>
    <row r="125" spans="13:30">
      <c r="M125" s="438" t="str">
        <f t="shared" si="7"/>
        <v>ISOPHORONE</v>
      </c>
      <c r="N125" s="429" t="s">
        <v>1253</v>
      </c>
      <c r="O125" s="1" t="s">
        <v>105</v>
      </c>
      <c r="P125" s="400">
        <v>9.9999999999999995E-7</v>
      </c>
      <c r="Q125" s="400">
        <v>9.9999999999999995E-7</v>
      </c>
      <c r="R125" s="400">
        <v>1.0000000000000001E-5</v>
      </c>
      <c r="S125" s="365">
        <v>0.2</v>
      </c>
      <c r="T125" s="364" t="s">
        <v>665</v>
      </c>
      <c r="U125" s="363" t="s">
        <v>653</v>
      </c>
      <c r="V125" s="363" t="s">
        <v>666</v>
      </c>
      <c r="W125" s="391">
        <f>IF('Table H (Constants)'!F102=0,"",'Table H (Constants)'!F102)</f>
        <v>65</v>
      </c>
      <c r="X125" s="378">
        <f t="shared" si="10"/>
        <v>3</v>
      </c>
      <c r="Y125" s="28" t="str">
        <f t="shared" si="9"/>
        <v>Potentially significant soil leaching hazard and subsequent contamination of groundwater.  Batch tests recommended if soil leaching action level exceeded (see Advanced EHE Options tab of Surfer).</v>
      </c>
      <c r="Z125" s="29"/>
      <c r="AA125"/>
      <c r="AB125"/>
      <c r="AC125"/>
      <c r="AD125"/>
    </row>
    <row r="126" spans="13:30">
      <c r="M126" s="438" t="str">
        <f t="shared" si="7"/>
        <v>LEAD</v>
      </c>
      <c r="N126" s="429" t="s">
        <v>1254</v>
      </c>
      <c r="O126" s="81" t="s">
        <v>346</v>
      </c>
      <c r="P126" s="400" t="s">
        <v>954</v>
      </c>
      <c r="Q126" s="400" t="s">
        <v>954</v>
      </c>
      <c r="R126" s="400" t="s">
        <v>954</v>
      </c>
      <c r="S126" s="365">
        <v>0.2</v>
      </c>
      <c r="T126" s="364" t="s">
        <v>666</v>
      </c>
      <c r="U126" s="363" t="s">
        <v>653</v>
      </c>
      <c r="V126" s="363" t="s">
        <v>666</v>
      </c>
      <c r="W126" s="391" t="str">
        <f>IF('Table H (Constants)'!F103=0,"",'Table H (Constants)'!F103)</f>
        <v/>
      </c>
      <c r="X126" s="378">
        <f t="shared" si="10"/>
        <v>2</v>
      </c>
      <c r="Y126" s="28" t="str">
        <f t="shared" si="9"/>
        <v>Naturally occurring metal.  Action levels for leaching of metals from soil and subsequent contamination of groundwater not developed.  Batch tests and/or groundwater monitoring recommended if soil background exceeded (see Advanced EHE Options tab of Surfer).</v>
      </c>
      <c r="Z126" s="29"/>
      <c r="AA126"/>
      <c r="AB126"/>
      <c r="AC126"/>
      <c r="AD126"/>
    </row>
    <row r="127" spans="13:30">
      <c r="M127" s="438" t="str">
        <f t="shared" si="7"/>
        <v>MERCURY</v>
      </c>
      <c r="N127" s="429" t="s">
        <v>1745</v>
      </c>
      <c r="O127" s="81" t="s">
        <v>347</v>
      </c>
      <c r="P127" s="400" t="s">
        <v>954</v>
      </c>
      <c r="Q127" s="400" t="s">
        <v>954</v>
      </c>
      <c r="R127" s="400" t="s">
        <v>954</v>
      </c>
      <c r="S127" s="365">
        <v>0.2</v>
      </c>
      <c r="T127" s="364" t="s">
        <v>666</v>
      </c>
      <c r="U127" s="363" t="s">
        <v>651</v>
      </c>
      <c r="V127" s="363" t="s">
        <v>666</v>
      </c>
      <c r="W127" s="391" t="str">
        <f>IF('Table H (Constants)'!F104=0,"",'Table H (Constants)'!F104)</f>
        <v/>
      </c>
      <c r="X127" s="378">
        <f t="shared" si="10"/>
        <v>2</v>
      </c>
      <c r="Y127" s="28" t="str">
        <f t="shared" si="9"/>
        <v>Naturally occurring metal.  Action levels for leaching of metals from soil and subsequent contamination of groundwater not developed.  Batch tests and/or groundwater monitoring recommended if soil background exceeded (see Advanced EHE Options tab of Surfer).</v>
      </c>
      <c r="Z127" s="29"/>
      <c r="AA127"/>
      <c r="AB127"/>
      <c r="AC127"/>
      <c r="AD127"/>
    </row>
    <row r="128" spans="13:30">
      <c r="M128" s="438" t="str">
        <f t="shared" si="7"/>
        <v>METHOXYCHLOR</v>
      </c>
      <c r="N128" s="429" t="s">
        <v>1255</v>
      </c>
      <c r="O128" s="81" t="s">
        <v>348</v>
      </c>
      <c r="P128" s="400" t="s">
        <v>954</v>
      </c>
      <c r="Q128" s="400" t="s">
        <v>954</v>
      </c>
      <c r="R128" s="400" t="s">
        <v>954</v>
      </c>
      <c r="S128" s="365">
        <v>0.2</v>
      </c>
      <c r="T128" s="364" t="s">
        <v>665</v>
      </c>
      <c r="U128" s="363" t="s">
        <v>653</v>
      </c>
      <c r="V128" s="363" t="s">
        <v>666</v>
      </c>
      <c r="W128" s="391">
        <f>IF('Table H (Constants)'!F105=0,"",'Table H (Constants)'!F105)</f>
        <v>26890</v>
      </c>
      <c r="X128" s="378">
        <f t="shared" si="10"/>
        <v>3</v>
      </c>
      <c r="Y128" s="28" t="str">
        <f t="shared" si="9"/>
        <v>Potentially significant soil leaching hazard and subsequent contamination of groundwater.  Batch tests recommended if soil leaching action level exceeded (see Advanced EHE Options tab of Surfer).</v>
      </c>
      <c r="Z128" s="29"/>
      <c r="AA128"/>
      <c r="AB128"/>
      <c r="AC128"/>
      <c r="AD128"/>
    </row>
    <row r="129" spans="13:30">
      <c r="M129" s="438" t="str">
        <f t="shared" si="7"/>
        <v>METHYL ETHYL KETONE</v>
      </c>
      <c r="N129" s="429" t="s">
        <v>1256</v>
      </c>
      <c r="O129" s="81" t="s">
        <v>350</v>
      </c>
      <c r="P129" s="400" t="s">
        <v>954</v>
      </c>
      <c r="Q129" s="400" t="s">
        <v>954</v>
      </c>
      <c r="R129" s="400" t="s">
        <v>954</v>
      </c>
      <c r="S129" s="365">
        <v>0.2</v>
      </c>
      <c r="T129" s="364" t="s">
        <v>665</v>
      </c>
      <c r="U129" s="363" t="s">
        <v>651</v>
      </c>
      <c r="V129" s="363" t="s">
        <v>666</v>
      </c>
      <c r="W129" s="391">
        <f>IF('Table H (Constants)'!F106=0,"",'Table H (Constants)'!F106)</f>
        <v>4.51</v>
      </c>
      <c r="X129" s="378">
        <f t="shared" si="10"/>
        <v>1</v>
      </c>
      <c r="Y129" s="28" t="str">
        <f t="shared" si="9"/>
        <v>Volatile chemical. Collect soil gas data for site-specific evaluation of vapor intrusion hazards if Tier 1 action levels for this hazard exceeded (see Advanced EHE Options tab of Surfer).</v>
      </c>
      <c r="Z129" s="29"/>
      <c r="AA129"/>
      <c r="AB129"/>
      <c r="AC129"/>
      <c r="AD129"/>
    </row>
    <row r="130" spans="13:30">
      <c r="M130" s="438" t="str">
        <f t="shared" si="7"/>
        <v>METHYL ISOBUTYL KETONE</v>
      </c>
      <c r="N130" s="429" t="s">
        <v>1257</v>
      </c>
      <c r="O130" s="81" t="s">
        <v>351</v>
      </c>
      <c r="P130" s="400" t="s">
        <v>954</v>
      </c>
      <c r="Q130" s="400" t="s">
        <v>954</v>
      </c>
      <c r="R130" s="400" t="s">
        <v>954</v>
      </c>
      <c r="S130" s="365">
        <v>0.2</v>
      </c>
      <c r="T130" s="364" t="s">
        <v>665</v>
      </c>
      <c r="U130" s="363" t="s">
        <v>651</v>
      </c>
      <c r="V130" s="363" t="s">
        <v>666</v>
      </c>
      <c r="W130" s="391">
        <f>IF('Table H (Constants)'!F107=0,"",'Table H (Constants)'!F107)</f>
        <v>12.6</v>
      </c>
      <c r="X130" s="378">
        <f t="shared" si="10"/>
        <v>1</v>
      </c>
      <c r="Y130" s="28" t="str">
        <f t="shared" si="9"/>
        <v>Volatile chemical. Collect soil gas data for site-specific evaluation of vapor intrusion hazards if Tier 1 action levels for this hazard exceeded (see Advanced EHE Options tab of Surfer).</v>
      </c>
      <c r="Z130" s="29"/>
      <c r="AA130"/>
      <c r="AB130"/>
      <c r="AC130"/>
      <c r="AD130"/>
    </row>
    <row r="131" spans="13:30">
      <c r="M131" s="438" t="str">
        <f t="shared" si="7"/>
        <v>METHYL MERCURY</v>
      </c>
      <c r="N131" s="429" t="s">
        <v>1258</v>
      </c>
      <c r="O131" s="367" t="s">
        <v>352</v>
      </c>
      <c r="P131" s="400" t="s">
        <v>954</v>
      </c>
      <c r="Q131" s="400" t="s">
        <v>954</v>
      </c>
      <c r="R131" s="400" t="s">
        <v>954</v>
      </c>
      <c r="S131" s="365">
        <v>0.2</v>
      </c>
      <c r="T131" s="364" t="s">
        <v>666</v>
      </c>
      <c r="U131" s="363" t="s">
        <v>653</v>
      </c>
      <c r="V131" s="363" t="s">
        <v>666</v>
      </c>
      <c r="W131" s="391" t="str">
        <f>IF('Table H (Constants)'!F108=0,"",'Table H (Constants)'!F108)</f>
        <v/>
      </c>
      <c r="X131" s="378">
        <f t="shared" si="10"/>
        <v>2</v>
      </c>
      <c r="Y131" s="392" t="s">
        <v>983</v>
      </c>
      <c r="Z131" s="29"/>
      <c r="AA131"/>
      <c r="AB131"/>
      <c r="AC131"/>
      <c r="AD131"/>
    </row>
    <row r="132" spans="13:30">
      <c r="M132" s="438" t="str">
        <f t="shared" si="7"/>
        <v>METHYL TERT BUTYL ETHER</v>
      </c>
      <c r="N132" s="429" t="s">
        <v>1259</v>
      </c>
      <c r="O132" s="81" t="s">
        <v>353</v>
      </c>
      <c r="P132" s="400">
        <v>9.9999999999999995E-7</v>
      </c>
      <c r="Q132" s="400">
        <v>9.9999999999999995E-7</v>
      </c>
      <c r="R132" s="400">
        <v>9.9999999999999995E-7</v>
      </c>
      <c r="S132" s="365">
        <v>0.2</v>
      </c>
      <c r="T132" s="364" t="s">
        <v>665</v>
      </c>
      <c r="U132" s="363" t="s">
        <v>651</v>
      </c>
      <c r="V132" s="363" t="s">
        <v>666</v>
      </c>
      <c r="W132" s="391">
        <f>IF('Table H (Constants)'!F109=0,"",'Table H (Constants)'!F109)</f>
        <v>11.56</v>
      </c>
      <c r="X132" s="378">
        <f t="shared" si="10"/>
        <v>1</v>
      </c>
      <c r="Y132" s="28" t="str">
        <f t="shared" ref="Y132:Y165" si="11">IF(X132=$X$19,$Y$19,IF(X132=$X$20,$Y$20,IF(X132=$X$22,$Y$22,IF(X132=$X$24,$Y$24,$Y$26))))</f>
        <v>Volatile chemical. Collect soil gas data for site-specific evaluation of vapor intrusion hazards if Tier 1 action levels for this hazard exceeded (see Advanced EHE Options tab of Surfer).</v>
      </c>
      <c r="Z132" s="29"/>
      <c r="AA132"/>
      <c r="AB132"/>
      <c r="AC132"/>
      <c r="AD132"/>
    </row>
    <row r="133" spans="13:30">
      <c r="M133" s="438" t="str">
        <f t="shared" si="7"/>
        <v>METHYLENE CHLORIDE</v>
      </c>
      <c r="N133" s="429" t="s">
        <v>1260</v>
      </c>
      <c r="O133" s="81" t="s">
        <v>349</v>
      </c>
      <c r="P133" s="400">
        <v>9.9999999999999995E-7</v>
      </c>
      <c r="Q133" s="400">
        <v>9.9999999999999995E-7</v>
      </c>
      <c r="R133" s="400">
        <v>9.9999999999999995E-7</v>
      </c>
      <c r="S133" s="365">
        <v>0.2</v>
      </c>
      <c r="T133" s="364" t="s">
        <v>665</v>
      </c>
      <c r="U133" s="363" t="s">
        <v>651</v>
      </c>
      <c r="V133" s="363" t="s">
        <v>666</v>
      </c>
      <c r="W133" s="391">
        <f>IF('Table H (Constants)'!F110=0,"",'Table H (Constants)'!F110)</f>
        <v>21.73</v>
      </c>
      <c r="X133" s="378">
        <f t="shared" si="10"/>
        <v>1</v>
      </c>
      <c r="Y133" s="28" t="str">
        <f t="shared" si="11"/>
        <v>Volatile chemical. Collect soil gas data for site-specific evaluation of vapor intrusion hazards if Tier 1 action levels for this hazard exceeded (see Advanced EHE Options tab of Surfer).</v>
      </c>
      <c r="Z133" s="29"/>
      <c r="AA133"/>
      <c r="AB133"/>
      <c r="AC133"/>
      <c r="AD133"/>
    </row>
    <row r="134" spans="13:30">
      <c r="M134" s="438" t="str">
        <f t="shared" si="7"/>
        <v>METHYLNAPHTHALENE, 1-</v>
      </c>
      <c r="N134" s="432" t="s">
        <v>1261</v>
      </c>
      <c r="O134" s="1" t="s">
        <v>590</v>
      </c>
      <c r="P134" s="400">
        <v>1.0000000000000001E-5</v>
      </c>
      <c r="Q134" s="400">
        <v>1.0000000000000001E-5</v>
      </c>
      <c r="R134" s="400">
        <v>9.9999999999999995E-7</v>
      </c>
      <c r="S134" s="365">
        <v>0.2</v>
      </c>
      <c r="T134" s="364" t="s">
        <v>665</v>
      </c>
      <c r="U134" s="363" t="s">
        <v>651</v>
      </c>
      <c r="V134" s="363" t="s">
        <v>666</v>
      </c>
      <c r="W134" s="391">
        <f>IF('Table H (Constants)'!F111=0,"",'Table H (Constants)'!F111)</f>
        <v>2528</v>
      </c>
      <c r="X134" s="378">
        <v>5</v>
      </c>
      <c r="Y134" s="28" t="str">
        <f t="shared" si="11"/>
        <v>Not anticipated to be significantly mobile in soil or groundwater.  Batch tests recommended if soil leaching action level exceeded (see Advanced EHE Options tab of Surfer). Evaluate potential surface runoff hazards into aquatic habitats.</v>
      </c>
      <c r="Z134" s="29"/>
      <c r="AA134"/>
      <c r="AB134"/>
      <c r="AC134"/>
      <c r="AD134"/>
    </row>
    <row r="135" spans="13:30">
      <c r="M135" s="438" t="str">
        <f t="shared" si="7"/>
        <v>METHYLNAPHTHALENE, 2-</v>
      </c>
      <c r="N135" s="432" t="s">
        <v>1262</v>
      </c>
      <c r="O135" s="1" t="s">
        <v>591</v>
      </c>
      <c r="P135" s="400" t="s">
        <v>954</v>
      </c>
      <c r="Q135" s="400" t="s">
        <v>954</v>
      </c>
      <c r="R135" s="400" t="s">
        <v>954</v>
      </c>
      <c r="S135" s="365">
        <v>0.2</v>
      </c>
      <c r="T135" s="364" t="s">
        <v>665</v>
      </c>
      <c r="U135" s="363" t="s">
        <v>651</v>
      </c>
      <c r="V135" s="363" t="s">
        <v>666</v>
      </c>
      <c r="W135" s="391">
        <f>IF('Table H (Constants)'!F112=0,"",'Table H (Constants)'!F112)</f>
        <v>2478</v>
      </c>
      <c r="X135" s="378">
        <v>5</v>
      </c>
      <c r="Y135" s="28" t="str">
        <f t="shared" si="11"/>
        <v>Not anticipated to be significantly mobile in soil or groundwater.  Batch tests recommended if soil leaching action level exceeded (see Advanced EHE Options tab of Surfer). Evaluate potential surface runoff hazards into aquatic habitats.</v>
      </c>
      <c r="Z135" s="29"/>
      <c r="AA135"/>
      <c r="AB135"/>
      <c r="AC135"/>
      <c r="AD135"/>
    </row>
    <row r="136" spans="13:30">
      <c r="M136" s="438" t="str">
        <f t="shared" si="7"/>
        <v>MOLYBDENUM</v>
      </c>
      <c r="N136" s="429" t="s">
        <v>1263</v>
      </c>
      <c r="O136" s="81" t="s">
        <v>465</v>
      </c>
      <c r="P136" s="400" t="s">
        <v>954</v>
      </c>
      <c r="Q136" s="400" t="s">
        <v>954</v>
      </c>
      <c r="R136" s="400" t="s">
        <v>954</v>
      </c>
      <c r="S136" s="365">
        <v>0.2</v>
      </c>
      <c r="T136" s="364" t="s">
        <v>666</v>
      </c>
      <c r="U136" s="363" t="s">
        <v>653</v>
      </c>
      <c r="V136" s="363" t="s">
        <v>666</v>
      </c>
      <c r="W136" s="391" t="str">
        <f>IF('Table H (Constants)'!F113=0,"",'Table H (Constants)'!F113)</f>
        <v/>
      </c>
      <c r="X136" s="378">
        <f t="shared" ref="X136:X146" si="12">IF(T136="Y",$X$20,IF(U136="V",$X$19,IF(W136&gt;30000,$X$26,IF(V136="N",$X$24,$X$22))))</f>
        <v>2</v>
      </c>
      <c r="Y136" s="28" t="str">
        <f t="shared" si="11"/>
        <v>Naturally occurring metal.  Action levels for leaching of metals from soil and subsequent contamination of groundwater not developed.  Batch tests and/or groundwater monitoring recommended if soil background exceeded (see Advanced EHE Options tab of Surfer).</v>
      </c>
      <c r="Z136" s="29"/>
      <c r="AA136"/>
      <c r="AB136"/>
      <c r="AC136"/>
      <c r="AD136"/>
    </row>
    <row r="137" spans="13:30">
      <c r="M137" s="438" t="str">
        <f t="shared" si="7"/>
        <v>NAPHTHALENE</v>
      </c>
      <c r="N137" s="429" t="s">
        <v>1264</v>
      </c>
      <c r="O137" s="81" t="s">
        <v>466</v>
      </c>
      <c r="P137" s="400">
        <v>1.0000000000000001E-5</v>
      </c>
      <c r="Q137" s="400">
        <v>1.0000000000000001E-5</v>
      </c>
      <c r="R137" s="400">
        <v>9.9999999999999995E-7</v>
      </c>
      <c r="S137" s="365">
        <v>0.2</v>
      </c>
      <c r="T137" s="364" t="s">
        <v>665</v>
      </c>
      <c r="U137" s="363" t="s">
        <v>651</v>
      </c>
      <c r="V137" s="363" t="s">
        <v>665</v>
      </c>
      <c r="W137" s="391">
        <f>IF('Table H (Constants)'!F114=0,"",'Table H (Constants)'!F114)</f>
        <v>1544</v>
      </c>
      <c r="X137" s="378">
        <f t="shared" si="12"/>
        <v>1</v>
      </c>
      <c r="Y137" s="28" t="str">
        <f t="shared" si="11"/>
        <v>Volatile chemical. Collect soil gas data for site-specific evaluation of vapor intrusion hazards if Tier 1 action levels for this hazard exceeded (see Advanced EHE Options tab of Surfer).</v>
      </c>
      <c r="Z137" s="29"/>
      <c r="AA137"/>
      <c r="AB137"/>
      <c r="AC137"/>
      <c r="AD137"/>
    </row>
    <row r="138" spans="13:30">
      <c r="M138" s="438" t="str">
        <f t="shared" si="7"/>
        <v>NICKEL</v>
      </c>
      <c r="N138" s="429" t="s">
        <v>1265</v>
      </c>
      <c r="O138" s="81" t="s">
        <v>812</v>
      </c>
      <c r="P138" s="400" t="s">
        <v>954</v>
      </c>
      <c r="Q138" s="400" t="s">
        <v>954</v>
      </c>
      <c r="R138" s="400" t="s">
        <v>954</v>
      </c>
      <c r="S138" s="365">
        <v>0.2</v>
      </c>
      <c r="T138" s="364" t="s">
        <v>666</v>
      </c>
      <c r="U138" s="363" t="s">
        <v>653</v>
      </c>
      <c r="V138" s="363" t="s">
        <v>666</v>
      </c>
      <c r="W138" s="391" t="str">
        <f>IF('Table H (Constants)'!F115=0,"",'Table H (Constants)'!F115)</f>
        <v/>
      </c>
      <c r="X138" s="378">
        <f t="shared" si="12"/>
        <v>2</v>
      </c>
      <c r="Y138" s="28" t="str">
        <f t="shared" si="11"/>
        <v>Naturally occurring metal.  Action levels for leaching of metals from soil and subsequent contamination of groundwater not developed.  Batch tests and/or groundwater monitoring recommended if soil background exceeded (see Advanced EHE Options tab of Surfer).</v>
      </c>
      <c r="Z138" s="29"/>
      <c r="AA138"/>
      <c r="AB138"/>
      <c r="AC138"/>
      <c r="AD138"/>
    </row>
    <row r="139" spans="13:30">
      <c r="M139" s="438" t="str">
        <f t="shared" si="7"/>
        <v>NITROBENZENE</v>
      </c>
      <c r="N139" s="429" t="s">
        <v>1266</v>
      </c>
      <c r="O139" s="430" t="s">
        <v>106</v>
      </c>
      <c r="P139" s="400">
        <v>9.9999999999999995E-7</v>
      </c>
      <c r="Q139" s="400">
        <v>9.9999999999999995E-7</v>
      </c>
      <c r="R139" s="400">
        <v>9.9999999999999995E-7</v>
      </c>
      <c r="S139" s="365">
        <v>0.2</v>
      </c>
      <c r="T139" s="364" t="s">
        <v>665</v>
      </c>
      <c r="U139" s="363" t="s">
        <v>651</v>
      </c>
      <c r="V139" s="363" t="s">
        <v>666</v>
      </c>
      <c r="W139" s="391">
        <f>IF('Table H (Constants)'!F116=0,"",'Table H (Constants)'!F116)</f>
        <v>226.4</v>
      </c>
      <c r="X139" s="378">
        <f t="shared" si="12"/>
        <v>1</v>
      </c>
      <c r="Y139" s="28" t="str">
        <f t="shared" si="11"/>
        <v>Volatile chemical. Collect soil gas data for site-specific evaluation of vapor intrusion hazards if Tier 1 action levels for this hazard exceeded (see Advanced EHE Options tab of Surfer).</v>
      </c>
      <c r="Z139" s="29"/>
      <c r="AA139"/>
      <c r="AB139"/>
      <c r="AC139"/>
      <c r="AD139"/>
    </row>
    <row r="140" spans="13:30">
      <c r="M140" s="438" t="str">
        <f t="shared" si="7"/>
        <v>NITROGLYCERIN</v>
      </c>
      <c r="N140" s="429" t="s">
        <v>1267</v>
      </c>
      <c r="O140" s="430" t="s">
        <v>107</v>
      </c>
      <c r="P140" s="400">
        <v>9.9999999999999995E-7</v>
      </c>
      <c r="Q140" s="400">
        <v>9.9999999999999995E-7</v>
      </c>
      <c r="R140" s="400">
        <v>1.0000000000000001E-5</v>
      </c>
      <c r="S140" s="365">
        <v>0.2</v>
      </c>
      <c r="T140" s="364" t="s">
        <v>665</v>
      </c>
      <c r="U140" s="363" t="s">
        <v>653</v>
      </c>
      <c r="V140" s="363" t="s">
        <v>666</v>
      </c>
      <c r="W140" s="391">
        <f>IF('Table H (Constants)'!F117=0,"",'Table H (Constants)'!F117)</f>
        <v>115.8</v>
      </c>
      <c r="X140" s="378">
        <f t="shared" si="12"/>
        <v>3</v>
      </c>
      <c r="Y140" s="28" t="str">
        <f t="shared" si="11"/>
        <v>Potentially significant soil leaching hazard and subsequent contamination of groundwater.  Batch tests recommended if soil leaching action level exceeded (see Advanced EHE Options tab of Surfer).</v>
      </c>
      <c r="Z140" s="29"/>
      <c r="AA140"/>
      <c r="AB140"/>
      <c r="AC140"/>
      <c r="AD140"/>
    </row>
    <row r="141" spans="13:30">
      <c r="M141" s="438" t="str">
        <f t="shared" si="7"/>
        <v>NITROTOLUENE, 2-</v>
      </c>
      <c r="N141" s="429" t="s">
        <v>1268</v>
      </c>
      <c r="O141" s="430" t="s">
        <v>108</v>
      </c>
      <c r="P141" s="400">
        <v>9.9999999999999995E-7</v>
      </c>
      <c r="Q141" s="400">
        <v>9.9999999999999995E-7</v>
      </c>
      <c r="R141" s="400">
        <v>9.9999999999999995E-7</v>
      </c>
      <c r="S141" s="365">
        <v>0.2</v>
      </c>
      <c r="T141" s="364" t="s">
        <v>665</v>
      </c>
      <c r="U141" s="363" t="s">
        <v>651</v>
      </c>
      <c r="V141" s="363" t="s">
        <v>666</v>
      </c>
      <c r="W141" s="391">
        <f>IF('Table H (Constants)'!F118=0,"",'Table H (Constants)'!F118)</f>
        <v>370.6</v>
      </c>
      <c r="X141" s="378">
        <f t="shared" si="12"/>
        <v>1</v>
      </c>
      <c r="Y141" s="28" t="str">
        <f t="shared" si="11"/>
        <v>Volatile chemical. Collect soil gas data for site-specific evaluation of vapor intrusion hazards if Tier 1 action levels for this hazard exceeded (see Advanced EHE Options tab of Surfer).</v>
      </c>
      <c r="Z141" s="29"/>
      <c r="AA141"/>
      <c r="AB141"/>
      <c r="AC141"/>
      <c r="AD141"/>
    </row>
    <row r="142" spans="13:30">
      <c r="M142" s="438" t="str">
        <f t="shared" si="7"/>
        <v>NITROTOLUENE, 3-</v>
      </c>
      <c r="N142" s="429" t="s">
        <v>1269</v>
      </c>
      <c r="O142" s="430" t="s">
        <v>109</v>
      </c>
      <c r="P142" s="400" t="s">
        <v>954</v>
      </c>
      <c r="Q142" s="400" t="s">
        <v>954</v>
      </c>
      <c r="R142" s="400" t="s">
        <v>954</v>
      </c>
      <c r="S142" s="365">
        <v>0.2</v>
      </c>
      <c r="T142" s="364" t="s">
        <v>665</v>
      </c>
      <c r="U142" s="363" t="s">
        <v>651</v>
      </c>
      <c r="V142" s="363" t="s">
        <v>666</v>
      </c>
      <c r="W142" s="391">
        <f>IF('Table H (Constants)'!F119=0,"",'Table H (Constants)'!F119)</f>
        <v>363.2</v>
      </c>
      <c r="X142" s="378">
        <f t="shared" si="12"/>
        <v>1</v>
      </c>
      <c r="Y142" s="28" t="str">
        <f t="shared" si="11"/>
        <v>Volatile chemical. Collect soil gas data for site-specific evaluation of vapor intrusion hazards if Tier 1 action levels for this hazard exceeded (see Advanced EHE Options tab of Surfer).</v>
      </c>
      <c r="Z142" s="29"/>
      <c r="AA142"/>
      <c r="AB142"/>
      <c r="AC142"/>
      <c r="AD142"/>
    </row>
    <row r="143" spans="13:30">
      <c r="M143" s="438" t="str">
        <f t="shared" si="7"/>
        <v>NITROTOLUENE, 4-</v>
      </c>
      <c r="N143" s="429" t="s">
        <v>1270</v>
      </c>
      <c r="O143" s="430" t="s">
        <v>110</v>
      </c>
      <c r="P143" s="400">
        <v>9.9999999999999995E-7</v>
      </c>
      <c r="Q143" s="400">
        <v>9.9999999999999995E-7</v>
      </c>
      <c r="R143" s="400">
        <v>1.0000000000000001E-5</v>
      </c>
      <c r="S143" s="365">
        <v>0.2</v>
      </c>
      <c r="T143" s="364" t="s">
        <v>665</v>
      </c>
      <c r="U143" s="363" t="s">
        <v>653</v>
      </c>
      <c r="V143" s="363" t="s">
        <v>666</v>
      </c>
      <c r="W143" s="391">
        <f>IF('Table H (Constants)'!F120=0,"",'Table H (Constants)'!F120)</f>
        <v>363.2</v>
      </c>
      <c r="X143" s="378">
        <f t="shared" si="12"/>
        <v>3</v>
      </c>
      <c r="Y143" s="28" t="str">
        <f t="shared" si="11"/>
        <v>Potentially significant soil leaching hazard and subsequent contamination of groundwater.  Batch tests recommended if soil leaching action level exceeded (see Advanced EHE Options tab of Surfer).</v>
      </c>
      <c r="Z143" s="29"/>
      <c r="AA143"/>
      <c r="AB143"/>
      <c r="AC143"/>
      <c r="AD143"/>
    </row>
    <row r="144" spans="13:30">
      <c r="M144" s="438" t="str">
        <f t="shared" si="7"/>
        <v>PENTACHLOROPHENOL</v>
      </c>
      <c r="N144" s="429" t="s">
        <v>1271</v>
      </c>
      <c r="O144" s="81" t="s">
        <v>467</v>
      </c>
      <c r="P144" s="400">
        <v>9.9999999999999995E-7</v>
      </c>
      <c r="Q144" s="400">
        <v>9.9999999999999995E-7</v>
      </c>
      <c r="R144" s="400">
        <v>1.0000000000000001E-5</v>
      </c>
      <c r="S144" s="365">
        <v>0.2</v>
      </c>
      <c r="T144" s="364" t="s">
        <v>665</v>
      </c>
      <c r="U144" s="363" t="s">
        <v>653</v>
      </c>
      <c r="V144" s="363" t="s">
        <v>666</v>
      </c>
      <c r="W144" s="391">
        <f>IF('Table H (Constants)'!F121=0,"",'Table H (Constants)'!F121)</f>
        <v>592</v>
      </c>
      <c r="X144" s="378">
        <f t="shared" si="12"/>
        <v>3</v>
      </c>
      <c r="Y144" s="28" t="str">
        <f t="shared" si="11"/>
        <v>Potentially significant soil leaching hazard and subsequent contamination of groundwater.  Batch tests recommended if soil leaching action level exceeded (see Advanced EHE Options tab of Surfer).</v>
      </c>
      <c r="Z144" s="29"/>
      <c r="AA144"/>
      <c r="AB144"/>
      <c r="AC144"/>
      <c r="AD144"/>
    </row>
    <row r="145" spans="13:30">
      <c r="M145" s="438" t="str">
        <f t="shared" si="7"/>
        <v>PENTAERYTHRITOLTETRANITRATE (PETN)</v>
      </c>
      <c r="N145" s="429" t="s">
        <v>1272</v>
      </c>
      <c r="O145" s="430" t="s">
        <v>111</v>
      </c>
      <c r="P145" s="400">
        <v>9.9999999999999995E-7</v>
      </c>
      <c r="Q145" s="400">
        <v>9.9999999999999995E-7</v>
      </c>
      <c r="R145" s="400">
        <v>1.0000000000000001E-5</v>
      </c>
      <c r="S145" s="365">
        <v>0.2</v>
      </c>
      <c r="T145" s="364" t="s">
        <v>665</v>
      </c>
      <c r="U145" s="363" t="s">
        <v>653</v>
      </c>
      <c r="V145" s="363" t="s">
        <v>666</v>
      </c>
      <c r="W145" s="391">
        <f>IF('Table H (Constants)'!F122=0,"",'Table H (Constants)'!F122)</f>
        <v>647.9</v>
      </c>
      <c r="X145" s="378">
        <f t="shared" si="12"/>
        <v>3</v>
      </c>
      <c r="Y145" s="28" t="str">
        <f t="shared" si="11"/>
        <v>Potentially significant soil leaching hazard and subsequent contamination of groundwater.  Batch tests recommended if soil leaching action level exceeded (see Advanced EHE Options tab of Surfer).</v>
      </c>
      <c r="Z145" s="29"/>
      <c r="AA145"/>
      <c r="AB145"/>
      <c r="AC145"/>
      <c r="AD145"/>
    </row>
    <row r="146" spans="13:30">
      <c r="M146" s="438" t="str">
        <f t="shared" si="7"/>
        <v>PERCHLORATE</v>
      </c>
      <c r="N146" s="429" t="s">
        <v>1273</v>
      </c>
      <c r="O146" s="81" t="s">
        <v>231</v>
      </c>
      <c r="P146" s="400" t="s">
        <v>954</v>
      </c>
      <c r="Q146" s="400" t="s">
        <v>954</v>
      </c>
      <c r="R146" s="400" t="s">
        <v>954</v>
      </c>
      <c r="S146" s="365">
        <v>0.2</v>
      </c>
      <c r="T146" s="364" t="s">
        <v>665</v>
      </c>
      <c r="U146" s="363" t="s">
        <v>653</v>
      </c>
      <c r="V146" s="363" t="s">
        <v>666</v>
      </c>
      <c r="W146" s="391" t="str">
        <f>IF('Table H (Constants)'!F123=0,"",'Table H (Constants)'!F123)</f>
        <v/>
      </c>
      <c r="X146" s="378">
        <f t="shared" si="12"/>
        <v>5</v>
      </c>
      <c r="Y146" s="28" t="str">
        <f t="shared" si="11"/>
        <v>Not anticipated to be significantly mobile in soil or groundwater.  Batch tests recommended if soil leaching action level exceeded (see Advanced EHE Options tab of Surfer). Evaluate potential surface runoff hazards into aquatic habitats.</v>
      </c>
      <c r="Z146" s="29"/>
      <c r="AA146"/>
      <c r="AB146"/>
      <c r="AC146"/>
      <c r="AD146"/>
    </row>
    <row r="147" spans="13:30">
      <c r="M147" s="438" t="str">
        <f t="shared" si="7"/>
        <v>PHENANTHRENE</v>
      </c>
      <c r="N147" s="429" t="s">
        <v>1274</v>
      </c>
      <c r="O147" s="81" t="s">
        <v>468</v>
      </c>
      <c r="P147" s="400" t="s">
        <v>954</v>
      </c>
      <c r="Q147" s="400" t="s">
        <v>954</v>
      </c>
      <c r="R147" s="400" t="s">
        <v>954</v>
      </c>
      <c r="S147" s="365">
        <v>0.2</v>
      </c>
      <c r="T147" s="364" t="s">
        <v>665</v>
      </c>
      <c r="U147" s="363" t="s">
        <v>651</v>
      </c>
      <c r="V147" s="363" t="s">
        <v>665</v>
      </c>
      <c r="W147" s="391">
        <f>IF('Table H (Constants)'!F124=0,"",'Table H (Constants)'!F124)</f>
        <v>14000</v>
      </c>
      <c r="X147" s="378">
        <v>5</v>
      </c>
      <c r="Y147" s="28" t="str">
        <f t="shared" si="11"/>
        <v>Not anticipated to be significantly mobile in soil or groundwater.  Batch tests recommended if soil leaching action level exceeded (see Advanced EHE Options tab of Surfer). Evaluate potential surface runoff hazards into aquatic habitats.</v>
      </c>
      <c r="Z147" s="29"/>
      <c r="AA147"/>
      <c r="AB147"/>
      <c r="AC147"/>
      <c r="AD147"/>
    </row>
    <row r="148" spans="13:30">
      <c r="M148" s="438" t="str">
        <f t="shared" si="7"/>
        <v>PHENOL</v>
      </c>
      <c r="N148" s="429" t="s">
        <v>1275</v>
      </c>
      <c r="O148" s="81" t="s">
        <v>469</v>
      </c>
      <c r="P148" s="400" t="s">
        <v>954</v>
      </c>
      <c r="Q148" s="400" t="s">
        <v>954</v>
      </c>
      <c r="R148" s="400" t="s">
        <v>954</v>
      </c>
      <c r="S148" s="365">
        <v>0.2</v>
      </c>
      <c r="T148" s="364" t="s">
        <v>665</v>
      </c>
      <c r="U148" s="363" t="s">
        <v>653</v>
      </c>
      <c r="V148" s="363" t="s">
        <v>665</v>
      </c>
      <c r="W148" s="391">
        <f>IF('Table H (Constants)'!F125=0,"",'Table H (Constants)'!F125)</f>
        <v>187.2</v>
      </c>
      <c r="X148" s="378">
        <f>IF(T148="Y",$X$20,IF(U148="V",$X$19,IF(W148&gt;30000,$X$26,IF(V148="N",$X$24,$X$22))))</f>
        <v>4</v>
      </c>
      <c r="Y148" s="28" t="str">
        <f t="shared" si="11"/>
        <v>Non-persistent contaminant with relatively low mobility potential.  Consider natural attenuation over time in final remedial actions.  See Advanced EHE Options tab of Surfer.</v>
      </c>
      <c r="Z148" s="29"/>
      <c r="AA148"/>
      <c r="AB148"/>
      <c r="AC148"/>
      <c r="AD148"/>
    </row>
    <row r="149" spans="13:30">
      <c r="M149" s="438" t="str">
        <f t="shared" si="7"/>
        <v>POLYCHLORINATED BIPHENYLS (PCBs)</v>
      </c>
      <c r="N149" s="429" t="s">
        <v>1313</v>
      </c>
      <c r="O149" s="81" t="s">
        <v>365</v>
      </c>
      <c r="P149" s="400">
        <v>1.0000000000000001E-5</v>
      </c>
      <c r="Q149" s="400">
        <v>1.0000000000000001E-5</v>
      </c>
      <c r="R149" s="400">
        <v>1.0000000000000001E-5</v>
      </c>
      <c r="S149" s="365">
        <v>1</v>
      </c>
      <c r="T149" s="364" t="s">
        <v>665</v>
      </c>
      <c r="U149" s="363" t="s">
        <v>653</v>
      </c>
      <c r="V149" s="363" t="s">
        <v>666</v>
      </c>
      <c r="W149" s="391">
        <f>IF('Table H (Constants)'!F126=0,"",'Table H (Constants)'!F126)</f>
        <v>130500</v>
      </c>
      <c r="X149" s="378">
        <f>IF(T149="Y",$X$20,IF(U149="V",$X$19,IF(W149&gt;30000,$X$26,IF(V149="N",$X$24,$X$22))))</f>
        <v>5</v>
      </c>
      <c r="Y149" s="28" t="str">
        <f t="shared" si="11"/>
        <v>Not anticipated to be significantly mobile in soil or groundwater.  Batch tests recommended if soil leaching action level exceeded (see Advanced EHE Options tab of Surfer). Evaluate potential surface runoff hazards into aquatic habitats.</v>
      </c>
      <c r="Z149" s="29"/>
      <c r="AA149"/>
      <c r="AB149"/>
      <c r="AC149"/>
      <c r="AD149"/>
    </row>
    <row r="150" spans="13:30">
      <c r="M150" s="438" t="str">
        <f t="shared" si="7"/>
        <v>PROPICONAZOLE</v>
      </c>
      <c r="N150" s="429" t="s">
        <v>1276</v>
      </c>
      <c r="O150" s="1" t="s">
        <v>112</v>
      </c>
      <c r="P150" s="400" t="s">
        <v>954</v>
      </c>
      <c r="Q150" s="400" t="s">
        <v>954</v>
      </c>
      <c r="R150" s="400" t="s">
        <v>954</v>
      </c>
      <c r="S150" s="365">
        <v>0.2</v>
      </c>
      <c r="T150" s="364" t="s">
        <v>665</v>
      </c>
      <c r="U150" s="363" t="s">
        <v>653</v>
      </c>
      <c r="V150" s="363" t="s">
        <v>666</v>
      </c>
      <c r="W150" s="391">
        <f>IF('Table H (Constants)'!F127=0,"",'Table H (Constants)'!F127)</f>
        <v>1556</v>
      </c>
      <c r="X150" s="378">
        <f>IF(T150="Y",$X$20,IF(U150="V",$X$19,IF(W150&gt;30000,$X$26,IF(V150="N",$X$24,$X$22))))</f>
        <v>3</v>
      </c>
      <c r="Y150" s="28" t="str">
        <f t="shared" si="11"/>
        <v>Potentially significant soil leaching hazard and subsequent contamination of groundwater.  Batch tests recommended if soil leaching action level exceeded (see Advanced EHE Options tab of Surfer).</v>
      </c>
      <c r="Z150" s="29"/>
      <c r="AA150"/>
      <c r="AB150"/>
      <c r="AC150"/>
      <c r="AD150"/>
    </row>
    <row r="151" spans="13:30">
      <c r="M151" s="438" t="str">
        <f t="shared" si="7"/>
        <v>PYRENE</v>
      </c>
      <c r="N151" s="429" t="s">
        <v>1277</v>
      </c>
      <c r="O151" s="81" t="s">
        <v>470</v>
      </c>
      <c r="P151" s="400" t="s">
        <v>954</v>
      </c>
      <c r="Q151" s="400" t="s">
        <v>954</v>
      </c>
      <c r="R151" s="400" t="s">
        <v>954</v>
      </c>
      <c r="S151" s="365">
        <v>0.2</v>
      </c>
      <c r="T151" s="364" t="s">
        <v>665</v>
      </c>
      <c r="U151" s="363" t="s">
        <v>651</v>
      </c>
      <c r="V151" s="363" t="s">
        <v>665</v>
      </c>
      <c r="W151" s="391">
        <f>IF('Table H (Constants)'!F128=0,"",'Table H (Constants)'!F128)</f>
        <v>54340</v>
      </c>
      <c r="X151" s="378">
        <v>5</v>
      </c>
      <c r="Y151" s="28" t="str">
        <f t="shared" si="11"/>
        <v>Not anticipated to be significantly mobile in soil or groundwater.  Batch tests recommended if soil leaching action level exceeded (see Advanced EHE Options tab of Surfer). Evaluate potential surface runoff hazards into aquatic habitats.</v>
      </c>
      <c r="Z151" s="29"/>
      <c r="AA151"/>
      <c r="AB151"/>
      <c r="AC151"/>
      <c r="AD151"/>
    </row>
    <row r="152" spans="13:30">
      <c r="M152" s="438" t="str">
        <f t="shared" si="7"/>
        <v>SELENIUM</v>
      </c>
      <c r="N152" s="429" t="s">
        <v>1278</v>
      </c>
      <c r="O152" s="81" t="s">
        <v>471</v>
      </c>
      <c r="P152" s="400" t="s">
        <v>954</v>
      </c>
      <c r="Q152" s="400" t="s">
        <v>954</v>
      </c>
      <c r="R152" s="400" t="s">
        <v>954</v>
      </c>
      <c r="S152" s="365">
        <v>0.2</v>
      </c>
      <c r="T152" s="364" t="s">
        <v>666</v>
      </c>
      <c r="U152" s="363" t="s">
        <v>653</v>
      </c>
      <c r="V152" s="363" t="s">
        <v>666</v>
      </c>
      <c r="W152" s="391" t="str">
        <f>IF('Table H (Constants)'!F129=0,"",'Table H (Constants)'!F129)</f>
        <v/>
      </c>
      <c r="X152" s="378">
        <f t="shared" ref="X152:X178" si="13">IF(T152="Y",$X$20,IF(U152="V",$X$19,IF(W152&gt;30000,$X$26,IF(V152="N",$X$24,$X$22))))</f>
        <v>2</v>
      </c>
      <c r="Y152" s="28" t="str">
        <f t="shared" si="11"/>
        <v>Naturally occurring metal.  Action levels for leaching of metals from soil and subsequent contamination of groundwater not developed.  Batch tests and/or groundwater monitoring recommended if soil background exceeded (see Advanced EHE Options tab of Surfer).</v>
      </c>
      <c r="Z152" s="29"/>
      <c r="AA152"/>
      <c r="AB152"/>
      <c r="AC152"/>
      <c r="AD152"/>
    </row>
    <row r="153" spans="13:30">
      <c r="M153" s="438" t="str">
        <f t="shared" si="7"/>
        <v>SILVER</v>
      </c>
      <c r="N153" s="429" t="s">
        <v>1279</v>
      </c>
      <c r="O153" s="81" t="s">
        <v>813</v>
      </c>
      <c r="P153" s="400" t="s">
        <v>954</v>
      </c>
      <c r="Q153" s="400" t="s">
        <v>954</v>
      </c>
      <c r="R153" s="400" t="s">
        <v>954</v>
      </c>
      <c r="S153" s="365">
        <v>0.2</v>
      </c>
      <c r="T153" s="364" t="s">
        <v>666</v>
      </c>
      <c r="U153" s="363" t="s">
        <v>653</v>
      </c>
      <c r="V153" s="363" t="s">
        <v>666</v>
      </c>
      <c r="W153" s="391" t="str">
        <f>IF('Table H (Constants)'!F130=0,"",'Table H (Constants)'!F130)</f>
        <v/>
      </c>
      <c r="X153" s="378">
        <f t="shared" si="13"/>
        <v>2</v>
      </c>
      <c r="Y153" s="28" t="str">
        <f t="shared" si="11"/>
        <v>Naturally occurring metal.  Action levels for leaching of metals from soil and subsequent contamination of groundwater not developed.  Batch tests and/or groundwater monitoring recommended if soil background exceeded (see Advanced EHE Options tab of Surfer).</v>
      </c>
      <c r="Z153" s="29"/>
      <c r="AA153"/>
      <c r="AB153"/>
      <c r="AC153"/>
      <c r="AD153"/>
    </row>
    <row r="154" spans="13:30">
      <c r="M154" s="438" t="str">
        <f t="shared" si="7"/>
        <v>SIMAZINE</v>
      </c>
      <c r="N154" s="429" t="s">
        <v>1280</v>
      </c>
      <c r="O154" s="1" t="s">
        <v>113</v>
      </c>
      <c r="P154" s="400">
        <v>9.9999999999999995E-7</v>
      </c>
      <c r="Q154" s="400">
        <v>9.9999999999999995E-7</v>
      </c>
      <c r="R154" s="400">
        <v>1.0000000000000001E-5</v>
      </c>
      <c r="S154" s="365">
        <v>0.2</v>
      </c>
      <c r="T154" s="364" t="s">
        <v>665</v>
      </c>
      <c r="U154" s="363" t="s">
        <v>653</v>
      </c>
      <c r="V154" s="363" t="s">
        <v>666</v>
      </c>
      <c r="W154" s="391">
        <f>IF('Table H (Constants)'!F131=0,"",'Table H (Constants)'!F131)</f>
        <v>146.5</v>
      </c>
      <c r="X154" s="378">
        <f t="shared" si="13"/>
        <v>3</v>
      </c>
      <c r="Y154" s="28" t="str">
        <f t="shared" si="11"/>
        <v>Potentially significant soil leaching hazard and subsequent contamination of groundwater.  Batch tests recommended if soil leaching action level exceeded (see Advanced EHE Options tab of Surfer).</v>
      </c>
      <c r="Z154" s="29"/>
      <c r="AA154"/>
      <c r="AB154"/>
      <c r="AC154"/>
      <c r="AD154"/>
    </row>
    <row r="155" spans="13:30">
      <c r="M155" s="438" t="str">
        <f t="shared" si="7"/>
        <v>STYRENE</v>
      </c>
      <c r="N155" s="429" t="s">
        <v>1281</v>
      </c>
      <c r="O155" s="81" t="s">
        <v>472</v>
      </c>
      <c r="P155" s="400">
        <v>9.9999999999999995E-7</v>
      </c>
      <c r="Q155" s="400">
        <v>9.9999999999999995E-7</v>
      </c>
      <c r="R155" s="400">
        <v>9.9999999999999995E-7</v>
      </c>
      <c r="S155" s="365">
        <v>0.2</v>
      </c>
      <c r="T155" s="364" t="s">
        <v>665</v>
      </c>
      <c r="U155" s="363" t="s">
        <v>651</v>
      </c>
      <c r="V155" s="363" t="s">
        <v>665</v>
      </c>
      <c r="W155" s="391">
        <f>IF('Table H (Constants)'!F132=0,"",'Table H (Constants)'!F132)</f>
        <v>446.1</v>
      </c>
      <c r="X155" s="378">
        <f t="shared" si="13"/>
        <v>1</v>
      </c>
      <c r="Y155" s="28" t="str">
        <f t="shared" si="11"/>
        <v>Volatile chemical. Collect soil gas data for site-specific evaluation of vapor intrusion hazards if Tier 1 action levels for this hazard exceeded (see Advanced EHE Options tab of Surfer).</v>
      </c>
      <c r="Z155" s="29"/>
      <c r="AA155"/>
      <c r="AB155"/>
      <c r="AC155"/>
      <c r="AD155"/>
    </row>
    <row r="156" spans="13:30">
      <c r="M156" s="438" t="str">
        <f t="shared" si="7"/>
        <v>TERBACIL</v>
      </c>
      <c r="N156" s="429" t="s">
        <v>1282</v>
      </c>
      <c r="O156" s="1" t="s">
        <v>114</v>
      </c>
      <c r="P156" s="400" t="s">
        <v>954</v>
      </c>
      <c r="Q156" s="400" t="s">
        <v>954</v>
      </c>
      <c r="R156" s="400" t="s">
        <v>954</v>
      </c>
      <c r="S156" s="365">
        <v>0.2</v>
      </c>
      <c r="T156" s="364" t="s">
        <v>665</v>
      </c>
      <c r="U156" s="363" t="s">
        <v>653</v>
      </c>
      <c r="V156" s="363" t="s">
        <v>666</v>
      </c>
      <c r="W156" s="391">
        <f>IF('Table H (Constants)'!F133=0,"",'Table H (Constants)'!F133)</f>
        <v>50.1</v>
      </c>
      <c r="X156" s="378">
        <f t="shared" si="13"/>
        <v>3</v>
      </c>
      <c r="Y156" s="28" t="str">
        <f t="shared" si="11"/>
        <v>Potentially significant soil leaching hazard and subsequent contamination of groundwater.  Batch tests recommended if soil leaching action level exceeded (see Advanced EHE Options tab of Surfer).</v>
      </c>
      <c r="Z156" s="29"/>
      <c r="AA156"/>
      <c r="AB156"/>
      <c r="AC156"/>
      <c r="AD156"/>
    </row>
    <row r="157" spans="13:30">
      <c r="M157" s="438" t="str">
        <f t="shared" si="7"/>
        <v>tert-BUTYL ALCOHOL</v>
      </c>
      <c r="N157" s="429" t="s">
        <v>1283</v>
      </c>
      <c r="O157" s="81" t="s">
        <v>19</v>
      </c>
      <c r="P157" s="400">
        <v>9.9999999999999995E-7</v>
      </c>
      <c r="Q157" s="400">
        <v>9.9999999999999995E-7</v>
      </c>
      <c r="R157" s="400">
        <v>9.9999999999999995E-7</v>
      </c>
      <c r="S157" s="365">
        <v>0.2</v>
      </c>
      <c r="T157" s="364" t="s">
        <v>665</v>
      </c>
      <c r="U157" s="363" t="s">
        <v>651</v>
      </c>
      <c r="V157" s="363" t="s">
        <v>666</v>
      </c>
      <c r="W157" s="391">
        <f>IF('Table H (Constants)'!F134=0,"",'Table H (Constants)'!F134)</f>
        <v>2.1</v>
      </c>
      <c r="X157" s="378">
        <f t="shared" si="13"/>
        <v>1</v>
      </c>
      <c r="Y157" s="28" t="str">
        <f t="shared" si="11"/>
        <v>Volatile chemical. Collect soil gas data for site-specific evaluation of vapor intrusion hazards if Tier 1 action levels for this hazard exceeded (see Advanced EHE Options tab of Surfer).</v>
      </c>
      <c r="Z157" s="29"/>
      <c r="AA157"/>
      <c r="AB157"/>
      <c r="AC157"/>
      <c r="AD157"/>
    </row>
    <row r="158" spans="13:30">
      <c r="M158" s="438" t="str">
        <f t="shared" si="7"/>
        <v>TETRACHLOROETHANE, 1,1,1,2-</v>
      </c>
      <c r="N158" s="429" t="s">
        <v>1284</v>
      </c>
      <c r="O158" s="81" t="s">
        <v>473</v>
      </c>
      <c r="P158" s="400">
        <v>9.9999999999999995E-7</v>
      </c>
      <c r="Q158" s="400">
        <v>9.9999999999999995E-7</v>
      </c>
      <c r="R158" s="400">
        <v>9.9999999999999995E-7</v>
      </c>
      <c r="S158" s="365">
        <v>0.2</v>
      </c>
      <c r="T158" s="364" t="s">
        <v>665</v>
      </c>
      <c r="U158" s="363" t="s">
        <v>651</v>
      </c>
      <c r="V158" s="363" t="s">
        <v>666</v>
      </c>
      <c r="W158" s="391">
        <f>IF('Table H (Constants)'!F135=0,"",'Table H (Constants)'!F135)</f>
        <v>86.03</v>
      </c>
      <c r="X158" s="378">
        <f t="shared" si="13"/>
        <v>1</v>
      </c>
      <c r="Y158" s="28" t="str">
        <f t="shared" si="11"/>
        <v>Volatile chemical. Collect soil gas data for site-specific evaluation of vapor intrusion hazards if Tier 1 action levels for this hazard exceeded (see Advanced EHE Options tab of Surfer).</v>
      </c>
      <c r="Z158" s="29"/>
      <c r="AA158"/>
      <c r="AB158"/>
      <c r="AC158"/>
      <c r="AD158"/>
    </row>
    <row r="159" spans="13:30">
      <c r="M159" s="438" t="str">
        <f t="shared" si="7"/>
        <v>TETRACHLOROETHANE, 1,1,2,2-</v>
      </c>
      <c r="N159" s="429" t="s">
        <v>1285</v>
      </c>
      <c r="O159" s="81" t="s">
        <v>474</v>
      </c>
      <c r="P159" s="400">
        <v>9.9999999999999995E-7</v>
      </c>
      <c r="Q159" s="400">
        <v>9.9999999999999995E-7</v>
      </c>
      <c r="R159" s="400">
        <v>9.9999999999999995E-7</v>
      </c>
      <c r="S159" s="365">
        <v>0.2</v>
      </c>
      <c r="T159" s="364" t="s">
        <v>665</v>
      </c>
      <c r="U159" s="363" t="s">
        <v>651</v>
      </c>
      <c r="V159" s="363" t="s">
        <v>666</v>
      </c>
      <c r="W159" s="391">
        <f>IF('Table H (Constants)'!F136=0,"",'Table H (Constants)'!F136)</f>
        <v>94.94</v>
      </c>
      <c r="X159" s="378">
        <f t="shared" si="13"/>
        <v>1</v>
      </c>
      <c r="Y159" s="28" t="str">
        <f t="shared" si="11"/>
        <v>Volatile chemical. Collect soil gas data for site-specific evaluation of vapor intrusion hazards if Tier 1 action levels for this hazard exceeded (see Advanced EHE Options tab of Surfer).</v>
      </c>
      <c r="Z159" s="29"/>
      <c r="AA159"/>
      <c r="AB159"/>
      <c r="AC159"/>
      <c r="AD159"/>
    </row>
    <row r="160" spans="13:30">
      <c r="M160" s="438" t="str">
        <f t="shared" si="7"/>
        <v>TETRACHLOROETHYLENE</v>
      </c>
      <c r="N160" s="429" t="s">
        <v>1286</v>
      </c>
      <c r="O160" s="81" t="s">
        <v>475</v>
      </c>
      <c r="P160" s="400">
        <v>9.9999999999999995E-7</v>
      </c>
      <c r="Q160" s="400">
        <v>9.9999999999999995E-7</v>
      </c>
      <c r="R160" s="400">
        <v>9.9999999999999995E-7</v>
      </c>
      <c r="S160" s="365">
        <v>0.2</v>
      </c>
      <c r="T160" s="364" t="s">
        <v>665</v>
      </c>
      <c r="U160" s="363" t="s">
        <v>651</v>
      </c>
      <c r="V160" s="363" t="s">
        <v>666</v>
      </c>
      <c r="W160" s="391">
        <f>IF('Table H (Constants)'!F137=0,"",'Table H (Constants)'!F137)</f>
        <v>94.94</v>
      </c>
      <c r="X160" s="378">
        <f t="shared" si="13"/>
        <v>1</v>
      </c>
      <c r="Y160" s="28" t="str">
        <f t="shared" si="11"/>
        <v>Volatile chemical. Collect soil gas data for site-specific evaluation of vapor intrusion hazards if Tier 1 action levels for this hazard exceeded (see Advanced EHE Options tab of Surfer).</v>
      </c>
      <c r="Z160" s="29"/>
      <c r="AA160"/>
      <c r="AB160"/>
      <c r="AC160"/>
      <c r="AD160"/>
    </row>
    <row r="161" spans="13:30">
      <c r="M161" s="438" t="str">
        <f t="shared" si="7"/>
        <v>TETRACHLOROPHENOL, 2,3,4,6-</v>
      </c>
      <c r="N161" s="429" t="s">
        <v>1287</v>
      </c>
      <c r="O161" s="1" t="s">
        <v>115</v>
      </c>
      <c r="P161" s="400" t="s">
        <v>954</v>
      </c>
      <c r="Q161" s="400" t="s">
        <v>954</v>
      </c>
      <c r="R161" s="400" t="s">
        <v>954</v>
      </c>
      <c r="S161" s="365">
        <v>0.2</v>
      </c>
      <c r="T161" s="364" t="s">
        <v>665</v>
      </c>
      <c r="U161" s="363" t="s">
        <v>653</v>
      </c>
      <c r="V161" s="363" t="s">
        <v>666</v>
      </c>
      <c r="W161" s="391">
        <f>IF('Table H (Constants)'!F138=0,"",'Table H (Constants)'!F138)</f>
        <v>280</v>
      </c>
      <c r="X161" s="378">
        <f t="shared" si="13"/>
        <v>3</v>
      </c>
      <c r="Y161" s="28" t="str">
        <f t="shared" si="11"/>
        <v>Potentially significant soil leaching hazard and subsequent contamination of groundwater.  Batch tests recommended if soil leaching action level exceeded (see Advanced EHE Options tab of Surfer).</v>
      </c>
      <c r="Z161" s="29"/>
      <c r="AA161"/>
      <c r="AB161"/>
      <c r="AC161"/>
      <c r="AD161"/>
    </row>
    <row r="162" spans="13:30" ht="25.5">
      <c r="M162" s="438" t="str">
        <f t="shared" ref="M162:M186" si="14">IF($D$14=$N$27,O162,N162)</f>
        <v>TETRANITRO-1,3,5,7-TETRAAZOCYCLOOCTANE (HMX)</v>
      </c>
      <c r="N162" s="429" t="s">
        <v>1288</v>
      </c>
      <c r="O162" s="430" t="s">
        <v>116</v>
      </c>
      <c r="P162" s="400" t="s">
        <v>954</v>
      </c>
      <c r="Q162" s="400" t="s">
        <v>954</v>
      </c>
      <c r="R162" s="400" t="s">
        <v>954</v>
      </c>
      <c r="S162" s="365">
        <v>0.2</v>
      </c>
      <c r="T162" s="364" t="s">
        <v>665</v>
      </c>
      <c r="U162" s="363" t="s">
        <v>653</v>
      </c>
      <c r="V162" s="363" t="s">
        <v>666</v>
      </c>
      <c r="W162" s="391">
        <f>IF('Table H (Constants)'!F139=0,"",'Table H (Constants)'!F139)</f>
        <v>531.6</v>
      </c>
      <c r="X162" s="378">
        <f t="shared" si="13"/>
        <v>3</v>
      </c>
      <c r="Y162" s="28" t="str">
        <f t="shared" si="11"/>
        <v>Potentially significant soil leaching hazard and subsequent contamination of groundwater.  Batch tests recommended if soil leaching action level exceeded (see Advanced EHE Options tab of Surfer).</v>
      </c>
      <c r="Z162" s="29"/>
      <c r="AA162"/>
      <c r="AB162"/>
      <c r="AC162"/>
      <c r="AD162"/>
    </row>
    <row r="163" spans="13:30">
      <c r="M163" s="438" t="str">
        <f t="shared" si="14"/>
        <v>THALLIUM</v>
      </c>
      <c r="N163" s="429" t="s">
        <v>1289</v>
      </c>
      <c r="O163" s="408" t="s">
        <v>476</v>
      </c>
      <c r="P163" s="400" t="s">
        <v>954</v>
      </c>
      <c r="Q163" s="400" t="s">
        <v>954</v>
      </c>
      <c r="R163" s="400" t="s">
        <v>954</v>
      </c>
      <c r="S163" s="365">
        <v>1</v>
      </c>
      <c r="T163" s="364" t="s">
        <v>666</v>
      </c>
      <c r="U163" s="363" t="s">
        <v>653</v>
      </c>
      <c r="V163" s="363" t="s">
        <v>666</v>
      </c>
      <c r="W163" s="391" t="str">
        <f>IF('Table H (Constants)'!F140=0,"",'Table H (Constants)'!F140)</f>
        <v/>
      </c>
      <c r="X163" s="378">
        <f t="shared" si="13"/>
        <v>2</v>
      </c>
      <c r="Y163" s="409" t="s">
        <v>1065</v>
      </c>
      <c r="Z163" s="29"/>
      <c r="AA163"/>
      <c r="AB163"/>
      <c r="AC163"/>
      <c r="AD163"/>
    </row>
    <row r="164" spans="13:30">
      <c r="M164" s="438" t="str">
        <f t="shared" si="14"/>
        <v>TOLUENE</v>
      </c>
      <c r="N164" s="429" t="s">
        <v>1290</v>
      </c>
      <c r="O164" s="81" t="s">
        <v>366</v>
      </c>
      <c r="P164" s="400" t="s">
        <v>954</v>
      </c>
      <c r="Q164" s="400" t="s">
        <v>954</v>
      </c>
      <c r="R164" s="400" t="s">
        <v>954</v>
      </c>
      <c r="S164" s="365">
        <v>0.2</v>
      </c>
      <c r="T164" s="364" t="s">
        <v>665</v>
      </c>
      <c r="U164" s="363" t="s">
        <v>651</v>
      </c>
      <c r="V164" s="363" t="s">
        <v>665</v>
      </c>
      <c r="W164" s="391">
        <f>IF('Table H (Constants)'!F141=0,"",'Table H (Constants)'!F141)</f>
        <v>233.9</v>
      </c>
      <c r="X164" s="378">
        <f t="shared" si="13"/>
        <v>1</v>
      </c>
      <c r="Y164" s="28" t="str">
        <f t="shared" si="11"/>
        <v>Volatile chemical. Collect soil gas data for site-specific evaluation of vapor intrusion hazards if Tier 1 action levels for this hazard exceeded (see Advanced EHE Options tab of Surfer).</v>
      </c>
      <c r="Z164" s="29"/>
      <c r="AA164"/>
      <c r="AB164"/>
      <c r="AC164"/>
      <c r="AD164"/>
    </row>
    <row r="165" spans="13:30">
      <c r="M165" s="438" t="str">
        <f t="shared" si="14"/>
        <v>TOXAPHENE</v>
      </c>
      <c r="N165" s="429" t="s">
        <v>1291</v>
      </c>
      <c r="O165" s="81" t="s">
        <v>20</v>
      </c>
      <c r="P165" s="400">
        <v>9.9999999999999995E-7</v>
      </c>
      <c r="Q165" s="400">
        <v>9.9999999999999995E-7</v>
      </c>
      <c r="R165" s="400">
        <v>1.0000000000000001E-5</v>
      </c>
      <c r="S165" s="365">
        <v>0.2</v>
      </c>
      <c r="T165" s="364" t="s">
        <v>665</v>
      </c>
      <c r="U165" s="363" t="s">
        <v>653</v>
      </c>
      <c r="V165" s="363" t="s">
        <v>666</v>
      </c>
      <c r="W165" s="391">
        <f>IF('Table H (Constants)'!F142=0,"",'Table H (Constants)'!F142)</f>
        <v>77200</v>
      </c>
      <c r="X165" s="378">
        <f t="shared" si="13"/>
        <v>5</v>
      </c>
      <c r="Y165" s="28" t="str">
        <f t="shared" si="11"/>
        <v>Not anticipated to be significantly mobile in soil or groundwater.  Batch tests recommended if soil leaching action level exceeded (see Advanced EHE Options tab of Surfer). Evaluate potential surface runoff hazards into aquatic habitats.</v>
      </c>
      <c r="Z165" s="29"/>
      <c r="AA165"/>
      <c r="AB165"/>
      <c r="AC165"/>
      <c r="AD165"/>
    </row>
    <row r="166" spans="13:30" ht="25.5">
      <c r="M166" s="438" t="str">
        <f t="shared" si="14"/>
        <v>TPH (gasolines)</v>
      </c>
      <c r="N166" s="429" t="s">
        <v>1319</v>
      </c>
      <c r="O166" s="367" t="s">
        <v>57</v>
      </c>
      <c r="P166" s="400" t="s">
        <v>954</v>
      </c>
      <c r="Q166" s="400" t="s">
        <v>954</v>
      </c>
      <c r="R166" s="400" t="s">
        <v>954</v>
      </c>
      <c r="S166" s="365">
        <v>1</v>
      </c>
      <c r="T166" s="364" t="s">
        <v>665</v>
      </c>
      <c r="U166" s="363" t="s">
        <v>651</v>
      </c>
      <c r="V166" s="363" t="s">
        <v>665</v>
      </c>
      <c r="W166" s="391">
        <f>IF('Table H (Constants)'!F143=0,"",'Table H (Constants)'!F143)</f>
        <v>1778</v>
      </c>
      <c r="X166" s="378">
        <f t="shared" si="13"/>
        <v>1</v>
      </c>
      <c r="Y166" s="392" t="s">
        <v>1742</v>
      </c>
      <c r="Z166" s="29"/>
      <c r="AA166"/>
      <c r="AB166"/>
      <c r="AC166"/>
      <c r="AD166"/>
    </row>
    <row r="167" spans="13:30" ht="25.5">
      <c r="M167" s="438" t="str">
        <f t="shared" si="14"/>
        <v>TPH (middle distillates)</v>
      </c>
      <c r="N167" s="429" t="s">
        <v>1320</v>
      </c>
      <c r="O167" s="367" t="s">
        <v>56</v>
      </c>
      <c r="P167" s="400" t="s">
        <v>954</v>
      </c>
      <c r="Q167" s="400" t="s">
        <v>954</v>
      </c>
      <c r="R167" s="400" t="s">
        <v>954</v>
      </c>
      <c r="S167" s="365">
        <v>1</v>
      </c>
      <c r="T167" s="364" t="s">
        <v>665</v>
      </c>
      <c r="U167" s="363" t="s">
        <v>651</v>
      </c>
      <c r="V167" s="363" t="s">
        <v>665</v>
      </c>
      <c r="W167" s="391">
        <f>IF('Table H (Constants)'!F144=0,"",'Table H (Constants)'!F144)</f>
        <v>1778</v>
      </c>
      <c r="X167" s="378">
        <f t="shared" si="13"/>
        <v>1</v>
      </c>
      <c r="Y167" s="392" t="s">
        <v>1741</v>
      </c>
      <c r="Z167" s="29"/>
      <c r="AA167"/>
      <c r="AB167"/>
      <c r="AC167"/>
      <c r="AD167"/>
    </row>
    <row r="168" spans="13:30">
      <c r="M168" s="438" t="str">
        <f t="shared" si="14"/>
        <v>TPH (residual fuels)</v>
      </c>
      <c r="N168" s="429" t="s">
        <v>1321</v>
      </c>
      <c r="O168" s="367" t="s">
        <v>777</v>
      </c>
      <c r="P168" s="400" t="s">
        <v>954</v>
      </c>
      <c r="Q168" s="400" t="s">
        <v>954</v>
      </c>
      <c r="R168" s="400" t="s">
        <v>954</v>
      </c>
      <c r="S168" s="365">
        <v>1</v>
      </c>
      <c r="T168" s="364" t="s">
        <v>665</v>
      </c>
      <c r="U168" s="363" t="s">
        <v>653</v>
      </c>
      <c r="V168" s="363" t="s">
        <v>665</v>
      </c>
      <c r="W168" s="391" t="str">
        <f>IF('Table H (Constants)'!F145=0,"",'Table H (Constants)'!F145)</f>
        <v/>
      </c>
      <c r="X168" s="378">
        <f t="shared" si="13"/>
        <v>5</v>
      </c>
      <c r="Y168" s="392" t="s">
        <v>1740</v>
      </c>
      <c r="Z168" s="29"/>
      <c r="AA168"/>
      <c r="AB168"/>
      <c r="AC168"/>
      <c r="AD168"/>
    </row>
    <row r="169" spans="13:30">
      <c r="M169" s="438" t="str">
        <f t="shared" si="14"/>
        <v>TRICHLOROBENZENE, 1,2,4-</v>
      </c>
      <c r="N169" s="429" t="s">
        <v>1292</v>
      </c>
      <c r="O169" s="81" t="s">
        <v>814</v>
      </c>
      <c r="P169" s="400">
        <v>9.9999999999999995E-7</v>
      </c>
      <c r="Q169" s="400">
        <v>9.9999999999999995E-7</v>
      </c>
      <c r="R169" s="400">
        <v>9.9999999999999995E-7</v>
      </c>
      <c r="S169" s="365">
        <v>0.2</v>
      </c>
      <c r="T169" s="364" t="s">
        <v>665</v>
      </c>
      <c r="U169" s="363" t="s">
        <v>651</v>
      </c>
      <c r="V169" s="363" t="s">
        <v>666</v>
      </c>
      <c r="W169" s="391">
        <f>IF('Table H (Constants)'!F146=0,"",'Table H (Constants)'!F146)</f>
        <v>1356</v>
      </c>
      <c r="X169" s="378">
        <f t="shared" si="13"/>
        <v>1</v>
      </c>
      <c r="Y169" s="28" t="str">
        <f t="shared" ref="Y169:Y186" si="15">IF(X169=$X$19,$Y$19,IF(X169=$X$20,$Y$20,IF(X169=$X$22,$Y$22,IF(X169=$X$24,$Y$24,$Y$26))))</f>
        <v>Volatile chemical. Collect soil gas data for site-specific evaluation of vapor intrusion hazards if Tier 1 action levels for this hazard exceeded (see Advanced EHE Options tab of Surfer).</v>
      </c>
      <c r="Z169" s="29"/>
      <c r="AA169"/>
      <c r="AB169"/>
      <c r="AC169"/>
      <c r="AD169"/>
    </row>
    <row r="170" spans="13:30">
      <c r="M170" s="438" t="str">
        <f t="shared" si="14"/>
        <v>TRICHLOROETHANE, 1,1,1-</v>
      </c>
      <c r="N170" s="429" t="s">
        <v>1293</v>
      </c>
      <c r="O170" s="81" t="s">
        <v>815</v>
      </c>
      <c r="P170" s="400" t="s">
        <v>954</v>
      </c>
      <c r="Q170" s="400" t="s">
        <v>954</v>
      </c>
      <c r="R170" s="400" t="s">
        <v>954</v>
      </c>
      <c r="S170" s="365">
        <v>0.2</v>
      </c>
      <c r="T170" s="364" t="s">
        <v>665</v>
      </c>
      <c r="U170" s="363" t="s">
        <v>651</v>
      </c>
      <c r="V170" s="363" t="s">
        <v>666</v>
      </c>
      <c r="W170" s="391">
        <f>IF('Table H (Constants)'!F147=0,"",'Table H (Constants)'!F147)</f>
        <v>43.89</v>
      </c>
      <c r="X170" s="378">
        <f t="shared" si="13"/>
        <v>1</v>
      </c>
      <c r="Y170" s="28" t="str">
        <f t="shared" si="15"/>
        <v>Volatile chemical. Collect soil gas data for site-specific evaluation of vapor intrusion hazards if Tier 1 action levels for this hazard exceeded (see Advanced EHE Options tab of Surfer).</v>
      </c>
      <c r="Z170" s="29"/>
      <c r="AA170"/>
      <c r="AB170"/>
      <c r="AC170"/>
      <c r="AD170"/>
    </row>
    <row r="171" spans="13:30">
      <c r="M171" s="438" t="str">
        <f t="shared" si="14"/>
        <v>TRICHLOROETHANE, 1,1,2-</v>
      </c>
      <c r="N171" s="429" t="s">
        <v>1294</v>
      </c>
      <c r="O171" s="81" t="s">
        <v>477</v>
      </c>
      <c r="P171" s="400">
        <v>9.9999999999999995E-7</v>
      </c>
      <c r="Q171" s="400">
        <v>9.9999999999999995E-7</v>
      </c>
      <c r="R171" s="400">
        <v>9.9999999999999995E-7</v>
      </c>
      <c r="S171" s="365">
        <v>0.2</v>
      </c>
      <c r="T171" s="364" t="s">
        <v>665</v>
      </c>
      <c r="U171" s="363" t="s">
        <v>651</v>
      </c>
      <c r="V171" s="363" t="s">
        <v>666</v>
      </c>
      <c r="W171" s="391">
        <f>IF('Table H (Constants)'!F148=0,"",'Table H (Constants)'!F148)</f>
        <v>60.7</v>
      </c>
      <c r="X171" s="378">
        <f t="shared" si="13"/>
        <v>1</v>
      </c>
      <c r="Y171" s="28" t="str">
        <f t="shared" si="15"/>
        <v>Volatile chemical. Collect soil gas data for site-specific evaluation of vapor intrusion hazards if Tier 1 action levels for this hazard exceeded (see Advanced EHE Options tab of Surfer).</v>
      </c>
      <c r="Z171" s="29"/>
      <c r="AA171"/>
      <c r="AB171"/>
      <c r="AC171"/>
      <c r="AD171"/>
    </row>
    <row r="172" spans="13:30">
      <c r="M172" s="438" t="str">
        <f t="shared" si="14"/>
        <v>TRICHLOROETHYLENE</v>
      </c>
      <c r="N172" s="429" t="s">
        <v>1295</v>
      </c>
      <c r="O172" s="81" t="s">
        <v>478</v>
      </c>
      <c r="P172" s="400">
        <v>9.9999999999999995E-7</v>
      </c>
      <c r="Q172" s="400">
        <v>9.9999999999999995E-7</v>
      </c>
      <c r="R172" s="400">
        <v>9.9999999999999995E-7</v>
      </c>
      <c r="S172" s="365">
        <v>0.2</v>
      </c>
      <c r="T172" s="364" t="s">
        <v>665</v>
      </c>
      <c r="U172" s="363" t="s">
        <v>651</v>
      </c>
      <c r="V172" s="363" t="s">
        <v>666</v>
      </c>
      <c r="W172" s="391">
        <f>IF('Table H (Constants)'!F149=0,"",'Table H (Constants)'!F149)</f>
        <v>60.7</v>
      </c>
      <c r="X172" s="378">
        <f t="shared" si="13"/>
        <v>1</v>
      </c>
      <c r="Y172" s="28" t="str">
        <f t="shared" si="15"/>
        <v>Volatile chemical. Collect soil gas data for site-specific evaluation of vapor intrusion hazards if Tier 1 action levels for this hazard exceeded (see Advanced EHE Options tab of Surfer).</v>
      </c>
      <c r="Z172" s="29"/>
      <c r="AA172"/>
      <c r="AB172"/>
      <c r="AC172"/>
      <c r="AD172"/>
    </row>
    <row r="173" spans="13:30">
      <c r="M173" s="438" t="str">
        <f t="shared" si="14"/>
        <v>TRICHLOROPHENOL, 2,4,5-</v>
      </c>
      <c r="N173" s="429" t="s">
        <v>1296</v>
      </c>
      <c r="O173" s="81" t="s">
        <v>479</v>
      </c>
      <c r="P173" s="400" t="s">
        <v>954</v>
      </c>
      <c r="Q173" s="400" t="s">
        <v>954</v>
      </c>
      <c r="R173" s="400" t="s">
        <v>954</v>
      </c>
      <c r="S173" s="365">
        <v>0.2</v>
      </c>
      <c r="T173" s="364" t="s">
        <v>665</v>
      </c>
      <c r="U173" s="363" t="s">
        <v>653</v>
      </c>
      <c r="V173" s="363" t="s">
        <v>666</v>
      </c>
      <c r="W173" s="391">
        <f>IF('Table H (Constants)'!F150=0,"",'Table H (Constants)'!F150)</f>
        <v>1597</v>
      </c>
      <c r="X173" s="378">
        <f t="shared" si="13"/>
        <v>3</v>
      </c>
      <c r="Y173" s="28" t="str">
        <f t="shared" si="15"/>
        <v>Potentially significant soil leaching hazard and subsequent contamination of groundwater.  Batch tests recommended if soil leaching action level exceeded (see Advanced EHE Options tab of Surfer).</v>
      </c>
      <c r="Z173" s="29"/>
      <c r="AA173"/>
      <c r="AB173"/>
      <c r="AC173"/>
      <c r="AD173"/>
    </row>
    <row r="174" spans="13:30">
      <c r="M174" s="438" t="str">
        <f t="shared" si="14"/>
        <v>TRICHLOROPHENOL, 2,4,6-</v>
      </c>
      <c r="N174" s="429" t="s">
        <v>1297</v>
      </c>
      <c r="O174" s="81" t="s">
        <v>480</v>
      </c>
      <c r="P174" s="400">
        <v>9.9999999999999995E-7</v>
      </c>
      <c r="Q174" s="400">
        <v>9.9999999999999995E-7</v>
      </c>
      <c r="R174" s="400">
        <v>1.0000000000000001E-5</v>
      </c>
      <c r="S174" s="365">
        <v>0.2</v>
      </c>
      <c r="T174" s="364" t="s">
        <v>665</v>
      </c>
      <c r="U174" s="363" t="s">
        <v>653</v>
      </c>
      <c r="V174" s="363" t="s">
        <v>666</v>
      </c>
      <c r="W174" s="391">
        <f>IF('Table H (Constants)'!F151=0,"",'Table H (Constants)'!F151)</f>
        <v>381</v>
      </c>
      <c r="X174" s="378">
        <f t="shared" si="13"/>
        <v>3</v>
      </c>
      <c r="Y174" s="28" t="str">
        <f t="shared" si="15"/>
        <v>Potentially significant soil leaching hazard and subsequent contamination of groundwater.  Batch tests recommended if soil leaching action level exceeded (see Advanced EHE Options tab of Surfer).</v>
      </c>
      <c r="Z174" s="29"/>
      <c r="AA174"/>
      <c r="AB174"/>
      <c r="AC174"/>
      <c r="AD174"/>
    </row>
    <row r="175" spans="13:30" ht="25.5">
      <c r="M175" s="438" t="str">
        <f t="shared" si="14"/>
        <v>TRICHLOROPHENOXYACETIC ACID, 2,4,5- (2,4,5-T)</v>
      </c>
      <c r="N175" s="429" t="s">
        <v>1298</v>
      </c>
      <c r="O175" s="430" t="s">
        <v>117</v>
      </c>
      <c r="P175" s="400" t="s">
        <v>954</v>
      </c>
      <c r="Q175" s="400" t="s">
        <v>954</v>
      </c>
      <c r="R175" s="400" t="s">
        <v>954</v>
      </c>
      <c r="S175" s="365">
        <v>0.2</v>
      </c>
      <c r="T175" s="364" t="s">
        <v>665</v>
      </c>
      <c r="U175" s="363" t="s">
        <v>653</v>
      </c>
      <c r="V175" s="363" t="s">
        <v>666</v>
      </c>
      <c r="W175" s="391">
        <f>IF('Table H (Constants)'!F152=0,"",'Table H (Constants)'!F152)</f>
        <v>107</v>
      </c>
      <c r="X175" s="378">
        <f t="shared" si="13"/>
        <v>3</v>
      </c>
      <c r="Y175" s="28" t="str">
        <f t="shared" si="15"/>
        <v>Potentially significant soil leaching hazard and subsequent contamination of groundwater.  Batch tests recommended if soil leaching action level exceeded (see Advanced EHE Options tab of Surfer).</v>
      </c>
      <c r="Z175" s="29"/>
      <c r="AA175"/>
      <c r="AB175"/>
      <c r="AC175"/>
      <c r="AD175"/>
    </row>
    <row r="176" spans="13:30" ht="25.5">
      <c r="M176" s="438" t="str">
        <f t="shared" si="14"/>
        <v>TRICHLOROPHENOXYPROPIONIC ACID, 2,4,5- (2,4,5-TP)</v>
      </c>
      <c r="N176" s="429" t="s">
        <v>1299</v>
      </c>
      <c r="O176" s="1" t="s">
        <v>118</v>
      </c>
      <c r="P176" s="400" t="s">
        <v>954</v>
      </c>
      <c r="Q176" s="400" t="s">
        <v>954</v>
      </c>
      <c r="R176" s="400" t="s">
        <v>954</v>
      </c>
      <c r="S176" s="365">
        <v>0.2</v>
      </c>
      <c r="T176" s="364" t="s">
        <v>665</v>
      </c>
      <c r="U176" s="363" t="s">
        <v>653</v>
      </c>
      <c r="V176" s="363" t="s">
        <v>666</v>
      </c>
      <c r="W176" s="391">
        <f>IF('Table H (Constants)'!F153=0,"",'Table H (Constants)'!F153)</f>
        <v>175.3</v>
      </c>
      <c r="X176" s="378">
        <f t="shared" si="13"/>
        <v>3</v>
      </c>
      <c r="Y176" s="28" t="str">
        <f t="shared" si="15"/>
        <v>Potentially significant soil leaching hazard and subsequent contamination of groundwater.  Batch tests recommended if soil leaching action level exceeded (see Advanced EHE Options tab of Surfer).</v>
      </c>
      <c r="Z176" s="29"/>
      <c r="AA176"/>
      <c r="AB176"/>
      <c r="AC176"/>
      <c r="AD176"/>
    </row>
    <row r="177" spans="13:30">
      <c r="M177" s="438" t="str">
        <f t="shared" si="14"/>
        <v>TRICHLOROPROPANE, 1,2,3-</v>
      </c>
      <c r="N177" s="429" t="s">
        <v>1300</v>
      </c>
      <c r="O177" s="1" t="s">
        <v>119</v>
      </c>
      <c r="P177" s="400">
        <v>9.9999999999999995E-7</v>
      </c>
      <c r="Q177" s="400">
        <v>9.9999999999999995E-7</v>
      </c>
      <c r="R177" s="400">
        <v>9.9999999999999995E-7</v>
      </c>
      <c r="S177" s="365">
        <v>0.2</v>
      </c>
      <c r="T177" s="364" t="s">
        <v>665</v>
      </c>
      <c r="U177" s="363" t="s">
        <v>651</v>
      </c>
      <c r="V177" s="363" t="s">
        <v>666</v>
      </c>
      <c r="W177" s="391">
        <f>IF('Table H (Constants)'!F154=0,"",'Table H (Constants)'!F154)</f>
        <v>115.8</v>
      </c>
      <c r="X177" s="378">
        <f t="shared" si="13"/>
        <v>1</v>
      </c>
      <c r="Y177" s="28" t="str">
        <f t="shared" si="15"/>
        <v>Volatile chemical. Collect soil gas data for site-specific evaluation of vapor intrusion hazards if Tier 1 action levels for this hazard exceeded (see Advanced EHE Options tab of Surfer).</v>
      </c>
      <c r="Z177" s="29"/>
      <c r="AA177"/>
      <c r="AB177"/>
      <c r="AC177"/>
      <c r="AD177"/>
    </row>
    <row r="178" spans="13:30">
      <c r="M178" s="438" t="str">
        <f t="shared" si="14"/>
        <v>TRICHLOROPROPENE, 1,2,3-</v>
      </c>
      <c r="N178" s="429" t="s">
        <v>1301</v>
      </c>
      <c r="O178" s="1" t="s">
        <v>120</v>
      </c>
      <c r="P178" s="400" t="s">
        <v>954</v>
      </c>
      <c r="Q178" s="400" t="s">
        <v>954</v>
      </c>
      <c r="R178" s="400" t="s">
        <v>954</v>
      </c>
      <c r="S178" s="365">
        <v>0.2</v>
      </c>
      <c r="T178" s="364" t="s">
        <v>665</v>
      </c>
      <c r="U178" s="363" t="s">
        <v>651</v>
      </c>
      <c r="V178" s="363" t="s">
        <v>666</v>
      </c>
      <c r="W178" s="391">
        <f>IF('Table H (Constants)'!F155=0,"",'Table H (Constants)'!F155)</f>
        <v>115.8</v>
      </c>
      <c r="X178" s="378">
        <f t="shared" si="13"/>
        <v>1</v>
      </c>
      <c r="Y178" s="28" t="str">
        <f t="shared" si="15"/>
        <v>Volatile chemical. Collect soil gas data for site-specific evaluation of vapor intrusion hazards if Tier 1 action levels for this hazard exceeded (see Advanced EHE Options tab of Surfer).</v>
      </c>
      <c r="Z178" s="29"/>
      <c r="AA178"/>
      <c r="AB178"/>
      <c r="AC178"/>
      <c r="AD178"/>
    </row>
    <row r="179" spans="13:30">
      <c r="M179" s="438" t="str">
        <f t="shared" si="14"/>
        <v>TRIFLURALIN</v>
      </c>
      <c r="N179" s="429" t="s">
        <v>1302</v>
      </c>
      <c r="O179" s="1" t="s">
        <v>602</v>
      </c>
      <c r="P179" s="400">
        <v>9.9999999999999995E-7</v>
      </c>
      <c r="Q179" s="400">
        <v>9.9999999999999995E-7</v>
      </c>
      <c r="R179" s="400">
        <v>1.0000000000000001E-5</v>
      </c>
      <c r="S179" s="365">
        <v>0.2</v>
      </c>
      <c r="T179" s="364" t="s">
        <v>665</v>
      </c>
      <c r="U179" s="363" t="s">
        <v>653</v>
      </c>
      <c r="V179" s="363" t="s">
        <v>666</v>
      </c>
      <c r="W179" s="391">
        <f>IF('Table H (Constants)'!F156=0,"",'Table H (Constants)'!F156)</f>
        <v>16390</v>
      </c>
      <c r="X179" s="378">
        <v>5</v>
      </c>
      <c r="Y179" s="28" t="str">
        <f t="shared" si="15"/>
        <v>Not anticipated to be significantly mobile in soil or groundwater.  Batch tests recommended if soil leaching action level exceeded (see Advanced EHE Options tab of Surfer). Evaluate potential surface runoff hazards into aquatic habitats.</v>
      </c>
      <c r="Z179" s="29"/>
      <c r="AA179"/>
      <c r="AB179"/>
      <c r="AC179"/>
      <c r="AD179"/>
    </row>
    <row r="180" spans="13:30" ht="13.5" customHeight="1">
      <c r="M180" s="438" t="str">
        <f t="shared" si="14"/>
        <v>TRINITROBENZENE, 1,3,5-</v>
      </c>
      <c r="N180" s="429" t="s">
        <v>1303</v>
      </c>
      <c r="O180" s="430" t="s">
        <v>939</v>
      </c>
      <c r="P180" s="400">
        <v>9.9999999999999995E-7</v>
      </c>
      <c r="Q180" s="400">
        <v>9.9999999999999995E-7</v>
      </c>
      <c r="R180" s="400">
        <v>1.0000000000000001E-5</v>
      </c>
      <c r="S180" s="365">
        <v>0.2</v>
      </c>
      <c r="T180" s="364" t="s">
        <v>665</v>
      </c>
      <c r="U180" s="363" t="s">
        <v>653</v>
      </c>
      <c r="V180" s="363" t="s">
        <v>666</v>
      </c>
      <c r="W180" s="391">
        <f>IF('Table H (Constants)'!F157=0,"",'Table H (Constants)'!F157)</f>
        <v>1683</v>
      </c>
      <c r="X180" s="378">
        <f t="shared" ref="X180:X186" si="16">IF(T180="Y",$X$20,IF(U180="V",$X$19,IF(W180&gt;30000,$X$26,IF(V180="N",$X$24,$X$22))))</f>
        <v>3</v>
      </c>
      <c r="Y180" s="28" t="str">
        <f t="shared" si="15"/>
        <v>Potentially significant soil leaching hazard and subsequent contamination of groundwater.  Batch tests recommended if soil leaching action level exceeded (see Advanced EHE Options tab of Surfer).</v>
      </c>
      <c r="Z180" s="29"/>
      <c r="AA180"/>
      <c r="AB180"/>
      <c r="AC180"/>
      <c r="AD180"/>
    </row>
    <row r="181" spans="13:30" ht="25.5">
      <c r="M181" s="438" t="str">
        <f t="shared" si="14"/>
        <v>TRINITROPHENYLMETHYLNITRAMINE, 2,4,6- (TETRYL)</v>
      </c>
      <c r="N181" s="429" t="s">
        <v>1304</v>
      </c>
      <c r="O181" s="430" t="s">
        <v>603</v>
      </c>
      <c r="P181" s="400" t="s">
        <v>954</v>
      </c>
      <c r="Q181" s="400" t="s">
        <v>954</v>
      </c>
      <c r="R181" s="400" t="s">
        <v>954</v>
      </c>
      <c r="S181" s="365">
        <v>0.2</v>
      </c>
      <c r="T181" s="364" t="s">
        <v>665</v>
      </c>
      <c r="U181" s="363" t="s">
        <v>653</v>
      </c>
      <c r="V181" s="363" t="s">
        <v>666</v>
      </c>
      <c r="W181" s="391">
        <f>IF('Table H (Constants)'!F158=0,"",'Table H (Constants)'!F158)</f>
        <v>4605</v>
      </c>
      <c r="X181" s="378">
        <f t="shared" si="16"/>
        <v>3</v>
      </c>
      <c r="Y181" s="28" t="str">
        <f t="shared" si="15"/>
        <v>Potentially significant soil leaching hazard and subsequent contamination of groundwater.  Batch tests recommended if soil leaching action level exceeded (see Advanced EHE Options tab of Surfer).</v>
      </c>
      <c r="Z181" s="29"/>
      <c r="AA181"/>
      <c r="AB181"/>
      <c r="AC181"/>
      <c r="AD181"/>
    </row>
    <row r="182" spans="13:30">
      <c r="M182" s="438" t="str">
        <f t="shared" si="14"/>
        <v>TRINITROTOLUENE, 2,4,6- (TNT)</v>
      </c>
      <c r="N182" s="429" t="s">
        <v>1305</v>
      </c>
      <c r="O182" s="430" t="s">
        <v>605</v>
      </c>
      <c r="P182" s="400">
        <v>9.9999999999999995E-7</v>
      </c>
      <c r="Q182" s="400">
        <v>9.9999999999999995E-7</v>
      </c>
      <c r="R182" s="400">
        <v>1.0000000000000001E-5</v>
      </c>
      <c r="S182" s="365">
        <v>0.2</v>
      </c>
      <c r="T182" s="364" t="s">
        <v>665</v>
      </c>
      <c r="U182" s="363" t="s">
        <v>653</v>
      </c>
      <c r="V182" s="363" t="s">
        <v>666</v>
      </c>
      <c r="W182" s="391">
        <f>IF('Table H (Constants)'!F159=0,"",'Table H (Constants)'!F159)</f>
        <v>2812</v>
      </c>
      <c r="X182" s="378">
        <f t="shared" si="16"/>
        <v>3</v>
      </c>
      <c r="Y182" s="28" t="str">
        <f t="shared" si="15"/>
        <v>Potentially significant soil leaching hazard and subsequent contamination of groundwater.  Batch tests recommended if soil leaching action level exceeded (see Advanced EHE Options tab of Surfer).</v>
      </c>
      <c r="Z182" s="29"/>
      <c r="AA182"/>
      <c r="AB182"/>
      <c r="AC182"/>
      <c r="AD182"/>
    </row>
    <row r="183" spans="13:30">
      <c r="M183" s="438" t="str">
        <f t="shared" si="14"/>
        <v>VANADIUM</v>
      </c>
      <c r="N183" s="429" t="s">
        <v>1306</v>
      </c>
      <c r="O183" s="81" t="s">
        <v>481</v>
      </c>
      <c r="P183" s="400">
        <v>9.9999999999999995E-7</v>
      </c>
      <c r="Q183" s="400">
        <v>9.9999999999999995E-7</v>
      </c>
      <c r="R183" s="400">
        <v>1.0000000000000001E-5</v>
      </c>
      <c r="S183" s="365">
        <v>0.2</v>
      </c>
      <c r="T183" s="364" t="s">
        <v>666</v>
      </c>
      <c r="U183" s="363" t="s">
        <v>653</v>
      </c>
      <c r="V183" s="363" t="s">
        <v>666</v>
      </c>
      <c r="W183" s="391" t="str">
        <f>IF('Table H (Constants)'!F160=0,"",'Table H (Constants)'!F160)</f>
        <v/>
      </c>
      <c r="X183" s="378">
        <f t="shared" si="16"/>
        <v>2</v>
      </c>
      <c r="Y183" s="28" t="str">
        <f t="shared" si="15"/>
        <v>Naturally occurring metal.  Action levels for leaching of metals from soil and subsequent contamination of groundwater not developed.  Batch tests and/or groundwater monitoring recommended if soil background exceeded (see Advanced EHE Options tab of Surfer).</v>
      </c>
      <c r="Z183" s="29"/>
      <c r="AA183"/>
      <c r="AB183"/>
      <c r="AC183"/>
      <c r="AD183"/>
    </row>
    <row r="184" spans="13:30">
      <c r="M184" s="438" t="str">
        <f t="shared" si="14"/>
        <v>VINYL CHLORIDE</v>
      </c>
      <c r="N184" s="429" t="s">
        <v>1307</v>
      </c>
      <c r="O184" s="81" t="s">
        <v>482</v>
      </c>
      <c r="P184" s="400">
        <v>9.9999999999999995E-7</v>
      </c>
      <c r="Q184" s="400">
        <v>9.9999999999999995E-7</v>
      </c>
      <c r="R184" s="400">
        <v>9.9999999999999995E-7</v>
      </c>
      <c r="S184" s="365">
        <v>0.2</v>
      </c>
      <c r="T184" s="364" t="s">
        <v>665</v>
      </c>
      <c r="U184" s="363" t="s">
        <v>651</v>
      </c>
      <c r="V184" s="363" t="s">
        <v>666</v>
      </c>
      <c r="W184" s="391">
        <f>IF('Table H (Constants)'!F161=0,"",'Table H (Constants)'!F161)</f>
        <v>21.73</v>
      </c>
      <c r="X184" s="378">
        <f t="shared" si="16"/>
        <v>1</v>
      </c>
      <c r="Y184" s="28" t="str">
        <f t="shared" si="15"/>
        <v>Volatile chemical. Collect soil gas data for site-specific evaluation of vapor intrusion hazards if Tier 1 action levels for this hazard exceeded (see Advanced EHE Options tab of Surfer).</v>
      </c>
      <c r="Z184" s="29"/>
      <c r="AA184"/>
      <c r="AB184"/>
      <c r="AC184"/>
      <c r="AD184"/>
    </row>
    <row r="185" spans="13:30">
      <c r="M185" s="438" t="str">
        <f t="shared" si="14"/>
        <v>XYLENES</v>
      </c>
      <c r="N185" s="429" t="s">
        <v>1308</v>
      </c>
      <c r="O185" s="81" t="s">
        <v>483</v>
      </c>
      <c r="P185" s="400" t="s">
        <v>954</v>
      </c>
      <c r="Q185" s="400" t="s">
        <v>954</v>
      </c>
      <c r="R185" s="400" t="s">
        <v>954</v>
      </c>
      <c r="S185" s="365">
        <v>0.2</v>
      </c>
      <c r="T185" s="364" t="s">
        <v>665</v>
      </c>
      <c r="U185" s="363" t="s">
        <v>651</v>
      </c>
      <c r="V185" s="363" t="s">
        <v>665</v>
      </c>
      <c r="W185" s="391">
        <f>IF('Table H (Constants)'!F162=0,"",'Table H (Constants)'!F162)</f>
        <v>382.9</v>
      </c>
      <c r="X185" s="378">
        <f t="shared" si="16"/>
        <v>1</v>
      </c>
      <c r="Y185" s="28" t="str">
        <f t="shared" si="15"/>
        <v>Volatile chemical. Collect soil gas data for site-specific evaluation of vapor intrusion hazards if Tier 1 action levels for this hazard exceeded (see Advanced EHE Options tab of Surfer).</v>
      </c>
      <c r="Z185" s="29"/>
      <c r="AA185"/>
      <c r="AB185"/>
      <c r="AC185"/>
      <c r="AD185"/>
    </row>
    <row r="186" spans="13:30">
      <c r="M186" s="438" t="str">
        <f t="shared" si="14"/>
        <v>ZINC</v>
      </c>
      <c r="N186" s="429" t="s">
        <v>1309</v>
      </c>
      <c r="O186" s="81" t="s">
        <v>484</v>
      </c>
      <c r="P186" s="400" t="s">
        <v>954</v>
      </c>
      <c r="Q186" s="400" t="s">
        <v>954</v>
      </c>
      <c r="R186" s="400" t="s">
        <v>954</v>
      </c>
      <c r="S186" s="365">
        <v>0.2</v>
      </c>
      <c r="T186" s="364" t="s">
        <v>666</v>
      </c>
      <c r="U186" s="363" t="s">
        <v>653</v>
      </c>
      <c r="V186" s="363" t="s">
        <v>666</v>
      </c>
      <c r="W186" s="391" t="str">
        <f>IF('Table H (Constants)'!F163=0,"",'Table H (Constants)'!F163)</f>
        <v/>
      </c>
      <c r="X186" s="378">
        <f t="shared" si="16"/>
        <v>2</v>
      </c>
      <c r="Y186" s="28" t="str">
        <f t="shared" si="15"/>
        <v>Naturally occurring metal.  Action levels for leaching of metals from soil and subsequent contamination of groundwater not developed.  Batch tests and/or groundwater monitoring recommended if soil background exceeded (see Advanced EHE Options tab of Surfer).</v>
      </c>
      <c r="Z186" s="29"/>
      <c r="AA186"/>
      <c r="AB186"/>
      <c r="AC186"/>
      <c r="AD186"/>
    </row>
    <row r="187" spans="13:30">
      <c r="O187" s="80"/>
      <c r="P187" s="401"/>
      <c r="Q187" s="401"/>
      <c r="R187" s="401"/>
      <c r="S187" s="80"/>
      <c r="T187" s="80"/>
      <c r="U187" s="80"/>
      <c r="V187" s="80"/>
      <c r="W187" s="80"/>
      <c r="X187" s="80"/>
      <c r="Y187" s="80"/>
      <c r="Z187" s="80"/>
      <c r="AA187" s="80"/>
      <c r="AB187" s="80"/>
    </row>
    <row r="188" spans="13:30">
      <c r="O188" s="81"/>
      <c r="P188" s="402"/>
      <c r="Q188" s="402"/>
      <c r="R188" s="402"/>
      <c r="S188" s="81"/>
      <c r="T188" s="81"/>
      <c r="U188" s="81"/>
      <c r="V188" s="81"/>
      <c r="W188" s="81"/>
      <c r="X188" s="81"/>
      <c r="Y188" s="81"/>
      <c r="Z188" s="81"/>
      <c r="AA188" s="81"/>
      <c r="AB188" s="81"/>
    </row>
    <row r="189" spans="13:30">
      <c r="O189" s="81"/>
      <c r="P189" s="402"/>
      <c r="Q189" s="402"/>
      <c r="R189" s="402"/>
      <c r="S189" s="81"/>
      <c r="T189" s="81"/>
      <c r="U189" s="81"/>
      <c r="V189" s="81"/>
      <c r="W189" s="81"/>
      <c r="X189" s="81"/>
      <c r="Y189" s="81"/>
      <c r="Z189" s="81"/>
      <c r="AA189" s="81"/>
      <c r="AB189" s="81"/>
    </row>
    <row r="190" spans="13:30">
      <c r="O190" s="81"/>
      <c r="P190" s="402"/>
      <c r="Q190" s="402"/>
      <c r="R190" s="402"/>
      <c r="S190" s="81"/>
      <c r="T190" s="81"/>
      <c r="U190" s="81"/>
      <c r="V190" s="81"/>
      <c r="W190" s="81"/>
      <c r="X190" s="81"/>
      <c r="Y190" s="81"/>
      <c r="Z190" s="81"/>
      <c r="AA190" s="81"/>
      <c r="AB190" s="81"/>
    </row>
    <row r="191" spans="13:30">
      <c r="O191" s="81"/>
      <c r="P191" s="402"/>
      <c r="Q191" s="402"/>
      <c r="R191" s="402"/>
      <c r="S191" s="81"/>
      <c r="T191" s="81"/>
      <c r="U191" s="81"/>
      <c r="V191" s="81"/>
      <c r="W191" s="81"/>
      <c r="X191" s="81"/>
      <c r="Y191" s="81"/>
      <c r="Z191" s="81"/>
      <c r="AA191" s="81"/>
      <c r="AB191" s="81"/>
    </row>
    <row r="192" spans="13:30">
      <c r="O192" s="84"/>
      <c r="P192" s="403"/>
      <c r="Q192" s="403"/>
      <c r="R192" s="403"/>
      <c r="S192" s="84"/>
      <c r="T192" s="84"/>
      <c r="U192" s="84"/>
      <c r="V192" s="84"/>
      <c r="W192" s="84"/>
      <c r="X192" s="84"/>
      <c r="Y192" s="84"/>
      <c r="Z192" s="84"/>
      <c r="AA192" s="84"/>
      <c r="AB192" s="84"/>
    </row>
    <row r="193" spans="15:28">
      <c r="O193" s="85"/>
      <c r="P193" s="404"/>
      <c r="Q193" s="404"/>
      <c r="R193" s="404"/>
      <c r="S193" s="85"/>
      <c r="T193" s="85"/>
      <c r="U193" s="85"/>
      <c r="V193" s="85"/>
      <c r="W193" s="85"/>
      <c r="X193" s="85"/>
      <c r="Y193" s="85"/>
      <c r="Z193" s="85"/>
      <c r="AA193" s="85"/>
      <c r="AB193" s="85"/>
    </row>
    <row r="194" spans="15:28">
      <c r="O194" s="81"/>
      <c r="P194" s="402"/>
      <c r="Q194" s="402"/>
      <c r="R194" s="402"/>
      <c r="S194" s="81"/>
      <c r="T194" s="81"/>
      <c r="U194" s="81"/>
      <c r="V194" s="81"/>
      <c r="W194" s="81"/>
      <c r="X194" s="81"/>
      <c r="Y194" s="81"/>
      <c r="Z194" s="81"/>
      <c r="AA194" s="81"/>
      <c r="AB194" s="81"/>
    </row>
    <row r="195" spans="15:28">
      <c r="O195" s="81"/>
      <c r="P195" s="402"/>
      <c r="Q195" s="402"/>
      <c r="R195" s="402"/>
      <c r="S195" s="81"/>
      <c r="T195" s="81"/>
      <c r="U195" s="81"/>
      <c r="V195" s="81"/>
      <c r="W195" s="81"/>
      <c r="X195" s="81"/>
      <c r="Y195" s="81"/>
      <c r="Z195" s="81"/>
      <c r="AA195" s="81"/>
      <c r="AB195" s="81"/>
    </row>
    <row r="196" spans="15:28">
      <c r="O196" s="81"/>
      <c r="P196" s="402"/>
      <c r="Q196" s="402"/>
      <c r="R196" s="402"/>
      <c r="S196" s="81"/>
      <c r="T196" s="81"/>
      <c r="U196" s="81"/>
      <c r="V196" s="81"/>
      <c r="W196" s="81"/>
      <c r="X196" s="81"/>
      <c r="Y196" s="81"/>
      <c r="Z196" s="81"/>
      <c r="AA196" s="81"/>
      <c r="AB196" s="81"/>
    </row>
    <row r="197" spans="15:28">
      <c r="O197" s="86"/>
      <c r="P197" s="404"/>
      <c r="Q197" s="404"/>
      <c r="R197" s="404"/>
      <c r="S197" s="86"/>
      <c r="T197" s="86"/>
      <c r="U197" s="86"/>
      <c r="V197" s="86"/>
      <c r="W197" s="86"/>
      <c r="X197" s="86"/>
      <c r="Y197" s="86"/>
      <c r="Z197" s="86"/>
      <c r="AA197" s="86"/>
      <c r="AB197" s="86"/>
    </row>
    <row r="198" spans="15:28">
      <c r="O198" s="86"/>
      <c r="P198" s="404"/>
      <c r="Q198" s="404"/>
      <c r="R198" s="404"/>
      <c r="S198" s="86"/>
      <c r="T198" s="86"/>
      <c r="U198" s="86"/>
      <c r="V198" s="86"/>
      <c r="W198" s="86"/>
      <c r="X198" s="86"/>
      <c r="Y198" s="86"/>
      <c r="Z198" s="86"/>
      <c r="AA198" s="86"/>
      <c r="AB198" s="86"/>
    </row>
    <row r="199" spans="15:28">
      <c r="O199" s="86"/>
      <c r="P199" s="404"/>
      <c r="Q199" s="404"/>
      <c r="R199" s="404"/>
      <c r="S199" s="86"/>
      <c r="T199" s="86"/>
      <c r="U199" s="86"/>
      <c r="V199" s="86"/>
      <c r="W199" s="86"/>
      <c r="X199" s="86"/>
      <c r="Y199" s="86"/>
      <c r="Z199" s="86"/>
      <c r="AA199" s="86"/>
      <c r="AB199" s="86"/>
    </row>
    <row r="200" spans="15:28">
      <c r="O200" s="86"/>
      <c r="P200" s="404"/>
      <c r="Q200" s="404"/>
      <c r="R200" s="404"/>
      <c r="S200" s="86"/>
      <c r="T200" s="86"/>
      <c r="U200" s="86"/>
      <c r="V200" s="86"/>
      <c r="W200" s="86"/>
      <c r="X200" s="86"/>
      <c r="Y200" s="86"/>
      <c r="Z200" s="86"/>
      <c r="AA200" s="86"/>
      <c r="AB200" s="86"/>
    </row>
    <row r="201" spans="15:28">
      <c r="O201" s="87"/>
      <c r="P201" s="401"/>
      <c r="Q201" s="401"/>
      <c r="R201" s="401"/>
      <c r="S201" s="87"/>
      <c r="T201" s="87"/>
      <c r="U201" s="87"/>
      <c r="V201" s="87"/>
      <c r="W201" s="87"/>
      <c r="X201" s="87"/>
      <c r="Y201" s="87"/>
      <c r="Z201" s="87"/>
      <c r="AA201" s="87"/>
      <c r="AB201" s="87"/>
    </row>
    <row r="202" spans="15:28">
      <c r="O202" s="87"/>
      <c r="P202" s="401"/>
      <c r="Q202" s="401"/>
      <c r="R202" s="401"/>
      <c r="S202" s="87"/>
      <c r="T202" s="87"/>
      <c r="U202" s="87"/>
      <c r="V202" s="87"/>
      <c r="W202" s="87"/>
      <c r="X202" s="87"/>
      <c r="Y202" s="87"/>
      <c r="Z202" s="87"/>
      <c r="AA202" s="87"/>
      <c r="AB202" s="87"/>
    </row>
    <row r="203" spans="15:28">
      <c r="O203" s="85"/>
      <c r="P203" s="404"/>
      <c r="Q203" s="404"/>
      <c r="R203" s="404"/>
      <c r="S203" s="85"/>
      <c r="T203" s="85"/>
      <c r="U203" s="85"/>
      <c r="V203" s="85"/>
      <c r="W203" s="85"/>
      <c r="X203" s="85"/>
      <c r="Y203" s="85"/>
      <c r="Z203" s="85"/>
      <c r="AA203" s="85"/>
      <c r="AB203" s="85"/>
    </row>
    <row r="204" spans="15:28">
      <c r="O204" s="88"/>
      <c r="P204" s="402"/>
      <c r="Q204" s="402"/>
      <c r="R204" s="402"/>
      <c r="S204" s="88"/>
      <c r="T204" s="88"/>
      <c r="U204" s="88"/>
      <c r="V204" s="88"/>
      <c r="W204" s="88"/>
      <c r="X204" s="88"/>
      <c r="Y204" s="88"/>
      <c r="Z204" s="88"/>
      <c r="AA204" s="88"/>
      <c r="AB204" s="88"/>
    </row>
    <row r="205" spans="15:28">
      <c r="O205" s="29"/>
      <c r="P205" s="405"/>
      <c r="Q205" s="405"/>
      <c r="R205" s="405"/>
      <c r="S205" s="29"/>
      <c r="T205" s="29"/>
      <c r="U205" s="29"/>
      <c r="V205" s="29"/>
      <c r="W205" s="29"/>
      <c r="X205" s="29"/>
      <c r="Y205" s="29"/>
      <c r="Z205" s="29"/>
      <c r="AA205" s="29"/>
      <c r="AB205" s="29"/>
    </row>
    <row r="206" spans="15:28">
      <c r="O206" s="29"/>
      <c r="P206" s="405"/>
      <c r="Q206" s="405"/>
      <c r="R206" s="405"/>
      <c r="S206" s="29"/>
      <c r="T206" s="29"/>
      <c r="U206" s="29"/>
      <c r="V206" s="29"/>
      <c r="W206" s="29"/>
      <c r="X206" s="29"/>
      <c r="Y206" s="29"/>
      <c r="Z206" s="29"/>
      <c r="AA206" s="29"/>
      <c r="AB206" s="29"/>
    </row>
    <row r="207" spans="15:28">
      <c r="O207" s="29"/>
      <c r="P207" s="405"/>
      <c r="Q207" s="405"/>
      <c r="R207" s="405"/>
      <c r="S207" s="29"/>
      <c r="T207" s="29"/>
      <c r="U207" s="29"/>
      <c r="V207" s="29"/>
      <c r="W207" s="29"/>
      <c r="X207" s="29"/>
      <c r="Y207" s="29"/>
      <c r="Z207" s="29"/>
      <c r="AA207" s="29"/>
      <c r="AB207" s="29"/>
    </row>
    <row r="208" spans="15:28">
      <c r="O208" s="29"/>
      <c r="P208" s="405"/>
      <c r="Q208" s="405"/>
      <c r="R208" s="405"/>
      <c r="S208" s="29"/>
      <c r="T208" s="29"/>
      <c r="U208" s="29"/>
      <c r="V208" s="29"/>
      <c r="W208" s="29"/>
      <c r="X208" s="29"/>
      <c r="Y208" s="29"/>
      <c r="Z208" s="29"/>
      <c r="AA208" s="29"/>
      <c r="AB208" s="29"/>
    </row>
    <row r="209" spans="15:28">
      <c r="O209" s="29"/>
      <c r="P209" s="405"/>
      <c r="Q209" s="405"/>
      <c r="R209" s="405"/>
      <c r="S209" s="29"/>
      <c r="T209" s="29"/>
      <c r="U209" s="29"/>
      <c r="V209" s="29"/>
      <c r="W209" s="29"/>
      <c r="X209" s="29"/>
      <c r="Y209" s="29"/>
      <c r="Z209" s="29"/>
      <c r="AA209" s="29"/>
      <c r="AB209" s="29"/>
    </row>
    <row r="210" spans="15:28">
      <c r="O210" s="29"/>
      <c r="P210" s="405"/>
      <c r="Q210" s="405"/>
      <c r="R210" s="405"/>
      <c r="S210" s="29"/>
      <c r="T210" s="29"/>
      <c r="U210" s="29"/>
      <c r="V210" s="29"/>
      <c r="W210" s="29"/>
      <c r="X210" s="29"/>
      <c r="Y210" s="29"/>
      <c r="Z210" s="29"/>
      <c r="AA210" s="29"/>
      <c r="AB210" s="29"/>
    </row>
    <row r="211" spans="15:28">
      <c r="O211" s="29"/>
      <c r="P211" s="405"/>
      <c r="Q211" s="405"/>
      <c r="R211" s="405"/>
      <c r="S211" s="29"/>
      <c r="T211" s="29"/>
      <c r="U211" s="29"/>
      <c r="V211" s="29"/>
      <c r="W211" s="29"/>
      <c r="X211" s="29"/>
      <c r="Y211" s="29"/>
      <c r="Z211" s="29"/>
      <c r="AA211" s="29"/>
      <c r="AB211" s="29"/>
    </row>
    <row r="212" spans="15:28">
      <c r="O212" s="29"/>
      <c r="P212" s="405"/>
      <c r="Q212" s="405"/>
      <c r="R212" s="405"/>
      <c r="S212" s="29"/>
      <c r="T212" s="29"/>
      <c r="U212" s="29"/>
      <c r="V212" s="29"/>
      <c r="W212" s="29"/>
      <c r="X212" s="29"/>
      <c r="Y212" s="29"/>
      <c r="Z212" s="29"/>
      <c r="AA212" s="29"/>
      <c r="AB212" s="29"/>
    </row>
    <row r="213" spans="15:28">
      <c r="O213" s="29"/>
      <c r="P213" s="405"/>
      <c r="Q213" s="405"/>
      <c r="R213" s="405"/>
      <c r="S213" s="29"/>
      <c r="T213" s="29"/>
      <c r="U213" s="29"/>
      <c r="V213" s="29"/>
      <c r="W213" s="29"/>
      <c r="X213" s="29"/>
      <c r="Y213" s="29"/>
      <c r="Z213" s="29"/>
      <c r="AA213" s="29"/>
      <c r="AB213" s="29"/>
    </row>
    <row r="214" spans="15:28">
      <c r="O214" s="29"/>
      <c r="P214" s="405"/>
      <c r="Q214" s="405"/>
      <c r="R214" s="405"/>
      <c r="S214" s="29"/>
      <c r="T214" s="29"/>
      <c r="U214" s="29"/>
      <c r="V214" s="29"/>
      <c r="W214" s="29"/>
      <c r="X214" s="29"/>
      <c r="Y214" s="29"/>
      <c r="Z214" s="29"/>
      <c r="AA214" s="29"/>
      <c r="AB214" s="29"/>
    </row>
    <row r="215" spans="15:28">
      <c r="O215" s="29"/>
      <c r="P215" s="405"/>
      <c r="Q215" s="405"/>
      <c r="R215" s="405"/>
      <c r="S215" s="29"/>
      <c r="T215" s="29"/>
      <c r="U215" s="29"/>
      <c r="V215" s="29"/>
      <c r="W215" s="29"/>
      <c r="X215" s="29"/>
      <c r="Y215" s="29"/>
      <c r="Z215" s="29"/>
      <c r="AA215" s="29"/>
      <c r="AB215" s="29"/>
    </row>
    <row r="216" spans="15:28">
      <c r="O216" s="29"/>
      <c r="P216" s="405"/>
      <c r="Q216" s="405"/>
      <c r="R216" s="405"/>
      <c r="S216" s="29"/>
      <c r="T216" s="29"/>
      <c r="U216" s="29"/>
      <c r="V216" s="29"/>
      <c r="W216" s="29"/>
      <c r="X216" s="29"/>
      <c r="Y216" s="29"/>
      <c r="Z216" s="29"/>
      <c r="AA216" s="29"/>
      <c r="AB216" s="29"/>
    </row>
    <row r="217" spans="15:28">
      <c r="O217" s="29"/>
      <c r="P217" s="405"/>
      <c r="Q217" s="405"/>
      <c r="R217" s="405"/>
      <c r="S217" s="29"/>
      <c r="T217" s="29"/>
      <c r="U217" s="29"/>
      <c r="V217" s="29"/>
      <c r="W217" s="29"/>
      <c r="X217" s="29"/>
      <c r="Y217" s="29"/>
      <c r="Z217" s="29"/>
      <c r="AA217" s="29"/>
      <c r="AB217" s="29"/>
    </row>
    <row r="218" spans="15:28">
      <c r="O218" s="29"/>
      <c r="P218" s="405"/>
      <c r="Q218" s="405"/>
      <c r="R218" s="405"/>
      <c r="S218" s="29"/>
      <c r="T218" s="29"/>
      <c r="U218" s="29"/>
      <c r="V218" s="29"/>
      <c r="W218" s="29"/>
      <c r="X218" s="29"/>
      <c r="Y218" s="29"/>
      <c r="Z218" s="29"/>
      <c r="AA218" s="29"/>
      <c r="AB218" s="29"/>
    </row>
    <row r="219" spans="15:28">
      <c r="O219" s="29"/>
      <c r="P219" s="405"/>
      <c r="Q219" s="405"/>
      <c r="R219" s="405"/>
      <c r="S219" s="29"/>
      <c r="T219" s="29"/>
      <c r="U219" s="29"/>
      <c r="V219" s="29"/>
      <c r="W219" s="29"/>
      <c r="X219" s="29"/>
      <c r="Y219" s="29"/>
      <c r="Z219" s="29"/>
      <c r="AA219" s="29"/>
      <c r="AB219" s="29"/>
    </row>
    <row r="220" spans="15:28">
      <c r="O220" s="29"/>
      <c r="P220" s="405"/>
      <c r="Q220" s="405"/>
      <c r="R220" s="405"/>
      <c r="S220" s="29"/>
      <c r="T220" s="29"/>
      <c r="U220" s="29"/>
      <c r="V220" s="29"/>
      <c r="W220" s="29"/>
      <c r="X220" s="29"/>
      <c r="Y220" s="29"/>
      <c r="Z220" s="29"/>
      <c r="AA220" s="29"/>
      <c r="AB220" s="29"/>
    </row>
    <row r="221" spans="15:28">
      <c r="O221" s="29"/>
      <c r="P221" s="405"/>
      <c r="Q221" s="405"/>
      <c r="R221" s="405"/>
      <c r="S221" s="29"/>
      <c r="T221" s="29"/>
      <c r="U221" s="29"/>
      <c r="V221" s="29"/>
      <c r="W221" s="29"/>
      <c r="X221" s="29"/>
      <c r="Y221" s="29"/>
      <c r="Z221" s="29"/>
      <c r="AA221" s="29"/>
      <c r="AB221" s="29"/>
    </row>
    <row r="222" spans="15:28">
      <c r="O222" s="29"/>
      <c r="P222" s="405"/>
      <c r="Q222" s="405"/>
      <c r="R222" s="405"/>
      <c r="S222" s="29"/>
      <c r="T222" s="29"/>
      <c r="U222" s="29"/>
      <c r="V222" s="29"/>
      <c r="W222" s="29"/>
      <c r="X222" s="29"/>
      <c r="Y222" s="29"/>
      <c r="Z222" s="29"/>
      <c r="AA222" s="29"/>
      <c r="AB222" s="29"/>
    </row>
    <row r="223" spans="15:28">
      <c r="O223" s="29"/>
      <c r="P223" s="405"/>
      <c r="Q223" s="405"/>
      <c r="R223" s="405"/>
      <c r="S223" s="29"/>
      <c r="T223" s="29"/>
      <c r="U223" s="29"/>
      <c r="V223" s="29"/>
      <c r="W223" s="29"/>
      <c r="X223" s="29"/>
      <c r="Y223" s="29"/>
      <c r="Z223" s="29"/>
      <c r="AA223" s="29"/>
      <c r="AB223" s="29"/>
    </row>
    <row r="224" spans="15:28">
      <c r="O224" s="29"/>
      <c r="P224" s="405"/>
      <c r="Q224" s="405"/>
      <c r="R224" s="405"/>
      <c r="S224" s="29"/>
      <c r="T224" s="29"/>
      <c r="U224" s="29"/>
      <c r="V224" s="29"/>
      <c r="W224" s="29"/>
      <c r="X224" s="29"/>
      <c r="Y224" s="29"/>
      <c r="Z224" s="29"/>
      <c r="AA224" s="29"/>
      <c r="AB224" s="29"/>
    </row>
    <row r="225" spans="15:28">
      <c r="O225" s="29"/>
      <c r="P225" s="405"/>
      <c r="Q225" s="405"/>
      <c r="R225" s="405"/>
      <c r="S225" s="29"/>
      <c r="T225" s="29"/>
      <c r="U225" s="29"/>
      <c r="V225" s="29"/>
      <c r="W225" s="29"/>
      <c r="X225" s="29"/>
      <c r="Y225" s="29"/>
      <c r="Z225" s="29"/>
      <c r="AA225" s="29"/>
      <c r="AB225" s="29"/>
    </row>
    <row r="226" spans="15:28">
      <c r="O226" s="29"/>
      <c r="P226" s="405"/>
      <c r="Q226" s="405"/>
      <c r="R226" s="405"/>
      <c r="S226" s="29"/>
      <c r="T226" s="29"/>
      <c r="U226" s="29"/>
      <c r="V226" s="29"/>
      <c r="W226" s="29"/>
      <c r="X226" s="29"/>
      <c r="Y226" s="29"/>
      <c r="Z226" s="29"/>
      <c r="AA226" s="29"/>
      <c r="AB226" s="29"/>
    </row>
    <row r="227" spans="15:28">
      <c r="O227" s="29"/>
      <c r="P227" s="405"/>
      <c r="Q227" s="405"/>
      <c r="R227" s="405"/>
      <c r="S227" s="29"/>
      <c r="T227" s="29"/>
      <c r="U227" s="29"/>
      <c r="V227" s="29"/>
      <c r="W227" s="29"/>
      <c r="X227" s="29"/>
      <c r="Y227" s="29"/>
      <c r="Z227" s="29"/>
      <c r="AA227" s="29"/>
      <c r="AB227" s="29"/>
    </row>
    <row r="228" spans="15:28">
      <c r="O228" s="29"/>
      <c r="P228" s="405"/>
      <c r="Q228" s="405"/>
      <c r="R228" s="405"/>
      <c r="S228" s="29"/>
      <c r="T228" s="29"/>
      <c r="U228" s="29"/>
      <c r="V228" s="29"/>
      <c r="W228" s="29"/>
      <c r="X228" s="29"/>
      <c r="Y228" s="29"/>
      <c r="Z228" s="29"/>
      <c r="AA228" s="29"/>
      <c r="AB228" s="29"/>
    </row>
    <row r="229" spans="15:28">
      <c r="O229" s="29"/>
      <c r="P229" s="405"/>
      <c r="Q229" s="405"/>
      <c r="R229" s="405"/>
      <c r="S229" s="29"/>
      <c r="T229" s="29"/>
      <c r="U229" s="29"/>
      <c r="V229" s="29"/>
      <c r="W229" s="29"/>
      <c r="X229" s="29"/>
      <c r="Y229" s="29"/>
      <c r="Z229" s="29"/>
      <c r="AA229" s="29"/>
      <c r="AB229" s="29"/>
    </row>
    <row r="230" spans="15:28">
      <c r="O230" s="29"/>
      <c r="P230" s="405"/>
      <c r="Q230" s="405"/>
      <c r="R230" s="405"/>
      <c r="S230" s="29"/>
      <c r="T230" s="29"/>
      <c r="U230" s="29"/>
      <c r="V230" s="29"/>
      <c r="W230" s="29"/>
      <c r="X230" s="29"/>
      <c r="Y230" s="29"/>
      <c r="Z230" s="29"/>
      <c r="AA230" s="29"/>
      <c r="AB230" s="29"/>
    </row>
    <row r="231" spans="15:28">
      <c r="O231" s="29"/>
      <c r="P231" s="405"/>
      <c r="Q231" s="405"/>
      <c r="R231" s="405"/>
      <c r="S231" s="29"/>
      <c r="T231" s="29"/>
      <c r="U231" s="29"/>
      <c r="V231" s="29"/>
      <c r="W231" s="29"/>
      <c r="X231" s="29"/>
      <c r="Y231" s="29"/>
      <c r="Z231" s="29"/>
      <c r="AA231" s="29"/>
      <c r="AB231" s="29"/>
    </row>
    <row r="232" spans="15:28">
      <c r="O232" s="29"/>
      <c r="P232" s="405"/>
      <c r="Q232" s="405"/>
      <c r="R232" s="405"/>
      <c r="S232" s="29"/>
      <c r="T232" s="29"/>
      <c r="U232" s="29"/>
      <c r="V232" s="29"/>
      <c r="W232" s="29"/>
      <c r="X232" s="29"/>
      <c r="Y232" s="29"/>
      <c r="Z232" s="29"/>
      <c r="AA232" s="29"/>
      <c r="AB232" s="29"/>
    </row>
    <row r="233" spans="15:28">
      <c r="O233" s="29"/>
      <c r="P233" s="405"/>
      <c r="Q233" s="405"/>
      <c r="R233" s="405"/>
      <c r="S233" s="29"/>
      <c r="T233" s="29"/>
      <c r="U233" s="29"/>
      <c r="V233" s="29"/>
      <c r="W233" s="29"/>
      <c r="X233" s="29"/>
      <c r="Y233" s="29"/>
      <c r="Z233" s="29"/>
      <c r="AA233" s="29"/>
      <c r="AB233" s="29"/>
    </row>
    <row r="234" spans="15:28">
      <c r="O234" s="29"/>
      <c r="P234" s="405"/>
      <c r="Q234" s="405"/>
      <c r="R234" s="405"/>
      <c r="S234" s="29"/>
      <c r="T234" s="29"/>
      <c r="U234" s="29"/>
      <c r="V234" s="29"/>
      <c r="W234" s="29"/>
      <c r="X234" s="29"/>
      <c r="Y234" s="29"/>
      <c r="Z234" s="29"/>
      <c r="AA234" s="29"/>
      <c r="AB234" s="29"/>
    </row>
    <row r="235" spans="15:28">
      <c r="O235" s="29"/>
      <c r="P235" s="405"/>
      <c r="Q235" s="405"/>
      <c r="R235" s="405"/>
      <c r="S235" s="29"/>
      <c r="T235" s="29"/>
      <c r="U235" s="29"/>
      <c r="V235" s="29"/>
      <c r="W235" s="29"/>
      <c r="X235" s="29"/>
      <c r="Y235" s="29"/>
      <c r="Z235" s="29"/>
      <c r="AA235" s="29"/>
      <c r="AB235" s="29"/>
    </row>
    <row r="236" spans="15:28">
      <c r="O236" s="29"/>
      <c r="P236" s="405"/>
      <c r="Q236" s="405"/>
      <c r="R236" s="405"/>
      <c r="S236" s="29"/>
      <c r="T236" s="29"/>
      <c r="U236" s="29"/>
      <c r="V236" s="29"/>
      <c r="W236" s="29"/>
      <c r="X236" s="29"/>
      <c r="Y236" s="29"/>
      <c r="Z236" s="29"/>
      <c r="AA236" s="29"/>
      <c r="AB236" s="29"/>
    </row>
    <row r="237" spans="15:28">
      <c r="O237" s="29"/>
      <c r="P237" s="405"/>
      <c r="Q237" s="405"/>
      <c r="R237" s="405"/>
      <c r="S237" s="29"/>
      <c r="T237" s="29"/>
      <c r="U237" s="29"/>
      <c r="V237" s="29"/>
      <c r="W237" s="29"/>
      <c r="X237" s="29"/>
      <c r="Y237" s="29"/>
      <c r="Z237" s="29"/>
      <c r="AA237" s="29"/>
      <c r="AB237" s="29"/>
    </row>
    <row r="238" spans="15:28">
      <c r="O238" s="29"/>
      <c r="P238" s="405"/>
      <c r="Q238" s="405"/>
      <c r="R238" s="405"/>
      <c r="S238" s="29"/>
      <c r="T238" s="29"/>
      <c r="U238" s="29"/>
      <c r="V238" s="29"/>
      <c r="W238" s="29"/>
      <c r="X238" s="29"/>
      <c r="Y238" s="29"/>
      <c r="Z238" s="29"/>
      <c r="AA238" s="29"/>
      <c r="AB238" s="29"/>
    </row>
    <row r="239" spans="15:28">
      <c r="O239" s="29"/>
      <c r="P239" s="405"/>
      <c r="Q239" s="405"/>
      <c r="R239" s="405"/>
      <c r="S239" s="29"/>
      <c r="T239" s="29"/>
      <c r="U239" s="29"/>
      <c r="V239" s="29"/>
      <c r="W239" s="29"/>
      <c r="X239" s="29"/>
      <c r="Y239" s="29"/>
      <c r="Z239" s="29"/>
      <c r="AA239" s="29"/>
      <c r="AB239" s="29"/>
    </row>
    <row r="240" spans="15:28">
      <c r="O240" s="29"/>
      <c r="P240" s="405"/>
      <c r="Q240" s="405"/>
      <c r="R240" s="405"/>
      <c r="S240" s="29"/>
      <c r="T240" s="29"/>
      <c r="U240" s="29"/>
      <c r="V240" s="29"/>
      <c r="W240" s="29"/>
      <c r="X240" s="29"/>
      <c r="Y240" s="29"/>
      <c r="Z240" s="29"/>
      <c r="AA240" s="29"/>
      <c r="AB240" s="29"/>
    </row>
    <row r="241" spans="15:28">
      <c r="O241" s="29"/>
      <c r="P241" s="405"/>
      <c r="Q241" s="405"/>
      <c r="R241" s="405"/>
      <c r="S241" s="29"/>
      <c r="T241" s="29"/>
      <c r="U241" s="29"/>
      <c r="V241" s="29"/>
      <c r="W241" s="29"/>
      <c r="X241" s="29"/>
      <c r="Y241" s="29"/>
      <c r="Z241" s="29"/>
      <c r="AA241" s="29"/>
      <c r="AB241" s="29"/>
    </row>
    <row r="242" spans="15:28">
      <c r="O242" s="29"/>
      <c r="P242" s="405"/>
      <c r="Q242" s="405"/>
      <c r="R242" s="405"/>
      <c r="S242" s="29"/>
      <c r="T242" s="29"/>
      <c r="U242" s="29"/>
      <c r="V242" s="29"/>
      <c r="W242" s="29"/>
      <c r="X242" s="29"/>
      <c r="Y242" s="29"/>
      <c r="Z242" s="29"/>
      <c r="AA242" s="29"/>
      <c r="AB242" s="29"/>
    </row>
    <row r="243" spans="15:28">
      <c r="O243" s="29"/>
      <c r="P243" s="405"/>
      <c r="Q243" s="405"/>
      <c r="R243" s="405"/>
      <c r="S243" s="29"/>
      <c r="T243" s="29"/>
      <c r="U243" s="29"/>
      <c r="V243" s="29"/>
      <c r="W243" s="29"/>
      <c r="X243" s="29"/>
      <c r="Y243" s="29"/>
      <c r="Z243" s="29"/>
      <c r="AA243" s="29"/>
      <c r="AB243" s="29"/>
    </row>
    <row r="244" spans="15:28">
      <c r="O244" s="29"/>
      <c r="P244" s="405"/>
      <c r="Q244" s="405"/>
      <c r="R244" s="405"/>
      <c r="S244" s="29"/>
      <c r="T244" s="29"/>
      <c r="U244" s="29"/>
      <c r="V244" s="29"/>
      <c r="W244" s="29"/>
      <c r="X244" s="29"/>
      <c r="Y244" s="29"/>
      <c r="Z244" s="29"/>
      <c r="AA244" s="29"/>
      <c r="AB244" s="29"/>
    </row>
    <row r="245" spans="15:28">
      <c r="O245" s="29"/>
      <c r="P245" s="405"/>
      <c r="Q245" s="405"/>
      <c r="R245" s="405"/>
      <c r="S245" s="29"/>
      <c r="T245" s="29"/>
      <c r="U245" s="29"/>
      <c r="V245" s="29"/>
      <c r="W245" s="29"/>
      <c r="X245" s="29"/>
      <c r="Y245" s="29"/>
      <c r="Z245" s="29"/>
      <c r="AA245" s="29"/>
      <c r="AB245" s="29"/>
    </row>
    <row r="246" spans="15:28">
      <c r="O246" s="29"/>
      <c r="P246" s="405"/>
      <c r="Q246" s="405"/>
      <c r="R246" s="405"/>
      <c r="S246" s="29"/>
      <c r="T246" s="29"/>
      <c r="U246" s="29"/>
      <c r="V246" s="29"/>
      <c r="W246" s="29"/>
      <c r="X246" s="29"/>
      <c r="Y246" s="29"/>
      <c r="Z246" s="29"/>
      <c r="AA246" s="29"/>
      <c r="AB246" s="29"/>
    </row>
    <row r="247" spans="15:28">
      <c r="O247" s="29"/>
      <c r="P247" s="405"/>
      <c r="Q247" s="405"/>
      <c r="R247" s="405"/>
      <c r="S247" s="29"/>
      <c r="T247" s="29"/>
      <c r="U247" s="29"/>
      <c r="V247" s="29"/>
      <c r="W247" s="29"/>
      <c r="X247" s="29"/>
      <c r="Y247" s="29"/>
      <c r="Z247" s="29"/>
      <c r="AA247" s="29"/>
      <c r="AB247" s="29"/>
    </row>
    <row r="248" spans="15:28">
      <c r="O248" s="29"/>
      <c r="P248" s="405"/>
      <c r="Q248" s="405"/>
      <c r="R248" s="405"/>
      <c r="S248" s="29"/>
      <c r="T248" s="29"/>
      <c r="U248" s="29"/>
      <c r="V248" s="29"/>
      <c r="W248" s="29"/>
      <c r="X248" s="29"/>
      <c r="Y248" s="29"/>
      <c r="Z248" s="29"/>
      <c r="AA248" s="29"/>
      <c r="AB248" s="29"/>
    </row>
    <row r="249" spans="15:28">
      <c r="O249" s="29"/>
      <c r="P249" s="405"/>
      <c r="Q249" s="405"/>
      <c r="R249" s="405"/>
      <c r="S249" s="29"/>
      <c r="T249" s="29"/>
      <c r="U249" s="29"/>
      <c r="V249" s="29"/>
      <c r="W249" s="29"/>
      <c r="X249" s="29"/>
      <c r="Y249" s="29"/>
      <c r="Z249" s="29"/>
      <c r="AA249" s="29"/>
      <c r="AB249" s="29"/>
    </row>
    <row r="250" spans="15:28">
      <c r="O250" s="29"/>
      <c r="P250" s="405"/>
      <c r="Q250" s="405"/>
      <c r="R250" s="405"/>
      <c r="S250" s="29"/>
      <c r="T250" s="29"/>
      <c r="U250" s="29"/>
      <c r="V250" s="29"/>
      <c r="W250" s="29"/>
      <c r="X250" s="29"/>
      <c r="Y250" s="29"/>
      <c r="Z250" s="29"/>
      <c r="AA250" s="29"/>
      <c r="AB250" s="29"/>
    </row>
    <row r="251" spans="15:28">
      <c r="O251" s="29"/>
      <c r="P251" s="405"/>
      <c r="Q251" s="405"/>
      <c r="R251" s="405"/>
      <c r="S251" s="29"/>
      <c r="T251" s="29"/>
      <c r="U251" s="29"/>
      <c r="V251" s="29"/>
      <c r="W251" s="29"/>
      <c r="X251" s="29"/>
      <c r="Y251" s="29"/>
      <c r="Z251" s="29"/>
      <c r="AA251" s="29"/>
      <c r="AB251" s="29"/>
    </row>
    <row r="252" spans="15:28">
      <c r="O252" s="29"/>
      <c r="P252" s="405"/>
      <c r="Q252" s="405"/>
      <c r="R252" s="405"/>
      <c r="S252" s="29"/>
      <c r="T252" s="29"/>
      <c r="U252" s="29"/>
      <c r="V252" s="29"/>
      <c r="W252" s="29"/>
      <c r="X252" s="29"/>
      <c r="Y252" s="29"/>
      <c r="Z252" s="29"/>
      <c r="AA252" s="29"/>
      <c r="AB252" s="29"/>
    </row>
    <row r="253" spans="15:28">
      <c r="O253" s="29"/>
      <c r="P253" s="405"/>
      <c r="Q253" s="405"/>
      <c r="R253" s="405"/>
      <c r="S253" s="29"/>
      <c r="T253" s="29"/>
      <c r="U253" s="29"/>
      <c r="V253" s="29"/>
      <c r="W253" s="29"/>
      <c r="X253" s="29"/>
      <c r="Y253" s="29"/>
      <c r="Z253" s="29"/>
      <c r="AA253" s="29"/>
      <c r="AB253" s="29"/>
    </row>
    <row r="254" spans="15:28">
      <c r="O254" s="29"/>
      <c r="P254" s="405"/>
      <c r="Q254" s="405"/>
      <c r="R254" s="405"/>
      <c r="S254" s="29"/>
      <c r="T254" s="29"/>
      <c r="U254" s="29"/>
      <c r="V254" s="29"/>
      <c r="W254" s="29"/>
      <c r="X254" s="29"/>
      <c r="Y254" s="29"/>
      <c r="Z254" s="29"/>
      <c r="AA254" s="29"/>
      <c r="AB254" s="29"/>
    </row>
    <row r="255" spans="15:28">
      <c r="O255" s="29"/>
      <c r="P255" s="405"/>
      <c r="Q255" s="405"/>
      <c r="R255" s="405"/>
      <c r="S255" s="29"/>
      <c r="T255" s="29"/>
      <c r="U255" s="29"/>
      <c r="V255" s="29"/>
      <c r="W255" s="29"/>
      <c r="X255" s="29"/>
      <c r="Y255" s="29"/>
      <c r="Z255" s="29"/>
      <c r="AA255" s="29"/>
      <c r="AB255" s="29"/>
    </row>
    <row r="256" spans="15:28">
      <c r="O256" s="29"/>
      <c r="P256" s="405"/>
      <c r="Q256" s="405"/>
      <c r="R256" s="405"/>
      <c r="S256" s="29"/>
      <c r="T256" s="29"/>
      <c r="U256" s="29"/>
      <c r="V256" s="29"/>
      <c r="W256" s="29"/>
      <c r="X256" s="29"/>
      <c r="Y256" s="29"/>
      <c r="Z256" s="29"/>
      <c r="AA256" s="29"/>
      <c r="AB256" s="29"/>
    </row>
    <row r="257" spans="15:28">
      <c r="O257" s="29"/>
      <c r="P257" s="405"/>
      <c r="Q257" s="405"/>
      <c r="R257" s="405"/>
      <c r="S257" s="29"/>
      <c r="T257" s="29"/>
      <c r="U257" s="29"/>
      <c r="V257" s="29"/>
      <c r="W257" s="29"/>
      <c r="X257" s="29"/>
      <c r="Y257" s="29"/>
      <c r="Z257" s="29"/>
      <c r="AA257" s="29"/>
      <c r="AB257" s="29"/>
    </row>
    <row r="258" spans="15:28">
      <c r="O258" s="29"/>
      <c r="P258" s="405"/>
      <c r="Q258" s="405"/>
      <c r="R258" s="405"/>
      <c r="S258" s="29"/>
      <c r="T258" s="29"/>
      <c r="U258" s="29"/>
      <c r="V258" s="29"/>
      <c r="W258" s="29"/>
      <c r="X258" s="29"/>
      <c r="Y258" s="29"/>
      <c r="Z258" s="29"/>
      <c r="AA258" s="29"/>
      <c r="AB258" s="29"/>
    </row>
    <row r="259" spans="15:28">
      <c r="O259" s="29"/>
      <c r="P259" s="405"/>
      <c r="Q259" s="405"/>
      <c r="R259" s="405"/>
      <c r="S259" s="29"/>
      <c r="T259" s="29"/>
      <c r="U259" s="29"/>
      <c r="V259" s="29"/>
      <c r="W259" s="29"/>
      <c r="X259" s="29"/>
      <c r="Y259" s="29"/>
      <c r="Z259" s="29"/>
      <c r="AA259" s="29"/>
      <c r="AB259" s="29"/>
    </row>
    <row r="260" spans="15:28">
      <c r="O260" s="29"/>
      <c r="P260" s="405"/>
      <c r="Q260" s="405"/>
      <c r="R260" s="405"/>
      <c r="S260" s="29"/>
      <c r="T260" s="29"/>
      <c r="U260" s="29"/>
      <c r="V260" s="29"/>
      <c r="W260" s="29"/>
      <c r="X260" s="29"/>
      <c r="Y260" s="29"/>
      <c r="Z260" s="29"/>
      <c r="AA260" s="29"/>
      <c r="AB260" s="29"/>
    </row>
    <row r="261" spans="15:28">
      <c r="O261" s="29"/>
      <c r="P261" s="405"/>
      <c r="Q261" s="405"/>
      <c r="R261" s="405"/>
      <c r="S261" s="29"/>
      <c r="T261" s="29"/>
      <c r="U261" s="29"/>
      <c r="V261" s="29"/>
      <c r="W261" s="29"/>
      <c r="X261" s="29"/>
      <c r="Y261" s="29"/>
      <c r="Z261" s="29"/>
      <c r="AA261" s="29"/>
      <c r="AB261" s="29"/>
    </row>
    <row r="262" spans="15:28">
      <c r="O262" s="29"/>
      <c r="P262" s="405"/>
      <c r="Q262" s="405"/>
      <c r="R262" s="405"/>
      <c r="S262" s="29"/>
      <c r="T262" s="29"/>
      <c r="U262" s="29"/>
      <c r="V262" s="29"/>
      <c r="W262" s="29"/>
      <c r="X262" s="29"/>
      <c r="Y262" s="29"/>
      <c r="Z262" s="29"/>
      <c r="AA262" s="29"/>
      <c r="AB262" s="29"/>
    </row>
    <row r="263" spans="15:28">
      <c r="O263" s="29"/>
      <c r="P263" s="405"/>
      <c r="Q263" s="405"/>
      <c r="R263" s="405"/>
      <c r="S263" s="29"/>
      <c r="T263" s="29"/>
      <c r="U263" s="29"/>
      <c r="V263" s="29"/>
      <c r="W263" s="29"/>
      <c r="X263" s="29"/>
      <c r="Y263" s="29"/>
      <c r="Z263" s="29"/>
      <c r="AA263" s="29"/>
      <c r="AB263" s="29"/>
    </row>
    <row r="264" spans="15:28">
      <c r="O264" s="29"/>
      <c r="P264" s="405"/>
      <c r="Q264" s="405"/>
      <c r="R264" s="405"/>
      <c r="S264" s="29"/>
      <c r="T264" s="29"/>
      <c r="U264" s="29"/>
      <c r="V264" s="29"/>
      <c r="W264" s="29"/>
      <c r="X264" s="29"/>
      <c r="Y264" s="29"/>
      <c r="Z264" s="29"/>
      <c r="AA264" s="29"/>
      <c r="AB264" s="29"/>
    </row>
    <row r="265" spans="15:28">
      <c r="O265" s="29"/>
      <c r="P265" s="405"/>
      <c r="Q265" s="405"/>
      <c r="R265" s="405"/>
      <c r="S265" s="29"/>
      <c r="T265" s="29"/>
      <c r="U265" s="29"/>
      <c r="V265" s="29"/>
      <c r="W265" s="29"/>
      <c r="X265" s="29"/>
      <c r="Y265" s="29"/>
      <c r="Z265" s="29"/>
      <c r="AA265" s="29"/>
      <c r="AB265" s="29"/>
    </row>
    <row r="266" spans="15:28">
      <c r="O266" s="29"/>
      <c r="P266" s="405"/>
      <c r="Q266" s="405"/>
      <c r="R266" s="405"/>
      <c r="S266" s="29"/>
      <c r="T266" s="29"/>
      <c r="U266" s="29"/>
      <c r="V266" s="29"/>
      <c r="W266" s="29"/>
      <c r="X266" s="29"/>
      <c r="Y266" s="29"/>
      <c r="Z266" s="29"/>
      <c r="AA266" s="29"/>
      <c r="AB266" s="29"/>
    </row>
    <row r="267" spans="15:28">
      <c r="O267" s="29"/>
      <c r="P267" s="405"/>
      <c r="Q267" s="405"/>
      <c r="R267" s="405"/>
      <c r="S267" s="29"/>
      <c r="T267" s="29"/>
      <c r="U267" s="29"/>
      <c r="V267" s="29"/>
      <c r="W267" s="29"/>
      <c r="X267" s="29"/>
      <c r="Y267" s="29"/>
      <c r="Z267" s="29"/>
      <c r="AA267" s="29"/>
      <c r="AB267" s="29"/>
    </row>
    <row r="268" spans="15:28">
      <c r="O268" s="29"/>
      <c r="P268" s="405"/>
      <c r="Q268" s="405"/>
      <c r="R268" s="405"/>
      <c r="S268" s="29"/>
      <c r="T268" s="29"/>
      <c r="U268" s="29"/>
      <c r="V268" s="29"/>
      <c r="W268" s="29"/>
      <c r="X268" s="29"/>
      <c r="Y268" s="29"/>
      <c r="Z268" s="29"/>
      <c r="AA268" s="29"/>
      <c r="AB268" s="29"/>
    </row>
    <row r="269" spans="15:28">
      <c r="O269" s="29"/>
      <c r="P269" s="405"/>
      <c r="Q269" s="405"/>
      <c r="R269" s="405"/>
      <c r="S269" s="29"/>
      <c r="T269" s="29"/>
      <c r="U269" s="29"/>
      <c r="V269" s="29"/>
      <c r="W269" s="29"/>
      <c r="X269" s="29"/>
      <c r="Y269" s="29"/>
      <c r="Z269" s="29"/>
      <c r="AA269" s="29"/>
      <c r="AB269" s="29"/>
    </row>
    <row r="270" spans="15:28">
      <c r="O270" s="29"/>
      <c r="P270" s="405"/>
      <c r="Q270" s="405"/>
      <c r="R270" s="405"/>
      <c r="S270" s="29"/>
      <c r="T270" s="29"/>
      <c r="U270" s="29"/>
      <c r="V270" s="29"/>
      <c r="W270" s="29"/>
      <c r="X270" s="29"/>
      <c r="Y270" s="29"/>
      <c r="Z270" s="29"/>
      <c r="AA270" s="29"/>
      <c r="AB270" s="29"/>
    </row>
    <row r="271" spans="15:28">
      <c r="O271" s="29"/>
      <c r="P271" s="405"/>
      <c r="Q271" s="405"/>
      <c r="R271" s="405"/>
      <c r="S271" s="29"/>
      <c r="T271" s="29"/>
      <c r="U271" s="29"/>
      <c r="V271" s="29"/>
      <c r="W271" s="29"/>
      <c r="X271" s="29"/>
      <c r="Y271" s="29"/>
      <c r="Z271" s="29"/>
      <c r="AA271" s="29"/>
      <c r="AB271" s="29"/>
    </row>
    <row r="272" spans="15:28">
      <c r="O272" s="29"/>
      <c r="P272" s="405"/>
      <c r="Q272" s="405"/>
      <c r="R272" s="405"/>
      <c r="S272" s="29"/>
      <c r="T272" s="29"/>
      <c r="U272" s="29"/>
      <c r="V272" s="29"/>
      <c r="W272" s="29"/>
      <c r="X272" s="29"/>
      <c r="Y272" s="29"/>
      <c r="Z272" s="29"/>
      <c r="AA272" s="29"/>
      <c r="AB272" s="29"/>
    </row>
    <row r="273" spans="15:28">
      <c r="O273" s="29"/>
      <c r="P273" s="405"/>
      <c r="Q273" s="405"/>
      <c r="R273" s="405"/>
      <c r="S273" s="29"/>
      <c r="T273" s="29"/>
      <c r="U273" s="29"/>
      <c r="V273" s="29"/>
      <c r="W273" s="29"/>
      <c r="X273" s="29"/>
      <c r="Y273" s="29"/>
      <c r="Z273" s="29"/>
      <c r="AA273" s="29"/>
      <c r="AB273" s="29"/>
    </row>
    <row r="274" spans="15:28">
      <c r="O274" s="29"/>
      <c r="P274" s="405"/>
      <c r="Q274" s="405"/>
      <c r="R274" s="405"/>
      <c r="S274" s="29"/>
      <c r="T274" s="29"/>
      <c r="U274" s="29"/>
      <c r="V274" s="29"/>
      <c r="W274" s="29"/>
      <c r="X274" s="29"/>
      <c r="Y274" s="29"/>
      <c r="Z274" s="29"/>
      <c r="AA274" s="29"/>
      <c r="AB274" s="29"/>
    </row>
    <row r="275" spans="15:28">
      <c r="O275" s="29"/>
      <c r="P275" s="405"/>
      <c r="Q275" s="405"/>
      <c r="R275" s="405"/>
      <c r="S275" s="29"/>
      <c r="T275" s="29"/>
      <c r="U275" s="29"/>
      <c r="V275" s="29"/>
      <c r="W275" s="29"/>
      <c r="X275" s="29"/>
      <c r="Y275" s="29"/>
      <c r="Z275" s="29"/>
      <c r="AA275" s="29"/>
      <c r="AB275" s="29"/>
    </row>
    <row r="276" spans="15:28">
      <c r="O276" s="29"/>
      <c r="P276" s="405"/>
      <c r="Q276" s="405"/>
      <c r="R276" s="405"/>
      <c r="S276" s="29"/>
      <c r="T276" s="29"/>
      <c r="U276" s="29"/>
      <c r="V276" s="29"/>
      <c r="W276" s="29"/>
      <c r="X276" s="29"/>
      <c r="Y276" s="29"/>
      <c r="Z276" s="29"/>
      <c r="AA276" s="29"/>
      <c r="AB276" s="29"/>
    </row>
    <row r="277" spans="15:28">
      <c r="O277" s="29"/>
      <c r="P277" s="405"/>
      <c r="Q277" s="405"/>
      <c r="R277" s="405"/>
      <c r="S277" s="29"/>
      <c r="T277" s="29"/>
      <c r="U277" s="29"/>
      <c r="V277" s="29"/>
      <c r="W277" s="29"/>
      <c r="X277" s="29"/>
      <c r="Y277" s="29"/>
      <c r="Z277" s="29"/>
      <c r="AA277" s="29"/>
      <c r="AB277" s="29"/>
    </row>
    <row r="278" spans="15:28">
      <c r="O278" s="29"/>
      <c r="P278" s="405"/>
      <c r="Q278" s="405"/>
      <c r="R278" s="405"/>
      <c r="S278" s="29"/>
      <c r="T278" s="29"/>
      <c r="U278" s="29"/>
      <c r="V278" s="29"/>
      <c r="W278" s="29"/>
      <c r="X278" s="29"/>
      <c r="Y278" s="29"/>
      <c r="Z278" s="29"/>
      <c r="AA278" s="29"/>
      <c r="AB278" s="29"/>
    </row>
    <row r="279" spans="15:28">
      <c r="O279" s="29"/>
      <c r="P279" s="405"/>
      <c r="Q279" s="405"/>
      <c r="R279" s="405"/>
      <c r="S279" s="29"/>
      <c r="T279" s="29"/>
      <c r="U279" s="29"/>
      <c r="V279" s="29"/>
      <c r="W279" s="29"/>
      <c r="X279" s="29"/>
      <c r="Y279" s="29"/>
      <c r="Z279" s="29"/>
      <c r="AA279" s="29"/>
      <c r="AB279" s="29"/>
    </row>
    <row r="280" spans="15:28">
      <c r="O280" s="29"/>
      <c r="P280" s="405"/>
      <c r="Q280" s="405"/>
      <c r="R280" s="405"/>
      <c r="S280" s="29"/>
      <c r="T280" s="29"/>
      <c r="U280" s="29"/>
      <c r="V280" s="29"/>
      <c r="W280" s="29"/>
      <c r="X280" s="29"/>
      <c r="Y280" s="29"/>
      <c r="Z280" s="29"/>
      <c r="AA280" s="29"/>
      <c r="AB280" s="29"/>
    </row>
  </sheetData>
  <sheetProtection algorithmName="SHA-512" hashValue="R2H94dv8jRlMZfQSgv21RT6MwwjpTqXGilo3KW2Su7Nm5U6d3QmdPjK6rNngk7ggjzRnFCbd14BF7hv+SQ/4vw==" saltValue="AB97tP543FMRWhBNjkB6bQ==" spinCount="100000" sheet="1" objects="1" scenarios="1"/>
  <mergeCells count="35">
    <mergeCell ref="V31:V32"/>
    <mergeCell ref="S30:S32"/>
    <mergeCell ref="C13:F13"/>
    <mergeCell ref="H13:K18"/>
    <mergeCell ref="R29:R32"/>
    <mergeCell ref="C30:K30"/>
    <mergeCell ref="P29:P32"/>
    <mergeCell ref="F19:F20"/>
    <mergeCell ref="H20:K27"/>
    <mergeCell ref="Q29:Q32"/>
    <mergeCell ref="H9:I10"/>
    <mergeCell ref="C41:K41"/>
    <mergeCell ref="C39:K39"/>
    <mergeCell ref="C34:K34"/>
    <mergeCell ref="C36:K36"/>
    <mergeCell ref="C35:K35"/>
    <mergeCell ref="C37:K37"/>
    <mergeCell ref="C40:K40"/>
    <mergeCell ref="C33:K33"/>
    <mergeCell ref="H3:J3"/>
    <mergeCell ref="C16:E16"/>
    <mergeCell ref="H2:J2"/>
    <mergeCell ref="C38:K38"/>
    <mergeCell ref="B3:F3"/>
    <mergeCell ref="B19:E20"/>
    <mergeCell ref="H4:J4"/>
    <mergeCell ref="B12:F12"/>
    <mergeCell ref="D7:D8"/>
    <mergeCell ref="J9:J10"/>
    <mergeCell ref="B4:F4"/>
    <mergeCell ref="E5:F5"/>
    <mergeCell ref="H5:I5"/>
    <mergeCell ref="E6:F11"/>
    <mergeCell ref="J6:J7"/>
    <mergeCell ref="H6:I7"/>
  </mergeCells>
  <phoneticPr fontId="18" type="noConversion"/>
  <dataValidations count="5">
    <dataValidation type="list" allowBlank="1" showInputMessage="1" showErrorMessage="1" sqref="C16" xr:uid="{00000000-0002-0000-0400-000000000000}">
      <formula1>$M$33:$M$186</formula1>
    </dataValidation>
    <dataValidation type="list" allowBlank="1" showInputMessage="1" showErrorMessage="1" sqref="D5" xr:uid="{00000000-0002-0000-0400-000001000000}">
      <formula1>$O$13:$O$14</formula1>
    </dataValidation>
    <dataValidation type="list" allowBlank="1" showInputMessage="1" showErrorMessage="1" sqref="D14" xr:uid="{00000000-0002-0000-0400-000002000000}">
      <formula1>$N$27:$N$28</formula1>
    </dataValidation>
    <dataValidation type="list" allowBlank="1" showInputMessage="1" showErrorMessage="1" sqref="D7" xr:uid="{00000000-0002-0000-0400-000003000000}">
      <formula1>$P$13:$P$14</formula1>
    </dataValidation>
    <dataValidation type="list" allowBlank="1" showInputMessage="1" showErrorMessage="1" sqref="D10" xr:uid="{00000000-0002-0000-0400-000004000000}">
      <formula1>$S$13:$S$14</formula1>
    </dataValidation>
  </dataValidations>
  <pageMargins left="0.75" right="0.38" top="0.65" bottom="0.78" header="0.5" footer="0.5"/>
  <pageSetup scale="83" orientation="portrait" horizontalDpi="4294967293" r:id="rId1"/>
  <headerFooter alignWithMargins="0">
    <oddFooter>&amp;R&amp;A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29"/>
    <pageSetUpPr fitToPage="1"/>
  </sheetPr>
  <dimension ref="A1:F170"/>
  <sheetViews>
    <sheetView zoomScaleNormal="100" workbookViewId="0">
      <pane ySplit="2925" topLeftCell="A6" activePane="bottomLeft"/>
      <selection activeCell="B7" sqref="B7"/>
      <selection pane="bottomLeft" activeCell="B7" sqref="B7"/>
    </sheetView>
  </sheetViews>
  <sheetFormatPr defaultColWidth="9.1328125" defaultRowHeight="10.15"/>
  <cols>
    <col min="1" max="1" width="40.73046875" style="1" customWidth="1"/>
    <col min="2" max="2" width="12.73046875" style="475" customWidth="1"/>
    <col min="3" max="3" width="27.73046875" style="609" customWidth="1"/>
    <col min="4" max="5" width="12.73046875" style="475" customWidth="1"/>
    <col min="6" max="6" width="14.73046875" style="481" customWidth="1"/>
    <col min="7" max="16384" width="9.1328125" style="1"/>
  </cols>
  <sheetData>
    <row r="1" spans="1:6" s="510" customFormat="1" ht="30" customHeight="1">
      <c r="A1" s="1430" t="s">
        <v>157</v>
      </c>
      <c r="B1" s="1435"/>
      <c r="C1" s="1435"/>
      <c r="D1" s="1435"/>
      <c r="E1" s="1435"/>
      <c r="F1" s="1435"/>
    </row>
    <row r="2" spans="1:6" s="510" customFormat="1" ht="13.9">
      <c r="A2" s="693" t="s">
        <v>30</v>
      </c>
      <c r="B2" s="530"/>
      <c r="C2" s="530"/>
      <c r="D2" s="530"/>
      <c r="E2" s="530"/>
      <c r="F2" s="530"/>
    </row>
    <row r="3" spans="1:6" s="510" customFormat="1" ht="10.5" thickBot="1">
      <c r="A3" s="694"/>
      <c r="B3" s="530"/>
      <c r="C3" s="695"/>
      <c r="D3" s="530"/>
      <c r="E3" s="530"/>
      <c r="F3" s="724"/>
    </row>
    <row r="4" spans="1:6" s="510" customFormat="1" ht="60" customHeight="1" thickTop="1" thickBot="1">
      <c r="A4" s="526"/>
      <c r="B4" s="1438" t="s">
        <v>152</v>
      </c>
      <c r="C4" s="709"/>
      <c r="D4" s="710" t="s">
        <v>257</v>
      </c>
      <c r="E4" s="711" t="s">
        <v>860</v>
      </c>
      <c r="F4" s="712" t="s">
        <v>599</v>
      </c>
    </row>
    <row r="5" spans="1:6" s="510" customFormat="1" ht="16.5" customHeight="1" thickBot="1">
      <c r="A5" s="713" t="s">
        <v>232</v>
      </c>
      <c r="B5" s="1439"/>
      <c r="C5" s="714" t="s">
        <v>485</v>
      </c>
      <c r="D5" s="725" t="s">
        <v>588</v>
      </c>
      <c r="E5" s="715" t="s">
        <v>403</v>
      </c>
      <c r="F5" s="716" t="s">
        <v>44</v>
      </c>
    </row>
    <row r="6" spans="1:6" s="510" customFormat="1" ht="11.25" customHeight="1">
      <c r="A6" s="454" t="s">
        <v>548</v>
      </c>
      <c r="B6" s="497">
        <v>15</v>
      </c>
      <c r="C6" s="717" t="s">
        <v>1411</v>
      </c>
      <c r="D6" s="559">
        <v>20</v>
      </c>
      <c r="E6" s="718">
        <v>15</v>
      </c>
      <c r="F6" s="590">
        <v>990</v>
      </c>
    </row>
    <row r="7" spans="1:6" s="510" customFormat="1" ht="11.25" customHeight="1">
      <c r="A7" s="458" t="s">
        <v>549</v>
      </c>
      <c r="B7" s="501">
        <v>13</v>
      </c>
      <c r="C7" s="719" t="s">
        <v>1411</v>
      </c>
      <c r="D7" s="565">
        <v>1965</v>
      </c>
      <c r="E7" s="720">
        <v>13</v>
      </c>
      <c r="F7" s="523" t="s">
        <v>954</v>
      </c>
    </row>
    <row r="8" spans="1:6" s="510" customFormat="1" ht="11.25" customHeight="1">
      <c r="A8" s="458" t="s">
        <v>550</v>
      </c>
      <c r="B8" s="501">
        <v>1500</v>
      </c>
      <c r="C8" s="719" t="s">
        <v>1411</v>
      </c>
      <c r="D8" s="565">
        <v>20000</v>
      </c>
      <c r="E8" s="720">
        <v>1500</v>
      </c>
      <c r="F8" s="523" t="s">
        <v>954</v>
      </c>
    </row>
    <row r="9" spans="1:6" s="510" customFormat="1" ht="11.25" customHeight="1">
      <c r="A9" s="458" t="s">
        <v>551</v>
      </c>
      <c r="B9" s="501">
        <v>2.5999999999999998E-5</v>
      </c>
      <c r="C9" s="719" t="s">
        <v>1412</v>
      </c>
      <c r="D9" s="565">
        <v>8.5</v>
      </c>
      <c r="E9" s="720">
        <v>1.3999999999999999E-4</v>
      </c>
      <c r="F9" s="523">
        <v>2.5999999999999998E-5</v>
      </c>
    </row>
    <row r="10" spans="1:6" s="510" customFormat="1" ht="11.25" customHeight="1">
      <c r="A10" s="458" t="s">
        <v>161</v>
      </c>
      <c r="B10" s="501">
        <v>700</v>
      </c>
      <c r="C10" s="719" t="s">
        <v>1411</v>
      </c>
      <c r="D10" s="565">
        <v>50000</v>
      </c>
      <c r="E10" s="720">
        <v>700</v>
      </c>
      <c r="F10" s="523" t="s">
        <v>954</v>
      </c>
    </row>
    <row r="11" spans="1:6" s="510" customFormat="1" ht="11.25" customHeight="1">
      <c r="A11" s="462" t="s">
        <v>162</v>
      </c>
      <c r="B11" s="501">
        <v>18</v>
      </c>
      <c r="C11" s="719" t="s">
        <v>1411</v>
      </c>
      <c r="D11" s="565">
        <v>50000</v>
      </c>
      <c r="E11" s="720">
        <v>18</v>
      </c>
      <c r="F11" s="523" t="s">
        <v>954</v>
      </c>
    </row>
    <row r="12" spans="1:6" s="510" customFormat="1" ht="11.25" customHeight="1">
      <c r="A12" s="462" t="s">
        <v>94</v>
      </c>
      <c r="B12" s="501">
        <v>11</v>
      </c>
      <c r="C12" s="719" t="s">
        <v>1411</v>
      </c>
      <c r="D12" s="565">
        <v>50000</v>
      </c>
      <c r="E12" s="720">
        <v>11</v>
      </c>
      <c r="F12" s="523" t="s">
        <v>954</v>
      </c>
    </row>
    <row r="13" spans="1:6" s="510" customFormat="1" ht="11.25" customHeight="1">
      <c r="A13" s="458" t="s">
        <v>552</v>
      </c>
      <c r="B13" s="501">
        <v>0.02</v>
      </c>
      <c r="C13" s="719" t="s">
        <v>1411</v>
      </c>
      <c r="D13" s="565">
        <v>21.5</v>
      </c>
      <c r="E13" s="720">
        <v>0.02</v>
      </c>
      <c r="F13" s="523">
        <v>40000</v>
      </c>
    </row>
    <row r="14" spans="1:6" s="510" customFormat="1" ht="11.25" customHeight="1">
      <c r="A14" s="458" t="s">
        <v>553</v>
      </c>
      <c r="B14" s="501">
        <v>30</v>
      </c>
      <c r="C14" s="719" t="s">
        <v>1411</v>
      </c>
      <c r="D14" s="565">
        <v>50000</v>
      </c>
      <c r="E14" s="720">
        <v>30</v>
      </c>
      <c r="F14" s="523">
        <v>15000</v>
      </c>
    </row>
    <row r="15" spans="1:6" s="510" customFormat="1" ht="11.25" customHeight="1">
      <c r="A15" s="458" t="s">
        <v>686</v>
      </c>
      <c r="B15" s="501">
        <v>0.14000000000000001</v>
      </c>
      <c r="C15" s="719" t="s">
        <v>1412</v>
      </c>
      <c r="D15" s="565">
        <v>50000</v>
      </c>
      <c r="E15" s="720">
        <v>36</v>
      </c>
      <c r="F15" s="523">
        <v>0.14000000000000001</v>
      </c>
    </row>
    <row r="16" spans="1:6" s="510" customFormat="1" ht="11.25" customHeight="1">
      <c r="A16" s="458" t="s">
        <v>95</v>
      </c>
      <c r="B16" s="501">
        <v>12</v>
      </c>
      <c r="C16" s="719" t="s">
        <v>1411</v>
      </c>
      <c r="D16" s="565">
        <v>17500</v>
      </c>
      <c r="E16" s="720">
        <v>12</v>
      </c>
      <c r="F16" s="523" t="s">
        <v>954</v>
      </c>
    </row>
    <row r="17" spans="1:6" s="510" customFormat="1" ht="11.25" customHeight="1">
      <c r="A17" s="458" t="s">
        <v>687</v>
      </c>
      <c r="B17" s="501">
        <v>220</v>
      </c>
      <c r="C17" s="719" t="s">
        <v>1411</v>
      </c>
      <c r="D17" s="565">
        <v>50000</v>
      </c>
      <c r="E17" s="720">
        <v>220</v>
      </c>
      <c r="F17" s="523" t="s">
        <v>954</v>
      </c>
    </row>
    <row r="18" spans="1:6" s="510" customFormat="1" ht="11.25" customHeight="1">
      <c r="A18" s="458" t="s">
        <v>1156</v>
      </c>
      <c r="B18" s="501">
        <v>0.14000000000000001</v>
      </c>
      <c r="C18" s="719" t="s">
        <v>1411</v>
      </c>
      <c r="D18" s="565">
        <v>1900</v>
      </c>
      <c r="E18" s="720">
        <v>0.14000000000000001</v>
      </c>
      <c r="F18" s="523" t="s">
        <v>954</v>
      </c>
    </row>
    <row r="19" spans="1:6" s="510" customFormat="1" ht="11.25" customHeight="1">
      <c r="A19" s="458" t="s">
        <v>688</v>
      </c>
      <c r="B19" s="501">
        <v>13</v>
      </c>
      <c r="C19" s="719" t="s">
        <v>1412</v>
      </c>
      <c r="D19" s="565">
        <v>2000</v>
      </c>
      <c r="E19" s="720">
        <v>71.3</v>
      </c>
      <c r="F19" s="523">
        <v>13</v>
      </c>
    </row>
    <row r="20" spans="1:6" s="510" customFormat="1" ht="11.25" customHeight="1">
      <c r="A20" s="458" t="s">
        <v>689</v>
      </c>
      <c r="B20" s="501">
        <v>1.7999999999999999E-2</v>
      </c>
      <c r="C20" s="719" t="s">
        <v>1412</v>
      </c>
      <c r="D20" s="565">
        <v>4.7</v>
      </c>
      <c r="E20" s="720">
        <v>2.7E-2</v>
      </c>
      <c r="F20" s="523">
        <v>1.7999999999999999E-2</v>
      </c>
    </row>
    <row r="21" spans="1:6" s="510" customFormat="1" ht="11.25" customHeight="1">
      <c r="A21" s="458" t="s">
        <v>690</v>
      </c>
      <c r="B21" s="501">
        <v>1.7999999999999999E-2</v>
      </c>
      <c r="C21" s="719" t="s">
        <v>1412</v>
      </c>
      <c r="D21" s="565">
        <v>0.8</v>
      </c>
      <c r="E21" s="720">
        <v>0.06</v>
      </c>
      <c r="F21" s="523">
        <v>1.7999999999999999E-2</v>
      </c>
    </row>
    <row r="22" spans="1:6" s="510" customFormat="1" ht="11.25" customHeight="1">
      <c r="A22" s="458" t="s">
        <v>691</v>
      </c>
      <c r="B22" s="501">
        <v>1.7999999999999999E-2</v>
      </c>
      <c r="C22" s="719" t="s">
        <v>1412</v>
      </c>
      <c r="D22" s="565">
        <v>0.75</v>
      </c>
      <c r="E22" s="720">
        <v>0.68</v>
      </c>
      <c r="F22" s="523">
        <v>1.7999999999999999E-2</v>
      </c>
    </row>
    <row r="23" spans="1:6" s="510" customFormat="1" ht="11.25" customHeight="1">
      <c r="A23" s="458" t="s">
        <v>692</v>
      </c>
      <c r="B23" s="501">
        <v>0.12999999999999998</v>
      </c>
      <c r="C23" s="719" t="s">
        <v>769</v>
      </c>
      <c r="D23" s="565">
        <v>0.12999999999999998</v>
      </c>
      <c r="E23" s="720">
        <v>0.44</v>
      </c>
      <c r="F23" s="523" t="s">
        <v>954</v>
      </c>
    </row>
    <row r="24" spans="1:6" s="510" customFormat="1" ht="11.25" customHeight="1">
      <c r="A24" s="458" t="s">
        <v>693</v>
      </c>
      <c r="B24" s="501">
        <v>1.7999999999999999E-2</v>
      </c>
      <c r="C24" s="719" t="s">
        <v>1412</v>
      </c>
      <c r="D24" s="565">
        <v>0.4</v>
      </c>
      <c r="E24" s="720">
        <v>0.64</v>
      </c>
      <c r="F24" s="523">
        <v>1.7999999999999999E-2</v>
      </c>
    </row>
    <row r="25" spans="1:6" s="510" customFormat="1" ht="11.25" customHeight="1">
      <c r="A25" s="458" t="s">
        <v>126</v>
      </c>
      <c r="B25" s="501">
        <v>3.7999999999999999E-2</v>
      </c>
      <c r="C25" s="719" t="s">
        <v>1412</v>
      </c>
      <c r="D25" s="565">
        <v>50000</v>
      </c>
      <c r="E25" s="720">
        <v>0.66</v>
      </c>
      <c r="F25" s="523">
        <v>3.7999999999999999E-2</v>
      </c>
    </row>
    <row r="26" spans="1:6" s="510" customFormat="1" ht="11.25" customHeight="1">
      <c r="A26" s="458" t="s">
        <v>233</v>
      </c>
      <c r="B26" s="501">
        <v>0.5</v>
      </c>
      <c r="C26" s="719" t="s">
        <v>769</v>
      </c>
      <c r="D26" s="565">
        <v>0.5</v>
      </c>
      <c r="E26" s="720">
        <v>6.5</v>
      </c>
      <c r="F26" s="523" t="s">
        <v>954</v>
      </c>
    </row>
    <row r="27" spans="1:6" s="510" customFormat="1" ht="11.25" customHeight="1">
      <c r="A27" s="458" t="s">
        <v>127</v>
      </c>
      <c r="B27" s="501">
        <v>0.44</v>
      </c>
      <c r="C27" s="719" t="s">
        <v>1412</v>
      </c>
      <c r="D27" s="565">
        <v>360</v>
      </c>
      <c r="E27" s="720">
        <v>2380</v>
      </c>
      <c r="F27" s="523">
        <v>0.44</v>
      </c>
    </row>
    <row r="28" spans="1:6" s="510" customFormat="1" ht="11.25" customHeight="1">
      <c r="A28" s="503" t="s">
        <v>1103</v>
      </c>
      <c r="B28" s="501">
        <v>0.35711381953846194</v>
      </c>
      <c r="C28" s="719" t="s">
        <v>1411</v>
      </c>
      <c r="D28" s="565">
        <v>320</v>
      </c>
      <c r="E28" s="720">
        <v>0.35711381953846194</v>
      </c>
      <c r="F28" s="523">
        <v>1400</v>
      </c>
    </row>
    <row r="29" spans="1:6" s="510" customFormat="1" ht="11.25" customHeight="1">
      <c r="A29" s="458" t="s">
        <v>128</v>
      </c>
      <c r="B29" s="501">
        <v>2.2000000000000002</v>
      </c>
      <c r="C29" s="719" t="s">
        <v>1412</v>
      </c>
      <c r="D29" s="565">
        <v>135</v>
      </c>
      <c r="E29" s="720">
        <v>3</v>
      </c>
      <c r="F29" s="523">
        <v>2.2000000000000002</v>
      </c>
    </row>
    <row r="30" spans="1:6" s="510" customFormat="1" ht="11.25" customHeight="1">
      <c r="A30" s="458" t="s">
        <v>129</v>
      </c>
      <c r="B30" s="501">
        <v>1000</v>
      </c>
      <c r="C30" s="719" t="s">
        <v>1411</v>
      </c>
      <c r="D30" s="565">
        <v>50000</v>
      </c>
      <c r="E30" s="720">
        <v>1000</v>
      </c>
      <c r="F30" s="523" t="s">
        <v>954</v>
      </c>
    </row>
    <row r="31" spans="1:6" s="510" customFormat="1" ht="11.25" customHeight="1">
      <c r="A31" s="458" t="s">
        <v>130</v>
      </c>
      <c r="B31" s="501">
        <v>340</v>
      </c>
      <c r="C31" s="719" t="s">
        <v>1411</v>
      </c>
      <c r="D31" s="565">
        <v>50000</v>
      </c>
      <c r="E31" s="720">
        <v>340</v>
      </c>
      <c r="F31" s="523" t="s">
        <v>954</v>
      </c>
    </row>
    <row r="32" spans="1:6" s="510" customFormat="1" ht="11.25" customHeight="1">
      <c r="A32" s="458" t="s">
        <v>131</v>
      </c>
      <c r="B32" s="501">
        <v>140</v>
      </c>
      <c r="C32" s="719" t="s">
        <v>1412</v>
      </c>
      <c r="D32" s="565">
        <v>510</v>
      </c>
      <c r="E32" s="720">
        <v>230</v>
      </c>
      <c r="F32" s="523">
        <v>140</v>
      </c>
    </row>
    <row r="33" spans="1:6" s="510" customFormat="1" ht="11.25" customHeight="1">
      <c r="A33" s="458" t="s">
        <v>132</v>
      </c>
      <c r="B33" s="501">
        <v>16</v>
      </c>
      <c r="C33" s="719" t="s">
        <v>1411</v>
      </c>
      <c r="D33" s="565">
        <v>50000</v>
      </c>
      <c r="E33" s="720">
        <v>16</v>
      </c>
      <c r="F33" s="523">
        <v>1500</v>
      </c>
    </row>
    <row r="34" spans="1:6" s="510" customFormat="1" ht="11.25" customHeight="1">
      <c r="A34" s="458" t="s">
        <v>133</v>
      </c>
      <c r="B34" s="501">
        <v>3</v>
      </c>
      <c r="C34" s="719" t="s">
        <v>1411</v>
      </c>
      <c r="D34" s="565">
        <v>50000</v>
      </c>
      <c r="E34" s="720">
        <v>3</v>
      </c>
      <c r="F34" s="523" t="s">
        <v>954</v>
      </c>
    </row>
    <row r="35" spans="1:6" s="510" customFormat="1" ht="11.25" customHeight="1">
      <c r="A35" s="458" t="s">
        <v>134</v>
      </c>
      <c r="B35" s="501">
        <v>2.2999999999999998</v>
      </c>
      <c r="C35" s="719" t="s">
        <v>1412</v>
      </c>
      <c r="D35" s="565">
        <v>520</v>
      </c>
      <c r="E35" s="720">
        <v>9.8000000000000007</v>
      </c>
      <c r="F35" s="523">
        <v>2.2999999999999998</v>
      </c>
    </row>
    <row r="36" spans="1:6" s="510" customFormat="1" ht="11.25" customHeight="1">
      <c r="A36" s="458" t="s">
        <v>614</v>
      </c>
      <c r="B36" s="501">
        <v>1.5999999999999999E-5</v>
      </c>
      <c r="C36" s="719" t="s">
        <v>1412</v>
      </c>
      <c r="D36" s="565">
        <v>2.5</v>
      </c>
      <c r="E36" s="720">
        <v>4.0000000000000001E-3</v>
      </c>
      <c r="F36" s="523">
        <v>1.5999999999999999E-5</v>
      </c>
    </row>
    <row r="37" spans="1:6" s="510" customFormat="1" ht="11.25" customHeight="1">
      <c r="A37" s="458" t="s">
        <v>135</v>
      </c>
      <c r="B37" s="501">
        <v>19</v>
      </c>
      <c r="C37" s="719" t="s">
        <v>1411</v>
      </c>
      <c r="D37" s="565">
        <v>50000</v>
      </c>
      <c r="E37" s="720">
        <v>19</v>
      </c>
      <c r="F37" s="523" t="s">
        <v>954</v>
      </c>
    </row>
    <row r="38" spans="1:6" s="510" customFormat="1" ht="11.25" customHeight="1">
      <c r="A38" s="458" t="s">
        <v>136</v>
      </c>
      <c r="B38" s="501">
        <v>25</v>
      </c>
      <c r="C38" s="719" t="s">
        <v>1411</v>
      </c>
      <c r="D38" s="565">
        <v>50</v>
      </c>
      <c r="E38" s="720">
        <v>25</v>
      </c>
      <c r="F38" s="523">
        <v>21000</v>
      </c>
    </row>
    <row r="39" spans="1:6" s="510" customFormat="1" ht="11.25" customHeight="1">
      <c r="A39" s="458" t="s">
        <v>781</v>
      </c>
      <c r="B39" s="501">
        <v>16</v>
      </c>
      <c r="C39" s="719" t="s">
        <v>769</v>
      </c>
      <c r="D39" s="565">
        <v>16</v>
      </c>
      <c r="E39" s="720">
        <v>47673.469387755096</v>
      </c>
      <c r="F39" s="523" t="s">
        <v>954</v>
      </c>
    </row>
    <row r="40" spans="1:6" ht="11.25" customHeight="1">
      <c r="A40" s="464" t="s">
        <v>137</v>
      </c>
      <c r="B40" s="501">
        <v>5.0999999999999996</v>
      </c>
      <c r="C40" s="719" t="s">
        <v>1412</v>
      </c>
      <c r="D40" s="565">
        <v>2400</v>
      </c>
      <c r="E40" s="720">
        <v>28</v>
      </c>
      <c r="F40" s="523">
        <v>5.0999999999999996</v>
      </c>
    </row>
    <row r="41" spans="1:6" ht="11.25" customHeight="1">
      <c r="A41" s="458" t="s">
        <v>782</v>
      </c>
      <c r="B41" s="501">
        <v>1072.6530612244896</v>
      </c>
      <c r="C41" s="719" t="s">
        <v>1411</v>
      </c>
      <c r="D41" s="565">
        <v>50000</v>
      </c>
      <c r="E41" s="720">
        <v>1072.6530612244896</v>
      </c>
      <c r="F41" s="523" t="s">
        <v>954</v>
      </c>
    </row>
    <row r="42" spans="1:6" ht="11.25" customHeight="1">
      <c r="A42" s="458" t="s">
        <v>138</v>
      </c>
      <c r="B42" s="501">
        <v>0.18</v>
      </c>
      <c r="C42" s="719" t="s">
        <v>769</v>
      </c>
      <c r="D42" s="565">
        <v>0.18</v>
      </c>
      <c r="E42" s="720">
        <v>32</v>
      </c>
      <c r="F42" s="523">
        <v>150</v>
      </c>
    </row>
    <row r="43" spans="1:6" ht="11.25" customHeight="1">
      <c r="A43" s="458" t="s">
        <v>612</v>
      </c>
      <c r="B43" s="501">
        <v>11</v>
      </c>
      <c r="C43" s="719" t="s">
        <v>1411</v>
      </c>
      <c r="D43" s="565">
        <v>50000</v>
      </c>
      <c r="E43" s="720">
        <v>11</v>
      </c>
      <c r="F43" s="523" t="s">
        <v>954</v>
      </c>
    </row>
    <row r="44" spans="1:6" ht="11.25" customHeight="1">
      <c r="A44" s="458" t="s">
        <v>779</v>
      </c>
      <c r="B44" s="501">
        <v>20</v>
      </c>
      <c r="C44" s="719" t="s">
        <v>1411</v>
      </c>
      <c r="D44" s="565">
        <v>50000</v>
      </c>
      <c r="E44" s="720">
        <v>20</v>
      </c>
      <c r="F44" s="523" t="s">
        <v>954</v>
      </c>
    </row>
    <row r="45" spans="1:6" ht="11.25" customHeight="1">
      <c r="A45" s="458" t="s">
        <v>780</v>
      </c>
      <c r="B45" s="501">
        <v>11</v>
      </c>
      <c r="C45" s="719" t="s">
        <v>1411</v>
      </c>
      <c r="D45" s="565">
        <v>50000</v>
      </c>
      <c r="E45" s="720">
        <v>11</v>
      </c>
      <c r="F45" s="523" t="s">
        <v>954</v>
      </c>
    </row>
    <row r="46" spans="1:6" ht="11.25" customHeight="1">
      <c r="A46" s="458" t="s">
        <v>139</v>
      </c>
      <c r="B46" s="501">
        <v>1.7999999999999999E-2</v>
      </c>
      <c r="C46" s="719" t="s">
        <v>1412</v>
      </c>
      <c r="D46" s="565">
        <v>1</v>
      </c>
      <c r="E46" s="720">
        <v>2</v>
      </c>
      <c r="F46" s="523">
        <v>1.7999999999999999E-2</v>
      </c>
    </row>
    <row r="47" spans="1:6" ht="11.25" customHeight="1">
      <c r="A47" s="458" t="s">
        <v>140</v>
      </c>
      <c r="B47" s="501">
        <v>19</v>
      </c>
      <c r="C47" s="719" t="s">
        <v>1411</v>
      </c>
      <c r="D47" s="565">
        <v>50000</v>
      </c>
      <c r="E47" s="720">
        <v>19</v>
      </c>
      <c r="F47" s="523" t="s">
        <v>954</v>
      </c>
    </row>
    <row r="48" spans="1:6" ht="11.25" customHeight="1">
      <c r="A48" s="458" t="s">
        <v>141</v>
      </c>
      <c r="B48" s="501">
        <v>2.9</v>
      </c>
      <c r="C48" s="719" t="s">
        <v>1411</v>
      </c>
      <c r="D48" s="565">
        <v>50000</v>
      </c>
      <c r="E48" s="720">
        <v>2.9</v>
      </c>
      <c r="F48" s="523" t="s">
        <v>954</v>
      </c>
    </row>
    <row r="49" spans="1:6" ht="11.25" customHeight="1">
      <c r="A49" s="458" t="s">
        <v>142</v>
      </c>
      <c r="B49" s="501">
        <v>1</v>
      </c>
      <c r="C49" s="719" t="s">
        <v>1411</v>
      </c>
      <c r="D49" s="565">
        <v>170</v>
      </c>
      <c r="E49" s="720">
        <v>1</v>
      </c>
      <c r="F49" s="523">
        <v>220000</v>
      </c>
    </row>
    <row r="50" spans="1:6" ht="11.25" customHeight="1">
      <c r="A50" s="462" t="s">
        <v>96</v>
      </c>
      <c r="B50" s="501">
        <v>79</v>
      </c>
      <c r="C50" s="719" t="s">
        <v>1411</v>
      </c>
      <c r="D50" s="565">
        <v>29850</v>
      </c>
      <c r="E50" s="720">
        <v>79</v>
      </c>
      <c r="F50" s="523" t="s">
        <v>954</v>
      </c>
    </row>
    <row r="51" spans="1:6" ht="11.25" customHeight="1">
      <c r="A51" s="458" t="s">
        <v>97</v>
      </c>
      <c r="B51" s="501">
        <v>300</v>
      </c>
      <c r="C51" s="719" t="s">
        <v>1411</v>
      </c>
      <c r="D51" s="565">
        <v>50000</v>
      </c>
      <c r="E51" s="720">
        <v>300</v>
      </c>
      <c r="F51" s="523" t="s">
        <v>954</v>
      </c>
    </row>
    <row r="52" spans="1:6" ht="11.25" customHeight="1">
      <c r="A52" s="458" t="s">
        <v>143</v>
      </c>
      <c r="B52" s="501">
        <v>1.7999999999999999E-2</v>
      </c>
      <c r="C52" s="719" t="s">
        <v>1412</v>
      </c>
      <c r="D52" s="565">
        <v>1.25</v>
      </c>
      <c r="E52" s="720">
        <v>0.8</v>
      </c>
      <c r="F52" s="523">
        <v>1.7999999999999999E-2</v>
      </c>
    </row>
    <row r="53" spans="1:6" ht="11.25" customHeight="1">
      <c r="A53" s="458" t="s">
        <v>381</v>
      </c>
      <c r="B53" s="501">
        <v>0.04</v>
      </c>
      <c r="C53" s="719" t="s">
        <v>1411</v>
      </c>
      <c r="D53" s="565">
        <v>10</v>
      </c>
      <c r="E53" s="720">
        <v>0.04</v>
      </c>
      <c r="F53" s="523" t="s">
        <v>954</v>
      </c>
    </row>
    <row r="54" spans="1:6" ht="11.25" customHeight="1">
      <c r="A54" s="458" t="s">
        <v>144</v>
      </c>
      <c r="B54" s="501">
        <v>13</v>
      </c>
      <c r="C54" s="719" t="s">
        <v>1412</v>
      </c>
      <c r="D54" s="565">
        <v>50000</v>
      </c>
      <c r="E54" s="720">
        <v>34</v>
      </c>
      <c r="F54" s="523">
        <v>13</v>
      </c>
    </row>
    <row r="55" spans="1:6" ht="11.25" customHeight="1">
      <c r="A55" s="458" t="s">
        <v>487</v>
      </c>
      <c r="B55" s="501">
        <v>1400</v>
      </c>
      <c r="C55" s="719" t="s">
        <v>1411</v>
      </c>
      <c r="D55" s="565">
        <v>50000</v>
      </c>
      <c r="E55" s="720">
        <v>1400</v>
      </c>
      <c r="F55" s="523" t="s">
        <v>954</v>
      </c>
    </row>
    <row r="56" spans="1:6" ht="11.25" customHeight="1">
      <c r="A56" s="458" t="s">
        <v>145</v>
      </c>
      <c r="B56" s="501">
        <v>10</v>
      </c>
      <c r="C56" s="719" t="s">
        <v>769</v>
      </c>
      <c r="D56" s="565">
        <v>10</v>
      </c>
      <c r="E56" s="720">
        <v>14</v>
      </c>
      <c r="F56" s="523">
        <v>850</v>
      </c>
    </row>
    <row r="57" spans="1:6" ht="11.25" customHeight="1">
      <c r="A57" s="458" t="s">
        <v>225</v>
      </c>
      <c r="B57" s="501">
        <v>22</v>
      </c>
      <c r="C57" s="719" t="s">
        <v>1411</v>
      </c>
      <c r="D57" s="565">
        <v>50000</v>
      </c>
      <c r="E57" s="720">
        <v>22</v>
      </c>
      <c r="F57" s="523">
        <v>850</v>
      </c>
    </row>
    <row r="58" spans="1:6" ht="11.25" customHeight="1">
      <c r="A58" s="458" t="s">
        <v>226</v>
      </c>
      <c r="B58" s="501">
        <v>9.4</v>
      </c>
      <c r="C58" s="719" t="s">
        <v>1411</v>
      </c>
      <c r="D58" s="565">
        <v>11</v>
      </c>
      <c r="E58" s="720">
        <v>9.4</v>
      </c>
      <c r="F58" s="523">
        <v>850</v>
      </c>
    </row>
    <row r="59" spans="1:6" ht="11.25" customHeight="1">
      <c r="A59" s="458" t="s">
        <v>227</v>
      </c>
      <c r="B59" s="501">
        <v>7.0000000000000001E-3</v>
      </c>
      <c r="C59" s="719" t="s">
        <v>1412</v>
      </c>
      <c r="D59" s="565">
        <v>1550</v>
      </c>
      <c r="E59" s="720">
        <v>4.5</v>
      </c>
      <c r="F59" s="523">
        <v>7.0000000000000001E-3</v>
      </c>
    </row>
    <row r="60" spans="1:6" ht="11.25" customHeight="1">
      <c r="A60" s="458" t="s">
        <v>361</v>
      </c>
      <c r="B60" s="501">
        <v>3.1E-4</v>
      </c>
      <c r="C60" s="719" t="s">
        <v>1412</v>
      </c>
      <c r="D60" s="565">
        <v>45</v>
      </c>
      <c r="E60" s="720">
        <v>1.0999999999999999E-2</v>
      </c>
      <c r="F60" s="523">
        <v>3.1E-4</v>
      </c>
    </row>
    <row r="61" spans="1:6" ht="11.25" customHeight="1">
      <c r="A61" s="458" t="s">
        <v>362</v>
      </c>
      <c r="B61" s="501">
        <v>2.2000000000000001E-4</v>
      </c>
      <c r="C61" s="719" t="s">
        <v>1412</v>
      </c>
      <c r="D61" s="565">
        <v>20</v>
      </c>
      <c r="E61" s="720">
        <v>0.41</v>
      </c>
      <c r="F61" s="523">
        <v>2.2000000000000001E-4</v>
      </c>
    </row>
    <row r="62" spans="1:6" ht="11.25" customHeight="1">
      <c r="A62" s="458" t="s">
        <v>363</v>
      </c>
      <c r="B62" s="501">
        <v>7.9999999999999996E-6</v>
      </c>
      <c r="C62" s="719" t="s">
        <v>1412</v>
      </c>
      <c r="D62" s="565">
        <v>2.75</v>
      </c>
      <c r="E62" s="720">
        <v>1E-3</v>
      </c>
      <c r="F62" s="523">
        <v>7.9999999999999996E-6</v>
      </c>
    </row>
    <row r="63" spans="1:6" ht="11.25" customHeight="1">
      <c r="A63" s="458" t="s">
        <v>234</v>
      </c>
      <c r="B63" s="501">
        <v>47</v>
      </c>
      <c r="C63" s="719" t="s">
        <v>1411</v>
      </c>
      <c r="D63" s="565">
        <v>50000</v>
      </c>
      <c r="E63" s="720">
        <v>47</v>
      </c>
      <c r="F63" s="523" t="s">
        <v>954</v>
      </c>
    </row>
    <row r="64" spans="1:6" ht="11.25" customHeight="1">
      <c r="A64" s="458" t="s">
        <v>235</v>
      </c>
      <c r="B64" s="501">
        <v>79</v>
      </c>
      <c r="C64" s="719" t="s">
        <v>1412</v>
      </c>
      <c r="D64" s="565">
        <v>20000</v>
      </c>
      <c r="E64" s="720">
        <v>910</v>
      </c>
      <c r="F64" s="523">
        <v>79</v>
      </c>
    </row>
    <row r="65" spans="1:6" ht="11.25" customHeight="1">
      <c r="A65" s="458" t="s">
        <v>294</v>
      </c>
      <c r="B65" s="501">
        <v>0.6</v>
      </c>
      <c r="C65" s="719" t="s">
        <v>1412</v>
      </c>
      <c r="D65" s="565">
        <v>1500</v>
      </c>
      <c r="E65" s="720">
        <v>25</v>
      </c>
      <c r="F65" s="523">
        <v>0.6</v>
      </c>
    </row>
    <row r="66" spans="1:6" ht="11.25" customHeight="1">
      <c r="A66" s="458" t="s">
        <v>295</v>
      </c>
      <c r="B66" s="501">
        <v>620</v>
      </c>
      <c r="C66" s="719" t="s">
        <v>1411</v>
      </c>
      <c r="D66" s="565">
        <v>50000</v>
      </c>
      <c r="E66" s="720">
        <v>620</v>
      </c>
      <c r="F66" s="523" t="s">
        <v>954</v>
      </c>
    </row>
    <row r="67" spans="1:6" ht="11.25" customHeight="1">
      <c r="A67" s="458" t="s">
        <v>228</v>
      </c>
      <c r="B67" s="501">
        <v>260</v>
      </c>
      <c r="C67" s="719" t="s">
        <v>769</v>
      </c>
      <c r="D67" s="565">
        <v>260</v>
      </c>
      <c r="E67" s="720">
        <v>558</v>
      </c>
      <c r="F67" s="523" t="s">
        <v>58</v>
      </c>
    </row>
    <row r="68" spans="1:6" ht="11.25" customHeight="1">
      <c r="A68" s="458" t="s">
        <v>942</v>
      </c>
      <c r="B68" s="501">
        <v>0.3</v>
      </c>
      <c r="C68" s="719" t="s">
        <v>769</v>
      </c>
      <c r="D68" s="565">
        <v>0.3</v>
      </c>
      <c r="E68" s="720">
        <v>11</v>
      </c>
      <c r="F68" s="523">
        <v>290</v>
      </c>
    </row>
    <row r="69" spans="1:6" ht="11.25" customHeight="1">
      <c r="A69" s="458" t="s">
        <v>98</v>
      </c>
      <c r="B69" s="501">
        <v>70</v>
      </c>
      <c r="C69" s="719" t="s">
        <v>1411</v>
      </c>
      <c r="D69" s="565">
        <v>50000</v>
      </c>
      <c r="E69" s="720">
        <v>70</v>
      </c>
      <c r="F69" s="523" t="s">
        <v>954</v>
      </c>
    </row>
    <row r="70" spans="1:6" ht="11.25" customHeight="1">
      <c r="A70" s="458" t="s">
        <v>943</v>
      </c>
      <c r="B70" s="501">
        <v>10</v>
      </c>
      <c r="C70" s="719" t="s">
        <v>769</v>
      </c>
      <c r="D70" s="565">
        <v>10</v>
      </c>
      <c r="E70" s="720">
        <v>520</v>
      </c>
      <c r="F70" s="523">
        <v>15</v>
      </c>
    </row>
    <row r="71" spans="1:6" ht="11.25" customHeight="1">
      <c r="A71" s="458" t="s">
        <v>296</v>
      </c>
      <c r="B71" s="501">
        <v>0.06</v>
      </c>
      <c r="C71" s="719" t="s">
        <v>1411</v>
      </c>
      <c r="D71" s="565">
        <v>50000</v>
      </c>
      <c r="E71" s="720">
        <v>0.06</v>
      </c>
      <c r="F71" s="523">
        <v>4.5999999999999996</v>
      </c>
    </row>
    <row r="72" spans="1:6" ht="11.25" customHeight="1">
      <c r="A72" s="458" t="s">
        <v>944</v>
      </c>
      <c r="B72" s="501">
        <v>2.5000000000000001E-5</v>
      </c>
      <c r="C72" s="719" t="s">
        <v>1412</v>
      </c>
      <c r="D72" s="565">
        <v>41</v>
      </c>
      <c r="E72" s="720">
        <v>1.9E-3</v>
      </c>
      <c r="F72" s="523">
        <v>2.5000000000000001E-5</v>
      </c>
    </row>
    <row r="73" spans="1:6" ht="11.25" customHeight="1">
      <c r="A73" s="458" t="s">
        <v>945</v>
      </c>
      <c r="B73" s="501">
        <v>210</v>
      </c>
      <c r="C73" s="719" t="s">
        <v>1411</v>
      </c>
      <c r="D73" s="565">
        <v>50000</v>
      </c>
      <c r="E73" s="720">
        <v>210</v>
      </c>
      <c r="F73" s="523">
        <v>44000</v>
      </c>
    </row>
    <row r="74" spans="1:6" ht="11.25" customHeight="1">
      <c r="A74" s="458" t="s">
        <v>947</v>
      </c>
      <c r="B74" s="501">
        <v>120</v>
      </c>
      <c r="C74" s="719" t="s">
        <v>1411</v>
      </c>
      <c r="D74" s="565">
        <v>400</v>
      </c>
      <c r="E74" s="720">
        <v>120</v>
      </c>
      <c r="F74" s="523">
        <v>850</v>
      </c>
    </row>
    <row r="75" spans="1:6" ht="11.25" customHeight="1">
      <c r="A75" s="458" t="s">
        <v>946</v>
      </c>
      <c r="B75" s="501">
        <v>1100</v>
      </c>
      <c r="C75" s="719" t="s">
        <v>1411</v>
      </c>
      <c r="D75" s="565">
        <v>50000</v>
      </c>
      <c r="E75" s="720">
        <v>1100</v>
      </c>
      <c r="F75" s="523">
        <v>1100000</v>
      </c>
    </row>
    <row r="76" spans="1:6" ht="11.25" customHeight="1">
      <c r="A76" s="462" t="s">
        <v>99</v>
      </c>
      <c r="B76" s="501">
        <v>10</v>
      </c>
      <c r="C76" s="719" t="s">
        <v>1411</v>
      </c>
      <c r="D76" s="565">
        <v>50000</v>
      </c>
      <c r="E76" s="720">
        <v>10</v>
      </c>
      <c r="F76" s="523" t="s">
        <v>954</v>
      </c>
    </row>
    <row r="77" spans="1:6" ht="11.25" customHeight="1">
      <c r="A77" s="458" t="s">
        <v>297</v>
      </c>
      <c r="B77" s="501">
        <v>14.3</v>
      </c>
      <c r="C77" s="719" t="s">
        <v>1411</v>
      </c>
      <c r="D77" s="565">
        <v>50000</v>
      </c>
      <c r="E77" s="720">
        <v>14.3</v>
      </c>
      <c r="F77" s="523">
        <v>5300</v>
      </c>
    </row>
    <row r="78" spans="1:6" ht="11.25" customHeight="1">
      <c r="A78" s="462" t="s">
        <v>100</v>
      </c>
      <c r="B78" s="501">
        <v>3</v>
      </c>
      <c r="C78" s="719" t="s">
        <v>1412</v>
      </c>
      <c r="D78" s="565">
        <v>50000</v>
      </c>
      <c r="E78" s="720">
        <v>9.1</v>
      </c>
      <c r="F78" s="523">
        <v>3</v>
      </c>
    </row>
    <row r="79" spans="1:6" ht="11.25" customHeight="1">
      <c r="A79" s="462" t="s">
        <v>101</v>
      </c>
      <c r="B79" s="501">
        <v>81</v>
      </c>
      <c r="C79" s="719" t="s">
        <v>1411</v>
      </c>
      <c r="D79" s="565">
        <v>50000</v>
      </c>
      <c r="E79" s="720">
        <v>81</v>
      </c>
      <c r="F79" s="523" t="s">
        <v>954</v>
      </c>
    </row>
    <row r="80" spans="1:6" ht="11.25" customHeight="1">
      <c r="A80" s="458" t="s">
        <v>382</v>
      </c>
      <c r="B80" s="501">
        <v>50000</v>
      </c>
      <c r="C80" s="719" t="s">
        <v>769</v>
      </c>
      <c r="D80" s="565">
        <v>50000</v>
      </c>
      <c r="E80" s="720">
        <v>335000</v>
      </c>
      <c r="F80" s="523" t="s">
        <v>954</v>
      </c>
    </row>
    <row r="81" spans="1:6" ht="11.25" customHeight="1">
      <c r="A81" s="458" t="s">
        <v>594</v>
      </c>
      <c r="B81" s="501">
        <v>3.1E-9</v>
      </c>
      <c r="C81" s="719" t="s">
        <v>1411</v>
      </c>
      <c r="D81" s="565">
        <v>0.1</v>
      </c>
      <c r="E81" s="720">
        <v>3.1E-9</v>
      </c>
      <c r="F81" s="523">
        <v>5.0000000000000001E-9</v>
      </c>
    </row>
    <row r="82" spans="1:6" ht="11.25" customHeight="1">
      <c r="A82" s="458" t="s">
        <v>102</v>
      </c>
      <c r="B82" s="501">
        <v>60</v>
      </c>
      <c r="C82" s="719" t="s">
        <v>1411</v>
      </c>
      <c r="D82" s="565">
        <v>21000</v>
      </c>
      <c r="E82" s="720">
        <v>60</v>
      </c>
      <c r="F82" s="523" t="s">
        <v>954</v>
      </c>
    </row>
    <row r="83" spans="1:6" ht="11.25" customHeight="1">
      <c r="A83" s="458" t="s">
        <v>370</v>
      </c>
      <c r="B83" s="501">
        <v>8.6999999999999994E-3</v>
      </c>
      <c r="C83" s="719" t="s">
        <v>1411</v>
      </c>
      <c r="D83" s="565">
        <v>162.5</v>
      </c>
      <c r="E83" s="720">
        <v>8.6999999999999994E-3</v>
      </c>
      <c r="F83" s="523">
        <v>52</v>
      </c>
    </row>
    <row r="84" spans="1:6" ht="11.25" customHeight="1">
      <c r="A84" s="458" t="s">
        <v>337</v>
      </c>
      <c r="B84" s="501">
        <v>2.3E-3</v>
      </c>
      <c r="C84" s="719" t="s">
        <v>1411</v>
      </c>
      <c r="D84" s="565">
        <v>41</v>
      </c>
      <c r="E84" s="720">
        <v>2.3E-3</v>
      </c>
      <c r="F84" s="523">
        <v>0.81</v>
      </c>
    </row>
    <row r="85" spans="1:6" ht="11.25" customHeight="1">
      <c r="A85" s="458" t="s">
        <v>28</v>
      </c>
      <c r="B85" s="501">
        <v>0</v>
      </c>
      <c r="C85" s="719" t="s">
        <v>1411</v>
      </c>
      <c r="D85" s="565">
        <v>50000</v>
      </c>
      <c r="E85" s="720">
        <v>0</v>
      </c>
      <c r="F85" s="523" t="s">
        <v>954</v>
      </c>
    </row>
    <row r="86" spans="1:6" ht="11.25" customHeight="1">
      <c r="A86" s="458" t="s">
        <v>338</v>
      </c>
      <c r="B86" s="501">
        <v>7.3</v>
      </c>
      <c r="C86" s="719" t="s">
        <v>1411</v>
      </c>
      <c r="D86" s="565">
        <v>30</v>
      </c>
      <c r="E86" s="720">
        <v>7.3</v>
      </c>
      <c r="F86" s="523">
        <v>1070</v>
      </c>
    </row>
    <row r="87" spans="1:6" ht="11.25" customHeight="1">
      <c r="A87" s="458" t="s">
        <v>339</v>
      </c>
      <c r="B87" s="501">
        <v>0.8</v>
      </c>
      <c r="C87" s="719" t="s">
        <v>1411</v>
      </c>
      <c r="D87" s="565">
        <v>130</v>
      </c>
      <c r="E87" s="720">
        <v>0.8</v>
      </c>
      <c r="F87" s="523">
        <v>18</v>
      </c>
    </row>
    <row r="88" spans="1:6" ht="11.25" customHeight="1">
      <c r="A88" s="458" t="s">
        <v>340</v>
      </c>
      <c r="B88" s="501">
        <v>3.9</v>
      </c>
      <c r="C88" s="719" t="s">
        <v>1411</v>
      </c>
      <c r="D88" s="565">
        <v>845</v>
      </c>
      <c r="E88" s="720">
        <v>3.9</v>
      </c>
      <c r="F88" s="523">
        <v>5300</v>
      </c>
    </row>
    <row r="89" spans="1:6" ht="11.25" customHeight="1">
      <c r="A89" s="458" t="s">
        <v>103</v>
      </c>
      <c r="B89" s="501">
        <v>1800</v>
      </c>
      <c r="C89" s="719" t="s">
        <v>1411</v>
      </c>
      <c r="D89" s="565">
        <v>50000</v>
      </c>
      <c r="E89" s="720">
        <v>1800</v>
      </c>
      <c r="F89" s="523" t="s">
        <v>954</v>
      </c>
    </row>
    <row r="90" spans="1:6" ht="11.25" customHeight="1">
      <c r="A90" s="458" t="s">
        <v>341</v>
      </c>
      <c r="B90" s="501">
        <v>9.0000000000000006E-5</v>
      </c>
      <c r="C90" s="719" t="s">
        <v>1412</v>
      </c>
      <c r="D90" s="565">
        <v>20</v>
      </c>
      <c r="E90" s="720">
        <v>3.5999999999999999E-3</v>
      </c>
      <c r="F90" s="523">
        <v>9.0000000000000006E-5</v>
      </c>
    </row>
    <row r="91" spans="1:6" ht="11.25" customHeight="1">
      <c r="A91" s="458" t="s">
        <v>342</v>
      </c>
      <c r="B91" s="501">
        <v>3.8999999999999999E-5</v>
      </c>
      <c r="C91" s="719" t="s">
        <v>1412</v>
      </c>
      <c r="D91" s="565">
        <v>100</v>
      </c>
      <c r="E91" s="720">
        <v>3.5999999999999999E-3</v>
      </c>
      <c r="F91" s="523">
        <v>3.8999999999999999E-5</v>
      </c>
    </row>
    <row r="92" spans="1:6" ht="11.25" customHeight="1">
      <c r="A92" s="458" t="s">
        <v>371</v>
      </c>
      <c r="B92" s="501">
        <v>2.4000000000000001E-4</v>
      </c>
      <c r="C92" s="719" t="s">
        <v>1412</v>
      </c>
      <c r="D92" s="565">
        <v>3.1</v>
      </c>
      <c r="E92" s="720">
        <v>2.9999999999999997E-4</v>
      </c>
      <c r="F92" s="523">
        <v>2.4000000000000001E-4</v>
      </c>
    </row>
    <row r="93" spans="1:6" ht="11.25" customHeight="1">
      <c r="A93" s="458" t="s">
        <v>343</v>
      </c>
      <c r="B93" s="501">
        <v>0.3</v>
      </c>
      <c r="C93" s="719" t="s">
        <v>1411</v>
      </c>
      <c r="D93" s="565">
        <v>6</v>
      </c>
      <c r="E93" s="720">
        <v>0.3</v>
      </c>
      <c r="F93" s="523">
        <v>16</v>
      </c>
    </row>
    <row r="94" spans="1:6" ht="11.25" customHeight="1">
      <c r="A94" s="458" t="s">
        <v>364</v>
      </c>
      <c r="B94" s="501">
        <v>0.02</v>
      </c>
      <c r="C94" s="719" t="s">
        <v>1412</v>
      </c>
      <c r="D94" s="565">
        <v>3650</v>
      </c>
      <c r="E94" s="720">
        <v>6.3E-2</v>
      </c>
      <c r="F94" s="523">
        <v>0.02</v>
      </c>
    </row>
    <row r="95" spans="1:6" ht="11.25" customHeight="1">
      <c r="A95" s="458" t="s">
        <v>344</v>
      </c>
      <c r="B95" s="501">
        <v>2.9</v>
      </c>
      <c r="C95" s="719" t="s">
        <v>1412</v>
      </c>
      <c r="D95" s="565">
        <v>10</v>
      </c>
      <c r="E95" s="720">
        <v>12</v>
      </c>
      <c r="F95" s="523">
        <v>2.9</v>
      </c>
    </row>
    <row r="96" spans="1:6" ht="11.25" customHeight="1">
      <c r="A96" s="458" t="s">
        <v>104</v>
      </c>
      <c r="B96" s="501">
        <v>17000</v>
      </c>
      <c r="C96" s="719" t="s">
        <v>1411</v>
      </c>
      <c r="D96" s="565">
        <v>50000</v>
      </c>
      <c r="E96" s="720">
        <v>17000</v>
      </c>
      <c r="F96" s="523" t="s">
        <v>954</v>
      </c>
    </row>
    <row r="97" spans="1:6" ht="11.25" customHeight="1">
      <c r="A97" s="458" t="s">
        <v>345</v>
      </c>
      <c r="B97" s="501">
        <v>1.7999999999999999E-2</v>
      </c>
      <c r="C97" s="719" t="s">
        <v>1412</v>
      </c>
      <c r="D97" s="565">
        <v>9.5000000000000001E-2</v>
      </c>
      <c r="E97" s="720">
        <v>0.28000000000000003</v>
      </c>
      <c r="F97" s="523">
        <v>1.7999999999999999E-2</v>
      </c>
    </row>
    <row r="98" spans="1:6" ht="11.25" customHeight="1">
      <c r="A98" s="458" t="s">
        <v>105</v>
      </c>
      <c r="B98" s="501">
        <v>920</v>
      </c>
      <c r="C98" s="719" t="s">
        <v>1411</v>
      </c>
      <c r="D98" s="565">
        <v>50000</v>
      </c>
      <c r="E98" s="720">
        <v>920</v>
      </c>
      <c r="F98" s="523">
        <v>170000</v>
      </c>
    </row>
    <row r="99" spans="1:6" ht="11.25" customHeight="1">
      <c r="A99" s="458" t="s">
        <v>346</v>
      </c>
      <c r="B99" s="501">
        <v>5.6</v>
      </c>
      <c r="C99" s="719" t="s">
        <v>1411</v>
      </c>
      <c r="D99" s="565">
        <v>50000</v>
      </c>
      <c r="E99" s="720">
        <v>5.6</v>
      </c>
      <c r="F99" s="523" t="s">
        <v>954</v>
      </c>
    </row>
    <row r="100" spans="1:6" ht="11.25" customHeight="1">
      <c r="A100" s="458" t="s">
        <v>347</v>
      </c>
      <c r="B100" s="501">
        <v>2.5000000000000001E-2</v>
      </c>
      <c r="C100" s="719" t="s">
        <v>1411</v>
      </c>
      <c r="D100" s="565">
        <v>50000</v>
      </c>
      <c r="E100" s="720">
        <v>2.5000000000000001E-2</v>
      </c>
      <c r="F100" s="523">
        <v>4.7E-2</v>
      </c>
    </row>
    <row r="101" spans="1:6" ht="11.25" customHeight="1">
      <c r="A101" s="458" t="s">
        <v>348</v>
      </c>
      <c r="B101" s="501">
        <v>0.03</v>
      </c>
      <c r="C101" s="719" t="s">
        <v>1411</v>
      </c>
      <c r="D101" s="565">
        <v>50</v>
      </c>
      <c r="E101" s="720">
        <v>0.03</v>
      </c>
      <c r="F101" s="523" t="s">
        <v>954</v>
      </c>
    </row>
    <row r="102" spans="1:6" ht="11.25" customHeight="1">
      <c r="A102" s="458" t="s">
        <v>350</v>
      </c>
      <c r="B102" s="501">
        <v>8400</v>
      </c>
      <c r="C102" s="719" t="s">
        <v>769</v>
      </c>
      <c r="D102" s="565">
        <v>8400</v>
      </c>
      <c r="E102" s="720">
        <v>14000</v>
      </c>
      <c r="F102" s="523" t="s">
        <v>954</v>
      </c>
    </row>
    <row r="103" spans="1:6" ht="11.25" customHeight="1">
      <c r="A103" s="458" t="s">
        <v>351</v>
      </c>
      <c r="B103" s="501">
        <v>170</v>
      </c>
      <c r="C103" s="719" t="s">
        <v>1411</v>
      </c>
      <c r="D103" s="565">
        <v>1300</v>
      </c>
      <c r="E103" s="720">
        <v>170</v>
      </c>
      <c r="F103" s="523" t="s">
        <v>954</v>
      </c>
    </row>
    <row r="104" spans="1:6" ht="11.25" customHeight="1">
      <c r="A104" s="458" t="s">
        <v>352</v>
      </c>
      <c r="B104" s="501">
        <v>2.8E-3</v>
      </c>
      <c r="C104" s="719" t="s">
        <v>1411</v>
      </c>
      <c r="D104" s="565">
        <v>50000</v>
      </c>
      <c r="E104" s="720">
        <v>2.8E-3</v>
      </c>
      <c r="F104" s="523" t="s">
        <v>954</v>
      </c>
    </row>
    <row r="105" spans="1:6" ht="11.25" customHeight="1">
      <c r="A105" s="458" t="s">
        <v>353</v>
      </c>
      <c r="B105" s="501">
        <v>180</v>
      </c>
      <c r="C105" s="719" t="s">
        <v>769</v>
      </c>
      <c r="D105" s="565">
        <v>180</v>
      </c>
      <c r="E105" s="720">
        <v>730</v>
      </c>
      <c r="F105" s="523" t="s">
        <v>954</v>
      </c>
    </row>
    <row r="106" spans="1:6" ht="11.25" customHeight="1">
      <c r="A106" s="458" t="s">
        <v>349</v>
      </c>
      <c r="B106" s="501">
        <v>590</v>
      </c>
      <c r="C106" s="719" t="s">
        <v>1412</v>
      </c>
      <c r="D106" s="565">
        <v>9100</v>
      </c>
      <c r="E106" s="720">
        <v>1500</v>
      </c>
      <c r="F106" s="523">
        <v>590</v>
      </c>
    </row>
    <row r="107" spans="1:6" ht="11.25" customHeight="1">
      <c r="A107" s="458" t="s">
        <v>590</v>
      </c>
      <c r="B107" s="501">
        <v>2.1</v>
      </c>
      <c r="C107" s="719" t="s">
        <v>1411</v>
      </c>
      <c r="D107" s="565">
        <v>10</v>
      </c>
      <c r="E107" s="720">
        <v>2.1</v>
      </c>
      <c r="F107" s="523" t="s">
        <v>954</v>
      </c>
    </row>
    <row r="108" spans="1:6" ht="11.25" customHeight="1">
      <c r="A108" s="458" t="s">
        <v>591</v>
      </c>
      <c r="B108" s="501">
        <v>4.7</v>
      </c>
      <c r="C108" s="719" t="s">
        <v>1411</v>
      </c>
      <c r="D108" s="565">
        <v>10</v>
      </c>
      <c r="E108" s="720">
        <v>4.7</v>
      </c>
      <c r="F108" s="523" t="s">
        <v>954</v>
      </c>
    </row>
    <row r="109" spans="1:6" ht="11.25" customHeight="1">
      <c r="A109" s="458" t="s">
        <v>465</v>
      </c>
      <c r="B109" s="501">
        <v>370</v>
      </c>
      <c r="C109" s="719" t="s">
        <v>1411</v>
      </c>
      <c r="D109" s="565">
        <v>50000</v>
      </c>
      <c r="E109" s="720">
        <v>370</v>
      </c>
      <c r="F109" s="523" t="s">
        <v>954</v>
      </c>
    </row>
    <row r="110" spans="1:6" ht="11.25" customHeight="1">
      <c r="A110" s="458" t="s">
        <v>466</v>
      </c>
      <c r="B110" s="501">
        <v>12</v>
      </c>
      <c r="C110" s="719" t="s">
        <v>1411</v>
      </c>
      <c r="D110" s="565">
        <v>21</v>
      </c>
      <c r="E110" s="720">
        <v>12</v>
      </c>
      <c r="F110" s="523" t="s">
        <v>954</v>
      </c>
    </row>
    <row r="111" spans="1:6" ht="11.25" customHeight="1">
      <c r="A111" s="458" t="s">
        <v>812</v>
      </c>
      <c r="B111" s="501">
        <v>5</v>
      </c>
      <c r="C111" s="719" t="s">
        <v>1411</v>
      </c>
      <c r="D111" s="565">
        <v>50000</v>
      </c>
      <c r="E111" s="720">
        <v>5</v>
      </c>
      <c r="F111" s="523">
        <v>33</v>
      </c>
    </row>
    <row r="112" spans="1:6" ht="11.25" customHeight="1">
      <c r="A112" s="462" t="s">
        <v>106</v>
      </c>
      <c r="B112" s="501">
        <v>380</v>
      </c>
      <c r="C112" s="719" t="s">
        <v>1411</v>
      </c>
      <c r="D112" s="565">
        <v>50000</v>
      </c>
      <c r="E112" s="720">
        <v>380</v>
      </c>
      <c r="F112" s="523" t="s">
        <v>954</v>
      </c>
    </row>
    <row r="113" spans="1:6" ht="11.25" customHeight="1">
      <c r="A113" s="462" t="s">
        <v>107</v>
      </c>
      <c r="B113" s="501">
        <v>18</v>
      </c>
      <c r="C113" s="719" t="s">
        <v>1411</v>
      </c>
      <c r="D113" s="565">
        <v>50000</v>
      </c>
      <c r="E113" s="720">
        <v>18</v>
      </c>
      <c r="F113" s="523" t="s">
        <v>954</v>
      </c>
    </row>
    <row r="114" spans="1:6" ht="11.25" customHeight="1">
      <c r="A114" s="462" t="s">
        <v>108</v>
      </c>
      <c r="B114" s="501">
        <v>71</v>
      </c>
      <c r="C114" s="719" t="s">
        <v>1411</v>
      </c>
      <c r="D114" s="565">
        <v>50000</v>
      </c>
      <c r="E114" s="720">
        <v>71</v>
      </c>
      <c r="F114" s="523" t="s">
        <v>954</v>
      </c>
    </row>
    <row r="115" spans="1:6" ht="11.25" customHeight="1">
      <c r="A115" s="462" t="s">
        <v>109</v>
      </c>
      <c r="B115" s="501">
        <v>42</v>
      </c>
      <c r="C115" s="719" t="s">
        <v>1411</v>
      </c>
      <c r="D115" s="565">
        <v>50000</v>
      </c>
      <c r="E115" s="720">
        <v>42</v>
      </c>
      <c r="F115" s="523" t="s">
        <v>954</v>
      </c>
    </row>
    <row r="116" spans="1:6" ht="11.25" customHeight="1">
      <c r="A116" s="462" t="s">
        <v>110</v>
      </c>
      <c r="B116" s="501">
        <v>46</v>
      </c>
      <c r="C116" s="719" t="s">
        <v>1411</v>
      </c>
      <c r="D116" s="565">
        <v>50000</v>
      </c>
      <c r="E116" s="720">
        <v>46</v>
      </c>
      <c r="F116" s="523" t="s">
        <v>954</v>
      </c>
    </row>
    <row r="117" spans="1:6" ht="11.25" customHeight="1">
      <c r="A117" s="458" t="s">
        <v>467</v>
      </c>
      <c r="B117" s="501">
        <v>3</v>
      </c>
      <c r="C117" s="719" t="s">
        <v>1412</v>
      </c>
      <c r="D117" s="565">
        <v>590</v>
      </c>
      <c r="E117" s="720">
        <v>7.9</v>
      </c>
      <c r="F117" s="523">
        <v>3</v>
      </c>
    </row>
    <row r="118" spans="1:6" ht="11.25" customHeight="1">
      <c r="A118" s="462" t="s">
        <v>111</v>
      </c>
      <c r="B118" s="501">
        <v>21500</v>
      </c>
      <c r="C118" s="719" t="s">
        <v>769</v>
      </c>
      <c r="D118" s="565">
        <v>21500</v>
      </c>
      <c r="E118" s="720">
        <v>850000</v>
      </c>
      <c r="F118" s="523" t="s">
        <v>954</v>
      </c>
    </row>
    <row r="119" spans="1:6" ht="11.25" customHeight="1">
      <c r="A119" s="458" t="s">
        <v>231</v>
      </c>
      <c r="B119" s="501">
        <v>600</v>
      </c>
      <c r="C119" s="719" t="s">
        <v>1411</v>
      </c>
      <c r="D119" s="565">
        <v>50000</v>
      </c>
      <c r="E119" s="720">
        <v>600</v>
      </c>
      <c r="F119" s="523" t="s">
        <v>954</v>
      </c>
    </row>
    <row r="120" spans="1:6" ht="11.25" customHeight="1">
      <c r="A120" s="458" t="s">
        <v>468</v>
      </c>
      <c r="B120" s="501">
        <v>2.2999999999999998</v>
      </c>
      <c r="C120" s="719" t="s">
        <v>1411</v>
      </c>
      <c r="D120" s="565">
        <v>408</v>
      </c>
      <c r="E120" s="720">
        <v>2.2999999999999998</v>
      </c>
      <c r="F120" s="523" t="s">
        <v>954</v>
      </c>
    </row>
    <row r="121" spans="1:6" ht="11.25" customHeight="1">
      <c r="A121" s="458" t="s">
        <v>469</v>
      </c>
      <c r="B121" s="501">
        <v>58</v>
      </c>
      <c r="C121" s="719" t="s">
        <v>1411</v>
      </c>
      <c r="D121" s="565">
        <v>7900</v>
      </c>
      <c r="E121" s="720">
        <v>58</v>
      </c>
      <c r="F121" s="523">
        <v>1700000</v>
      </c>
    </row>
    <row r="122" spans="1:6" ht="11.25" customHeight="1">
      <c r="A122" s="458" t="s">
        <v>365</v>
      </c>
      <c r="B122" s="501">
        <v>7.8999999999999996E-5</v>
      </c>
      <c r="C122" s="719" t="s">
        <v>1412</v>
      </c>
      <c r="D122" s="565">
        <v>21.5</v>
      </c>
      <c r="E122" s="720">
        <v>1.4E-2</v>
      </c>
      <c r="F122" s="523">
        <v>7.8999999999999996E-5</v>
      </c>
    </row>
    <row r="123" spans="1:6" ht="11.25" customHeight="1">
      <c r="A123" s="458" t="s">
        <v>112</v>
      </c>
      <c r="B123" s="501">
        <v>95</v>
      </c>
      <c r="C123" s="719" t="s">
        <v>1411</v>
      </c>
      <c r="D123" s="565">
        <v>50000</v>
      </c>
      <c r="E123" s="720">
        <v>95</v>
      </c>
      <c r="F123" s="523" t="s">
        <v>954</v>
      </c>
    </row>
    <row r="124" spans="1:6" ht="11.25" customHeight="1">
      <c r="A124" s="458" t="s">
        <v>470</v>
      </c>
      <c r="B124" s="501">
        <v>4.5999999999999996</v>
      </c>
      <c r="C124" s="719" t="s">
        <v>1411</v>
      </c>
      <c r="D124" s="565">
        <v>67.5</v>
      </c>
      <c r="E124" s="720">
        <v>4.5999999999999996</v>
      </c>
      <c r="F124" s="523">
        <v>4000</v>
      </c>
    </row>
    <row r="125" spans="1:6" ht="11.25" customHeight="1">
      <c r="A125" s="458" t="s">
        <v>471</v>
      </c>
      <c r="B125" s="501">
        <v>5</v>
      </c>
      <c r="C125" s="719" t="s">
        <v>1411</v>
      </c>
      <c r="D125" s="565">
        <v>50000</v>
      </c>
      <c r="E125" s="720">
        <v>5</v>
      </c>
      <c r="F125" s="523" t="s">
        <v>954</v>
      </c>
    </row>
    <row r="126" spans="1:6" ht="11.25" customHeight="1">
      <c r="A126" s="458" t="s">
        <v>813</v>
      </c>
      <c r="B126" s="501">
        <v>0.1</v>
      </c>
      <c r="C126" s="719" t="s">
        <v>1411</v>
      </c>
      <c r="D126" s="565">
        <v>50000</v>
      </c>
      <c r="E126" s="720">
        <v>0.1</v>
      </c>
      <c r="F126" s="523" t="s">
        <v>954</v>
      </c>
    </row>
    <row r="127" spans="1:6" ht="11.25" customHeight="1">
      <c r="A127" s="458" t="s">
        <v>113</v>
      </c>
      <c r="B127" s="501">
        <v>9</v>
      </c>
      <c r="C127" s="719" t="s">
        <v>1411</v>
      </c>
      <c r="D127" s="565">
        <v>3100</v>
      </c>
      <c r="E127" s="720">
        <v>9</v>
      </c>
      <c r="F127" s="523" t="s">
        <v>954</v>
      </c>
    </row>
    <row r="128" spans="1:6" ht="11.25" customHeight="1">
      <c r="A128" s="458" t="s">
        <v>472</v>
      </c>
      <c r="B128" s="501">
        <v>11</v>
      </c>
      <c r="C128" s="719" t="s">
        <v>769</v>
      </c>
      <c r="D128" s="565">
        <v>11</v>
      </c>
      <c r="E128" s="720">
        <v>32</v>
      </c>
      <c r="F128" s="523" t="s">
        <v>954</v>
      </c>
    </row>
    <row r="129" spans="1:6" ht="11.25" customHeight="1">
      <c r="A129" s="458" t="s">
        <v>114</v>
      </c>
      <c r="B129" s="501">
        <v>251.31929956026045</v>
      </c>
      <c r="C129" s="719" t="s">
        <v>1411</v>
      </c>
      <c r="D129" s="565">
        <v>50000</v>
      </c>
      <c r="E129" s="720">
        <v>251.31929956026045</v>
      </c>
      <c r="F129" s="523" t="s">
        <v>954</v>
      </c>
    </row>
    <row r="130" spans="1:6" ht="11.25" customHeight="1">
      <c r="A130" s="458" t="s">
        <v>19</v>
      </c>
      <c r="B130" s="501">
        <v>18000</v>
      </c>
      <c r="C130" s="719" t="s">
        <v>1411</v>
      </c>
      <c r="D130" s="565">
        <v>50000</v>
      </c>
      <c r="E130" s="720">
        <v>18000</v>
      </c>
      <c r="F130" s="523" t="s">
        <v>954</v>
      </c>
    </row>
    <row r="131" spans="1:6" ht="11.25" customHeight="1">
      <c r="A131" s="458" t="s">
        <v>473</v>
      </c>
      <c r="B131" s="501">
        <v>10.8</v>
      </c>
      <c r="C131" s="719" t="s">
        <v>1411</v>
      </c>
      <c r="D131" s="565">
        <v>50000</v>
      </c>
      <c r="E131" s="720">
        <v>10.8</v>
      </c>
      <c r="F131" s="523" t="s">
        <v>954</v>
      </c>
    </row>
    <row r="132" spans="1:6" ht="11.25" customHeight="1">
      <c r="A132" s="458" t="s">
        <v>474</v>
      </c>
      <c r="B132" s="501">
        <v>3.5</v>
      </c>
      <c r="C132" s="719" t="s">
        <v>1412</v>
      </c>
      <c r="D132" s="565">
        <v>500</v>
      </c>
      <c r="E132" s="720">
        <v>200</v>
      </c>
      <c r="F132" s="523">
        <v>3.5</v>
      </c>
    </row>
    <row r="133" spans="1:6" ht="11.25" customHeight="1">
      <c r="A133" s="458" t="s">
        <v>475</v>
      </c>
      <c r="B133" s="501">
        <v>2.9</v>
      </c>
      <c r="C133" s="719" t="s">
        <v>1412</v>
      </c>
      <c r="D133" s="565">
        <v>300</v>
      </c>
      <c r="E133" s="720">
        <v>53</v>
      </c>
      <c r="F133" s="523">
        <v>2.9</v>
      </c>
    </row>
    <row r="134" spans="1:6" ht="11.25" customHeight="1">
      <c r="A134" s="458" t="s">
        <v>115</v>
      </c>
      <c r="B134" s="501">
        <v>1.2</v>
      </c>
      <c r="C134" s="719" t="s">
        <v>1411</v>
      </c>
      <c r="D134" s="565">
        <v>11500</v>
      </c>
      <c r="E134" s="720">
        <v>1.2</v>
      </c>
      <c r="F134" s="523" t="s">
        <v>954</v>
      </c>
    </row>
    <row r="135" spans="1:6" ht="11.25" customHeight="1">
      <c r="A135" s="462" t="s">
        <v>116</v>
      </c>
      <c r="B135" s="501">
        <v>220</v>
      </c>
      <c r="C135" s="719" t="s">
        <v>1411</v>
      </c>
      <c r="D135" s="565">
        <v>2500</v>
      </c>
      <c r="E135" s="720">
        <v>220</v>
      </c>
      <c r="F135" s="523" t="s">
        <v>954</v>
      </c>
    </row>
    <row r="136" spans="1:6" ht="11.25" customHeight="1">
      <c r="A136" s="458" t="s">
        <v>476</v>
      </c>
      <c r="B136" s="501">
        <v>6</v>
      </c>
      <c r="C136" s="719" t="s">
        <v>1411</v>
      </c>
      <c r="D136" s="565">
        <v>50000</v>
      </c>
      <c r="E136" s="720">
        <v>6</v>
      </c>
      <c r="F136" s="523">
        <v>16</v>
      </c>
    </row>
    <row r="137" spans="1:6" ht="11.25" customHeight="1">
      <c r="A137" s="458" t="s">
        <v>366</v>
      </c>
      <c r="B137" s="501">
        <v>9.8000000000000007</v>
      </c>
      <c r="C137" s="719" t="s">
        <v>1411</v>
      </c>
      <c r="D137" s="565">
        <v>40</v>
      </c>
      <c r="E137" s="720">
        <v>9.8000000000000007</v>
      </c>
      <c r="F137" s="523">
        <v>140000</v>
      </c>
    </row>
    <row r="138" spans="1:6" ht="11.25" customHeight="1">
      <c r="A138" s="458" t="s">
        <v>20</v>
      </c>
      <c r="B138" s="501">
        <v>2.0000000000000001E-4</v>
      </c>
      <c r="C138" s="719" t="s">
        <v>1411</v>
      </c>
      <c r="D138" s="565">
        <v>140</v>
      </c>
      <c r="E138" s="720">
        <v>2.0000000000000001E-4</v>
      </c>
      <c r="F138" s="523">
        <v>2.4000000000000001E-4</v>
      </c>
    </row>
    <row r="139" spans="1:6" ht="11.25" customHeight="1">
      <c r="A139" s="458" t="s">
        <v>57</v>
      </c>
      <c r="B139" s="501">
        <v>500</v>
      </c>
      <c r="C139" s="719" t="s">
        <v>1411</v>
      </c>
      <c r="D139" s="565">
        <v>5000</v>
      </c>
      <c r="E139" s="720">
        <v>500</v>
      </c>
      <c r="F139" s="523" t="s">
        <v>954</v>
      </c>
    </row>
    <row r="140" spans="1:6" ht="11.25" customHeight="1">
      <c r="A140" s="458" t="s">
        <v>56</v>
      </c>
      <c r="B140" s="501">
        <v>640</v>
      </c>
      <c r="C140" s="719" t="s">
        <v>1411</v>
      </c>
      <c r="D140" s="565">
        <v>5000</v>
      </c>
      <c r="E140" s="720">
        <v>640</v>
      </c>
      <c r="F140" s="523" t="s">
        <v>954</v>
      </c>
    </row>
    <row r="141" spans="1:6" ht="11.25" customHeight="1">
      <c r="A141" s="458" t="s">
        <v>777</v>
      </c>
      <c r="B141" s="501">
        <v>640</v>
      </c>
      <c r="C141" s="719" t="s">
        <v>1411</v>
      </c>
      <c r="D141" s="565">
        <v>5000</v>
      </c>
      <c r="E141" s="720">
        <v>640</v>
      </c>
      <c r="F141" s="523" t="s">
        <v>954</v>
      </c>
    </row>
    <row r="142" spans="1:6" ht="11.25" customHeight="1">
      <c r="A142" s="458" t="s">
        <v>814</v>
      </c>
      <c r="B142" s="501">
        <v>110</v>
      </c>
      <c r="C142" s="719" t="s">
        <v>1411</v>
      </c>
      <c r="D142" s="565">
        <v>3000</v>
      </c>
      <c r="E142" s="720">
        <v>110</v>
      </c>
      <c r="F142" s="523" t="s">
        <v>954</v>
      </c>
    </row>
    <row r="143" spans="1:6" ht="11.25" customHeight="1">
      <c r="A143" s="458" t="s">
        <v>815</v>
      </c>
      <c r="B143" s="501">
        <v>11</v>
      </c>
      <c r="C143" s="719" t="s">
        <v>1411</v>
      </c>
      <c r="D143" s="565">
        <v>50000</v>
      </c>
      <c r="E143" s="720">
        <v>11</v>
      </c>
      <c r="F143" s="523">
        <v>340000</v>
      </c>
    </row>
    <row r="144" spans="1:6" ht="11.25" customHeight="1">
      <c r="A144" s="458" t="s">
        <v>477</v>
      </c>
      <c r="B144" s="501">
        <v>14</v>
      </c>
      <c r="C144" s="719" t="s">
        <v>1412</v>
      </c>
      <c r="D144" s="565">
        <v>50000</v>
      </c>
      <c r="E144" s="720">
        <v>730</v>
      </c>
      <c r="F144" s="523">
        <v>14</v>
      </c>
    </row>
    <row r="145" spans="1:6" ht="11.25" customHeight="1">
      <c r="A145" s="458" t="s">
        <v>478</v>
      </c>
      <c r="B145" s="501">
        <v>26</v>
      </c>
      <c r="C145" s="719" t="s">
        <v>1412</v>
      </c>
      <c r="D145" s="565">
        <v>10000</v>
      </c>
      <c r="E145" s="720">
        <v>47</v>
      </c>
      <c r="F145" s="523">
        <v>26</v>
      </c>
    </row>
    <row r="146" spans="1:6" ht="11.25" customHeight="1">
      <c r="A146" s="458" t="s">
        <v>479</v>
      </c>
      <c r="B146" s="501">
        <v>1.9</v>
      </c>
      <c r="C146" s="719" t="s">
        <v>1411</v>
      </c>
      <c r="D146" s="565">
        <v>200</v>
      </c>
      <c r="E146" s="720">
        <v>1.9</v>
      </c>
      <c r="F146" s="523">
        <v>3600</v>
      </c>
    </row>
    <row r="147" spans="1:6" ht="11.25" customHeight="1">
      <c r="A147" s="458" t="s">
        <v>480</v>
      </c>
      <c r="B147" s="501">
        <v>1.2</v>
      </c>
      <c r="C147" s="719" t="s">
        <v>1412</v>
      </c>
      <c r="D147" s="565">
        <v>100</v>
      </c>
      <c r="E147" s="720">
        <v>4.9000000000000004</v>
      </c>
      <c r="F147" s="523">
        <v>1.2</v>
      </c>
    </row>
    <row r="148" spans="1:6" ht="11.25" customHeight="1">
      <c r="A148" s="462" t="s">
        <v>117</v>
      </c>
      <c r="B148" s="501">
        <v>686</v>
      </c>
      <c r="C148" s="719" t="s">
        <v>1411</v>
      </c>
      <c r="D148" s="565">
        <v>50000</v>
      </c>
      <c r="E148" s="720">
        <v>686</v>
      </c>
      <c r="F148" s="523" t="s">
        <v>954</v>
      </c>
    </row>
    <row r="149" spans="1:6" ht="11.25" customHeight="1">
      <c r="A149" s="458" t="s">
        <v>118</v>
      </c>
      <c r="B149" s="501">
        <v>30</v>
      </c>
      <c r="C149" s="719" t="s">
        <v>1411</v>
      </c>
      <c r="D149" s="565">
        <v>35500</v>
      </c>
      <c r="E149" s="720">
        <v>30</v>
      </c>
      <c r="F149" s="523" t="s">
        <v>954</v>
      </c>
    </row>
    <row r="150" spans="1:6" ht="11.25" customHeight="1">
      <c r="A150" s="458" t="s">
        <v>119</v>
      </c>
      <c r="B150" s="501">
        <v>14</v>
      </c>
      <c r="C150" s="719" t="s">
        <v>1411</v>
      </c>
      <c r="D150" s="565">
        <v>50000</v>
      </c>
      <c r="E150" s="720">
        <v>14</v>
      </c>
      <c r="F150" s="523" t="s">
        <v>954</v>
      </c>
    </row>
    <row r="151" spans="1:6" ht="11.25" customHeight="1">
      <c r="A151" s="458" t="s">
        <v>120</v>
      </c>
      <c r="B151" s="501">
        <v>3.3315808860737541</v>
      </c>
      <c r="C151" s="719" t="s">
        <v>1411</v>
      </c>
      <c r="D151" s="565">
        <v>50000</v>
      </c>
      <c r="E151" s="720">
        <v>3.3315808860737541</v>
      </c>
      <c r="F151" s="523" t="s">
        <v>954</v>
      </c>
    </row>
    <row r="152" spans="1:6" ht="11.25" customHeight="1">
      <c r="A152" s="458" t="s">
        <v>602</v>
      </c>
      <c r="B152" s="501">
        <v>1.1399999999999999</v>
      </c>
      <c r="C152" s="719" t="s">
        <v>1411</v>
      </c>
      <c r="D152" s="565">
        <v>90</v>
      </c>
      <c r="E152" s="720">
        <v>1.1399999999999999</v>
      </c>
      <c r="F152" s="523" t="s">
        <v>954</v>
      </c>
    </row>
    <row r="153" spans="1:6" ht="11.25" customHeight="1">
      <c r="A153" s="462" t="s">
        <v>939</v>
      </c>
      <c r="B153" s="501">
        <v>10</v>
      </c>
      <c r="C153" s="719" t="s">
        <v>1411</v>
      </c>
      <c r="D153" s="565">
        <v>50000</v>
      </c>
      <c r="E153" s="720">
        <v>10</v>
      </c>
      <c r="F153" s="523" t="s">
        <v>954</v>
      </c>
    </row>
    <row r="154" spans="1:6" ht="11.25" customHeight="1">
      <c r="A154" s="462" t="s">
        <v>603</v>
      </c>
      <c r="B154" s="501">
        <v>39.469382156875795</v>
      </c>
      <c r="C154" s="719" t="s">
        <v>1411</v>
      </c>
      <c r="D154" s="565">
        <v>37000</v>
      </c>
      <c r="E154" s="720">
        <v>39.469382156875795</v>
      </c>
      <c r="F154" s="523" t="s">
        <v>954</v>
      </c>
    </row>
    <row r="155" spans="1:6" ht="11.25" customHeight="1">
      <c r="A155" s="462" t="s">
        <v>605</v>
      </c>
      <c r="B155" s="501">
        <v>13</v>
      </c>
      <c r="C155" s="719" t="s">
        <v>1411</v>
      </c>
      <c r="D155" s="565">
        <v>20</v>
      </c>
      <c r="E155" s="720">
        <v>13</v>
      </c>
      <c r="F155" s="523" t="s">
        <v>954</v>
      </c>
    </row>
    <row r="156" spans="1:6" ht="11.25" customHeight="1">
      <c r="A156" s="458" t="s">
        <v>481</v>
      </c>
      <c r="B156" s="501">
        <v>27</v>
      </c>
      <c r="C156" s="719" t="s">
        <v>1411</v>
      </c>
      <c r="D156" s="565">
        <v>50000</v>
      </c>
      <c r="E156" s="720">
        <v>27</v>
      </c>
      <c r="F156" s="523" t="s">
        <v>954</v>
      </c>
    </row>
    <row r="157" spans="1:6" ht="11.25" customHeight="1">
      <c r="A157" s="458" t="s">
        <v>482</v>
      </c>
      <c r="B157" s="501">
        <v>170</v>
      </c>
      <c r="C157" s="719" t="s">
        <v>1412</v>
      </c>
      <c r="D157" s="565">
        <v>3400</v>
      </c>
      <c r="E157" s="720">
        <v>930</v>
      </c>
      <c r="F157" s="523">
        <v>170</v>
      </c>
    </row>
    <row r="158" spans="1:6" ht="11.25" customHeight="1">
      <c r="A158" s="458" t="s">
        <v>483</v>
      </c>
      <c r="B158" s="501">
        <v>13</v>
      </c>
      <c r="C158" s="719" t="s">
        <v>1411</v>
      </c>
      <c r="D158" s="565">
        <v>530</v>
      </c>
      <c r="E158" s="720">
        <v>13</v>
      </c>
      <c r="F158" s="523" t="s">
        <v>954</v>
      </c>
    </row>
    <row r="159" spans="1:6" ht="11.25" customHeight="1" thickBot="1">
      <c r="A159" s="516" t="s">
        <v>484</v>
      </c>
      <c r="B159" s="627">
        <v>22</v>
      </c>
      <c r="C159" s="721" t="s">
        <v>1411</v>
      </c>
      <c r="D159" s="575">
        <v>50000</v>
      </c>
      <c r="E159" s="722">
        <v>22</v>
      </c>
      <c r="F159" s="525" t="s">
        <v>954</v>
      </c>
    </row>
    <row r="160" spans="1:6" ht="11.25" customHeight="1" thickTop="1">
      <c r="A160" s="474" t="s">
        <v>488</v>
      </c>
      <c r="F160" s="483"/>
    </row>
    <row r="161" spans="1:6" ht="11.25" customHeight="1">
      <c r="A161" s="474" t="s">
        <v>889</v>
      </c>
      <c r="F161" s="483"/>
    </row>
    <row r="162" spans="1:6" ht="11.25" customHeight="1">
      <c r="A162" s="479" t="s">
        <v>396</v>
      </c>
      <c r="F162" s="483"/>
    </row>
    <row r="163" spans="1:6" ht="11.25" customHeight="1">
      <c r="A163" s="479"/>
      <c r="F163" s="483"/>
    </row>
    <row r="164" spans="1:6" ht="11.25" customHeight="1">
      <c r="A164" s="479" t="s">
        <v>778</v>
      </c>
      <c r="F164" s="483"/>
    </row>
    <row r="165" spans="1:6" ht="11.25" customHeight="1">
      <c r="A165" s="479" t="s">
        <v>355</v>
      </c>
      <c r="F165" s="483"/>
    </row>
    <row r="166" spans="1:6" ht="11.25" customHeight="1">
      <c r="A166" s="479" t="s">
        <v>600</v>
      </c>
      <c r="F166" s="483"/>
    </row>
    <row r="167" spans="1:6" ht="11.25" customHeight="1">
      <c r="A167" s="479" t="s">
        <v>1161</v>
      </c>
      <c r="F167" s="483"/>
    </row>
    <row r="168" spans="1:6" ht="11.25" customHeight="1">
      <c r="A168" s="479" t="s">
        <v>758</v>
      </c>
      <c r="F168" s="483"/>
    </row>
    <row r="169" spans="1:6" ht="11.25" customHeight="1" thickBot="1">
      <c r="A169" s="706" t="s">
        <v>261</v>
      </c>
      <c r="B169" s="663"/>
      <c r="C169" s="579"/>
      <c r="D169" s="663"/>
      <c r="E169" s="663"/>
      <c r="F169" s="723"/>
    </row>
    <row r="170" spans="1:6" ht="10.5" thickTop="1"/>
  </sheetData>
  <sheetProtection algorithmName="SHA-512" hashValue="92iaLEJp/hCG1mcaKRh+U1xHy/YKUzghXN05Qqp3E9RK0CPiKsADPTrK8qrCKPqM1EuBEDN6bWRnMwZWS0JjxQ==" saltValue="earwM3UoAerHOJodljyIoA==" spinCount="100000" sheet="1" objects="1" scenarios="1"/>
  <mergeCells count="2">
    <mergeCell ref="A1:F1"/>
    <mergeCell ref="B4:B5"/>
  </mergeCells>
  <phoneticPr fontId="0" type="noConversion"/>
  <printOptions horizontalCentered="1"/>
  <pageMargins left="0.17" right="0.16" top="0.53" bottom="1" header="0.5" footer="0.5"/>
  <pageSetup scale="81" fitToHeight="4" orientation="landscape" r:id="rId1"/>
  <headerFooter alignWithMargins="0">
    <oddFooter>&amp;LHawai'i DOH
Spring 2024&amp;C&amp;8Page &amp;P of &amp;N&amp;R&amp;A</oddFooter>
  </headerFooter>
  <rowBreaks count="1" manualBreakCount="1">
    <brk id="156"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29"/>
    <pageSetUpPr fitToPage="1"/>
  </sheetPr>
  <dimension ref="A1:N166"/>
  <sheetViews>
    <sheetView zoomScaleNormal="100" workbookViewId="0">
      <pane ySplit="2595" topLeftCell="A5" activePane="bottomLeft"/>
      <selection activeCell="B7" sqref="B7"/>
      <selection pane="bottomLeft" activeCell="B5" sqref="B5"/>
    </sheetView>
  </sheetViews>
  <sheetFormatPr defaultColWidth="9.1328125" defaultRowHeight="12.75"/>
  <cols>
    <col min="1" max="1" width="40.73046875" style="1" customWidth="1"/>
    <col min="2" max="2" width="11.73046875" style="475" customWidth="1"/>
    <col min="3" max="3" width="17.73046875" style="610" customWidth="1"/>
    <col min="4" max="4" width="11.73046875" style="475" customWidth="1"/>
    <col min="5" max="5" width="9.265625" style="475" customWidth="1"/>
    <col min="6" max="6" width="17.73046875" style="632" customWidth="1"/>
    <col min="7" max="7" width="12.73046875" style="475" customWidth="1"/>
    <col min="8" max="8" width="19.73046875" style="610" customWidth="1"/>
    <col min="9" max="9" width="19.73046875" customWidth="1"/>
    <col min="10" max="13" width="9"/>
    <col min="14" max="14" width="9.1328125" style="742"/>
    <col min="15" max="16384" width="9.1328125" style="1"/>
  </cols>
  <sheetData>
    <row r="1" spans="1:14" s="510" customFormat="1" ht="30" customHeight="1">
      <c r="A1" s="1430" t="s">
        <v>807</v>
      </c>
      <c r="B1" s="1431"/>
      <c r="C1" s="1431"/>
      <c r="D1" s="1431"/>
      <c r="E1" s="1431"/>
      <c r="F1" s="1431"/>
      <c r="G1" s="1431"/>
      <c r="H1" s="1431"/>
      <c r="I1"/>
      <c r="J1"/>
      <c r="K1"/>
      <c r="L1"/>
      <c r="M1"/>
      <c r="N1" s="726"/>
    </row>
    <row r="2" spans="1:14" s="510" customFormat="1" ht="13.9">
      <c r="A2" s="693" t="s">
        <v>816</v>
      </c>
      <c r="B2" s="530"/>
      <c r="C2" s="531"/>
      <c r="D2" s="530"/>
      <c r="E2" s="530"/>
      <c r="F2" s="694"/>
      <c r="G2" s="530"/>
      <c r="H2" s="531"/>
      <c r="I2"/>
      <c r="J2"/>
      <c r="K2"/>
      <c r="L2"/>
      <c r="M2"/>
      <c r="N2" s="726"/>
    </row>
    <row r="3" spans="1:14" s="510" customFormat="1" ht="13.15" thickBot="1">
      <c r="A3" s="694"/>
      <c r="B3" s="530"/>
      <c r="C3" s="531"/>
      <c r="D3" s="595"/>
      <c r="E3" s="530"/>
      <c r="F3" s="694"/>
      <c r="G3" s="595"/>
      <c r="H3" s="531"/>
      <c r="I3"/>
      <c r="J3"/>
      <c r="K3"/>
      <c r="L3"/>
      <c r="M3"/>
      <c r="N3" s="726"/>
    </row>
    <row r="4" spans="1:14" s="510" customFormat="1" ht="60" customHeight="1" thickTop="1" thickBot="1">
      <c r="A4" s="727" t="s">
        <v>232</v>
      </c>
      <c r="B4" s="728" t="s">
        <v>181</v>
      </c>
      <c r="C4" s="729" t="s">
        <v>485</v>
      </c>
      <c r="D4" s="730" t="s">
        <v>941</v>
      </c>
      <c r="E4" s="728" t="s">
        <v>81</v>
      </c>
      <c r="F4" s="731" t="s">
        <v>247</v>
      </c>
      <c r="G4" s="732" t="s">
        <v>153</v>
      </c>
      <c r="H4" s="733" t="s">
        <v>485</v>
      </c>
      <c r="I4"/>
      <c r="J4"/>
      <c r="K4"/>
      <c r="L4"/>
      <c r="M4"/>
      <c r="N4" s="726"/>
    </row>
    <row r="5" spans="1:14" s="510" customFormat="1" ht="11.25" customHeight="1">
      <c r="A5" s="454" t="s">
        <v>548</v>
      </c>
      <c r="B5" s="497">
        <v>440.71710632991795</v>
      </c>
      <c r="C5" s="734" t="s">
        <v>1149</v>
      </c>
      <c r="D5" s="568"/>
      <c r="E5" s="497"/>
      <c r="F5" s="735"/>
      <c r="G5" s="498">
        <v>440.71710632991795</v>
      </c>
      <c r="H5" s="736" t="s">
        <v>1149</v>
      </c>
      <c r="I5"/>
      <c r="J5"/>
      <c r="K5"/>
      <c r="L5"/>
      <c r="M5"/>
      <c r="N5" s="726"/>
    </row>
    <row r="6" spans="1:14" s="510" customFormat="1" ht="11.25" customHeight="1">
      <c r="A6" s="458" t="s">
        <v>549</v>
      </c>
      <c r="B6" s="501">
        <v>300.42394562926046</v>
      </c>
      <c r="C6" s="737" t="s">
        <v>1149</v>
      </c>
      <c r="D6" s="562"/>
      <c r="E6" s="501"/>
      <c r="F6" s="738"/>
      <c r="G6" s="502">
        <v>300.42394562926046</v>
      </c>
      <c r="H6" s="739" t="s">
        <v>1149</v>
      </c>
      <c r="I6"/>
      <c r="J6"/>
      <c r="K6"/>
      <c r="L6"/>
      <c r="M6"/>
      <c r="N6" s="726"/>
    </row>
    <row r="7" spans="1:14" s="510" customFormat="1" ht="11.25" customHeight="1">
      <c r="A7" s="458" t="s">
        <v>550</v>
      </c>
      <c r="B7" s="501">
        <v>6044.7756876580943</v>
      </c>
      <c r="C7" s="737" t="s">
        <v>1149</v>
      </c>
      <c r="D7" s="568"/>
      <c r="E7" s="501"/>
      <c r="F7" s="738"/>
      <c r="G7" s="502">
        <v>6044.7756876580943</v>
      </c>
      <c r="H7" s="739" t="s">
        <v>1149</v>
      </c>
      <c r="I7"/>
      <c r="J7"/>
      <c r="K7"/>
      <c r="L7"/>
      <c r="M7"/>
      <c r="N7" s="726"/>
    </row>
    <row r="8" spans="1:14" s="510" customFormat="1" ht="11.25" customHeight="1">
      <c r="A8" s="458" t="s">
        <v>551</v>
      </c>
      <c r="B8" s="501">
        <v>1.2053821078383794E-3</v>
      </c>
      <c r="C8" s="737" t="s">
        <v>1413</v>
      </c>
      <c r="D8" s="568"/>
      <c r="E8" s="501"/>
      <c r="F8" s="738"/>
      <c r="G8" s="502">
        <v>1.2053821078383794E-3</v>
      </c>
      <c r="H8" s="739" t="s">
        <v>1413</v>
      </c>
      <c r="I8"/>
      <c r="J8"/>
      <c r="K8"/>
      <c r="L8"/>
      <c r="M8"/>
      <c r="N8" s="726"/>
    </row>
    <row r="9" spans="1:14" s="510" customFormat="1" ht="11.25" customHeight="1">
      <c r="A9" s="458" t="s">
        <v>161</v>
      </c>
      <c r="B9" s="501">
        <v>152.33581908424497</v>
      </c>
      <c r="C9" s="737" t="s">
        <v>1149</v>
      </c>
      <c r="D9" s="568"/>
      <c r="E9" s="740"/>
      <c r="F9" s="741"/>
      <c r="G9" s="502">
        <v>152.33581908424497</v>
      </c>
      <c r="H9" s="739" t="s">
        <v>1149</v>
      </c>
      <c r="I9"/>
      <c r="J9"/>
      <c r="K9"/>
      <c r="L9"/>
      <c r="M9"/>
      <c r="N9" s="726"/>
    </row>
    <row r="10" spans="1:14" s="510" customFormat="1" ht="11.25" customHeight="1">
      <c r="A10" s="462" t="s">
        <v>162</v>
      </c>
      <c r="B10" s="501">
        <v>1.9300404753783804</v>
      </c>
      <c r="C10" s="737" t="s">
        <v>1149</v>
      </c>
      <c r="D10" s="562"/>
      <c r="E10" s="740"/>
      <c r="F10" s="741"/>
      <c r="G10" s="502">
        <v>1.9300404753783804</v>
      </c>
      <c r="H10" s="739" t="s">
        <v>1149</v>
      </c>
      <c r="I10"/>
      <c r="J10"/>
      <c r="K10"/>
      <c r="L10"/>
      <c r="M10"/>
      <c r="N10" s="726"/>
    </row>
    <row r="11" spans="1:14" s="510" customFormat="1" ht="11.25" customHeight="1">
      <c r="A11" s="462" t="s">
        <v>94</v>
      </c>
      <c r="B11" s="501">
        <v>1.9300404753783804</v>
      </c>
      <c r="C11" s="737" t="s">
        <v>1149</v>
      </c>
      <c r="D11" s="568"/>
      <c r="E11" s="740"/>
      <c r="F11" s="741"/>
      <c r="G11" s="502">
        <v>1.9300404753783804</v>
      </c>
      <c r="H11" s="739" t="s">
        <v>1149</v>
      </c>
      <c r="I11"/>
      <c r="J11"/>
      <c r="K11"/>
      <c r="L11"/>
      <c r="M11"/>
      <c r="N11" s="726"/>
    </row>
    <row r="12" spans="1:14" s="510" customFormat="1" ht="11.25" customHeight="1">
      <c r="A12" s="458" t="s">
        <v>552</v>
      </c>
      <c r="B12" s="501">
        <v>1555.5081429297898</v>
      </c>
      <c r="C12" s="737" t="s">
        <v>1149</v>
      </c>
      <c r="D12" s="568"/>
      <c r="E12" s="501"/>
      <c r="F12" s="738"/>
      <c r="G12" s="502">
        <v>1555.5081429297898</v>
      </c>
      <c r="H12" s="739" t="s">
        <v>1149</v>
      </c>
      <c r="I12"/>
      <c r="J12"/>
      <c r="K12"/>
      <c r="L12"/>
      <c r="M12"/>
      <c r="N12" s="726"/>
    </row>
    <row r="13" spans="1:14" s="510" customFormat="1" ht="11.25" customHeight="1">
      <c r="A13" s="458" t="s">
        <v>553</v>
      </c>
      <c r="B13" s="501">
        <v>6</v>
      </c>
      <c r="C13" s="737" t="s">
        <v>1414</v>
      </c>
      <c r="D13" s="568">
        <v>6</v>
      </c>
      <c r="E13" s="501"/>
      <c r="F13" s="738"/>
      <c r="G13" s="502">
        <v>8.007820102956769</v>
      </c>
      <c r="H13" s="739" t="s">
        <v>1149</v>
      </c>
      <c r="I13"/>
      <c r="J13"/>
      <c r="K13"/>
      <c r="L13"/>
      <c r="M13"/>
      <c r="N13" s="726"/>
    </row>
    <row r="14" spans="1:14" s="510" customFormat="1" ht="11.25" customHeight="1">
      <c r="A14" s="458" t="s">
        <v>686</v>
      </c>
      <c r="B14" s="501">
        <v>10</v>
      </c>
      <c r="C14" s="737" t="s">
        <v>1414</v>
      </c>
      <c r="D14" s="562">
        <v>10</v>
      </c>
      <c r="E14" s="501"/>
      <c r="F14" s="738"/>
      <c r="G14" s="502">
        <v>1.9908424695991151E-2</v>
      </c>
      <c r="H14" s="739" t="s">
        <v>1413</v>
      </c>
      <c r="I14"/>
      <c r="J14"/>
      <c r="K14"/>
      <c r="L14"/>
      <c r="M14"/>
      <c r="N14" s="726"/>
    </row>
    <row r="15" spans="1:14" s="510" customFormat="1" ht="11.25" customHeight="1">
      <c r="A15" s="458" t="s">
        <v>95</v>
      </c>
      <c r="B15" s="501">
        <v>3</v>
      </c>
      <c r="C15" s="737" t="s">
        <v>1414</v>
      </c>
      <c r="D15" s="568">
        <v>3</v>
      </c>
      <c r="E15" s="740"/>
      <c r="F15" s="741"/>
      <c r="G15" s="502">
        <v>0.30161362695010618</v>
      </c>
      <c r="H15" s="739" t="s">
        <v>1413</v>
      </c>
      <c r="I15"/>
      <c r="J15"/>
      <c r="K15"/>
      <c r="L15"/>
      <c r="M15"/>
      <c r="N15" s="726"/>
    </row>
    <row r="16" spans="1:14" s="510" customFormat="1" ht="11.25" customHeight="1">
      <c r="A16" s="458" t="s">
        <v>687</v>
      </c>
      <c r="B16" s="501">
        <v>2000</v>
      </c>
      <c r="C16" s="737" t="s">
        <v>1414</v>
      </c>
      <c r="D16" s="568">
        <v>2000</v>
      </c>
      <c r="E16" s="501"/>
      <c r="F16" s="738"/>
      <c r="G16" s="502">
        <v>4007.3335396080502</v>
      </c>
      <c r="H16" s="739" t="s">
        <v>1149</v>
      </c>
      <c r="I16"/>
      <c r="J16"/>
      <c r="K16"/>
      <c r="L16"/>
      <c r="M16"/>
      <c r="N16" s="726"/>
    </row>
    <row r="17" spans="1:14" s="510" customFormat="1" ht="11.25" customHeight="1">
      <c r="A17" s="458" t="s">
        <v>1156</v>
      </c>
      <c r="B17" s="501">
        <v>970.75939529186087</v>
      </c>
      <c r="C17" s="737" t="s">
        <v>1149</v>
      </c>
      <c r="D17" s="568"/>
      <c r="E17" s="501"/>
      <c r="F17" s="738"/>
      <c r="G17" s="502">
        <v>970.75939529186087</v>
      </c>
      <c r="H17" s="739" t="s">
        <v>1149</v>
      </c>
      <c r="I17"/>
      <c r="J17"/>
      <c r="K17"/>
      <c r="L17"/>
      <c r="M17"/>
      <c r="N17" s="726"/>
    </row>
    <row r="18" spans="1:14" s="510" customFormat="1" ht="11.25" customHeight="1">
      <c r="A18" s="458" t="s">
        <v>688</v>
      </c>
      <c r="B18" s="501">
        <v>5</v>
      </c>
      <c r="C18" s="737" t="s">
        <v>1414</v>
      </c>
      <c r="D18" s="568">
        <v>5</v>
      </c>
      <c r="E18" s="501"/>
      <c r="F18" s="738"/>
      <c r="G18" s="502">
        <v>0.45521692967037292</v>
      </c>
      <c r="H18" s="739" t="s">
        <v>1413</v>
      </c>
      <c r="I18"/>
      <c r="J18"/>
      <c r="K18"/>
      <c r="L18"/>
      <c r="M18"/>
      <c r="N18" s="726"/>
    </row>
    <row r="19" spans="1:14" s="510" customFormat="1" ht="11.25" customHeight="1">
      <c r="A19" s="458" t="s">
        <v>689</v>
      </c>
      <c r="B19" s="501">
        <v>5.1725078228107436E-2</v>
      </c>
      <c r="C19" s="737" t="s">
        <v>1413</v>
      </c>
      <c r="D19" s="568"/>
      <c r="E19" s="501"/>
      <c r="F19" s="738"/>
      <c r="G19" s="502">
        <v>5.1725078228107436E-2</v>
      </c>
      <c r="H19" s="739" t="s">
        <v>1413</v>
      </c>
      <c r="I19"/>
      <c r="J19"/>
      <c r="K19"/>
      <c r="L19"/>
      <c r="M19"/>
      <c r="N19" s="726"/>
    </row>
    <row r="20" spans="1:14" s="510" customFormat="1" ht="11.25" customHeight="1">
      <c r="A20" s="458" t="s">
        <v>690</v>
      </c>
      <c r="B20" s="501">
        <v>0.2</v>
      </c>
      <c r="C20" s="737" t="s">
        <v>1414</v>
      </c>
      <c r="D20" s="568">
        <v>0.2</v>
      </c>
      <c r="E20" s="501"/>
      <c r="F20" s="738"/>
      <c r="G20" s="502">
        <v>3.5084755370133574E-3</v>
      </c>
      <c r="H20" s="739" t="s">
        <v>1413</v>
      </c>
      <c r="I20"/>
      <c r="J20"/>
      <c r="K20"/>
      <c r="L20"/>
      <c r="M20"/>
      <c r="N20" s="726"/>
    </row>
    <row r="21" spans="1:14" s="510" customFormat="1" ht="11.25" customHeight="1">
      <c r="A21" s="458" t="s">
        <v>691</v>
      </c>
      <c r="B21" s="501">
        <v>5.8130821430763209E-2</v>
      </c>
      <c r="C21" s="737" t="s">
        <v>1413</v>
      </c>
      <c r="D21" s="568"/>
      <c r="E21" s="501"/>
      <c r="F21" s="738"/>
      <c r="G21" s="502">
        <v>5.8130821430763209E-2</v>
      </c>
      <c r="H21" s="739" t="s">
        <v>1413</v>
      </c>
      <c r="I21"/>
      <c r="J21"/>
      <c r="K21"/>
      <c r="L21"/>
      <c r="M21"/>
      <c r="N21" s="726"/>
    </row>
    <row r="22" spans="1:14" s="510" customFormat="1" ht="11.25" customHeight="1">
      <c r="A22" s="458" t="s">
        <v>692</v>
      </c>
      <c r="B22" s="501">
        <v>64.666936648154106</v>
      </c>
      <c r="C22" s="737" t="s">
        <v>1149</v>
      </c>
      <c r="D22" s="568"/>
      <c r="E22" s="501"/>
      <c r="F22" s="738"/>
      <c r="G22" s="502">
        <v>64.666936648154106</v>
      </c>
      <c r="H22" s="739" t="s">
        <v>1149</v>
      </c>
      <c r="I22"/>
      <c r="J22"/>
      <c r="K22"/>
      <c r="L22"/>
      <c r="M22"/>
      <c r="N22" s="726"/>
    </row>
    <row r="23" spans="1:14" s="510" customFormat="1" ht="11.25" customHeight="1">
      <c r="A23" s="458" t="s">
        <v>693</v>
      </c>
      <c r="B23" s="501">
        <v>0.36149950113611862</v>
      </c>
      <c r="C23" s="737" t="s">
        <v>1413</v>
      </c>
      <c r="D23" s="568"/>
      <c r="E23" s="501"/>
      <c r="F23" s="738"/>
      <c r="G23" s="502">
        <v>0.36149950113611862</v>
      </c>
      <c r="H23" s="739" t="s">
        <v>1413</v>
      </c>
      <c r="I23"/>
      <c r="J23"/>
      <c r="K23"/>
      <c r="L23"/>
      <c r="M23"/>
      <c r="N23" s="726"/>
    </row>
    <row r="24" spans="1:14" s="510" customFormat="1" ht="11.25" customHeight="1">
      <c r="A24" s="458" t="s">
        <v>126</v>
      </c>
      <c r="B24" s="501">
        <v>4</v>
      </c>
      <c r="C24" s="737" t="s">
        <v>1414</v>
      </c>
      <c r="D24" s="568">
        <v>4</v>
      </c>
      <c r="E24" s="501"/>
      <c r="F24" s="738"/>
      <c r="G24" s="502">
        <v>39.065601342045483</v>
      </c>
      <c r="H24" s="739" t="s">
        <v>1149</v>
      </c>
      <c r="I24"/>
      <c r="J24"/>
      <c r="K24"/>
      <c r="L24"/>
      <c r="M24"/>
      <c r="N24" s="726"/>
    </row>
    <row r="25" spans="1:14" s="510" customFormat="1" ht="11.25" customHeight="1">
      <c r="A25" s="458" t="s">
        <v>233</v>
      </c>
      <c r="B25" s="501">
        <v>3.9111581830845297</v>
      </c>
      <c r="C25" s="737" t="s">
        <v>1413</v>
      </c>
      <c r="D25" s="568"/>
      <c r="E25" s="501"/>
      <c r="F25" s="738"/>
      <c r="G25" s="502">
        <v>3.9111581830845297</v>
      </c>
      <c r="H25" s="739" t="s">
        <v>1413</v>
      </c>
      <c r="I25"/>
      <c r="J25"/>
      <c r="K25"/>
      <c r="L25"/>
      <c r="M25"/>
      <c r="N25" s="726"/>
    </row>
    <row r="26" spans="1:14" s="510" customFormat="1" ht="11.25" customHeight="1">
      <c r="A26" s="458" t="s">
        <v>127</v>
      </c>
      <c r="B26" s="501">
        <v>1.3650810195927489E-2</v>
      </c>
      <c r="C26" s="737" t="s">
        <v>1413</v>
      </c>
      <c r="D26" s="568"/>
      <c r="E26" s="501"/>
      <c r="F26" s="738"/>
      <c r="G26" s="502">
        <v>1.3650810195927489E-2</v>
      </c>
      <c r="H26" s="739" t="s">
        <v>1413</v>
      </c>
      <c r="I26"/>
      <c r="J26"/>
      <c r="K26"/>
      <c r="L26"/>
      <c r="M26"/>
      <c r="N26" s="726"/>
    </row>
    <row r="27" spans="1:14" s="510" customFormat="1" ht="11.25" customHeight="1">
      <c r="A27" s="503" t="s">
        <v>1103</v>
      </c>
      <c r="B27" s="501">
        <v>0.35711381953846194</v>
      </c>
      <c r="C27" s="737" t="s">
        <v>1413</v>
      </c>
      <c r="D27" s="568"/>
      <c r="E27" s="501"/>
      <c r="F27" s="738"/>
      <c r="G27" s="502">
        <v>0.35711381953846194</v>
      </c>
      <c r="H27" s="739" t="s">
        <v>1413</v>
      </c>
      <c r="I27"/>
      <c r="J27"/>
      <c r="K27"/>
      <c r="L27"/>
      <c r="M27"/>
      <c r="N27" s="726"/>
    </row>
    <row r="28" spans="1:14" s="510" customFormat="1" ht="11.25" customHeight="1">
      <c r="A28" s="458" t="s">
        <v>128</v>
      </c>
      <c r="B28" s="501">
        <v>6</v>
      </c>
      <c r="C28" s="737" t="s">
        <v>1414</v>
      </c>
      <c r="D28" s="568">
        <v>6</v>
      </c>
      <c r="E28" s="501"/>
      <c r="F28" s="738"/>
      <c r="G28" s="502">
        <v>6.7088151292518841E-2</v>
      </c>
      <c r="H28" s="739" t="s">
        <v>1413</v>
      </c>
      <c r="I28"/>
      <c r="J28"/>
      <c r="K28"/>
      <c r="L28"/>
      <c r="M28"/>
      <c r="N28" s="726"/>
    </row>
    <row r="29" spans="1:14" s="510" customFormat="1" ht="11.25" customHeight="1">
      <c r="A29" s="458" t="s">
        <v>129</v>
      </c>
      <c r="B29" s="501">
        <v>982.67243959237351</v>
      </c>
      <c r="C29" s="737" t="s">
        <v>1149</v>
      </c>
      <c r="D29" s="568"/>
      <c r="E29" s="501"/>
      <c r="F29" s="738"/>
      <c r="G29" s="502">
        <v>982.67243959237351</v>
      </c>
      <c r="H29" s="739" t="s">
        <v>1149</v>
      </c>
      <c r="I29"/>
      <c r="J29"/>
      <c r="K29"/>
      <c r="L29"/>
      <c r="M29"/>
      <c r="N29" s="726"/>
    </row>
    <row r="30" spans="1:14" s="510" customFormat="1" ht="11.25" customHeight="1">
      <c r="A30" s="458" t="s">
        <v>130</v>
      </c>
      <c r="B30" s="501">
        <v>0.13443335759216019</v>
      </c>
      <c r="C30" s="737" t="s">
        <v>1413</v>
      </c>
      <c r="D30" s="568"/>
      <c r="E30" s="501"/>
      <c r="F30" s="738"/>
      <c r="G30" s="502">
        <v>0.13443335759216019</v>
      </c>
      <c r="H30" s="739" t="s">
        <v>1413</v>
      </c>
      <c r="I30"/>
      <c r="J30"/>
      <c r="K30"/>
      <c r="L30"/>
      <c r="M30"/>
      <c r="N30" s="726"/>
    </row>
    <row r="31" spans="1:14" s="510" customFormat="1" ht="11.25" customHeight="1">
      <c r="A31" s="458" t="s">
        <v>131</v>
      </c>
      <c r="B31" s="501">
        <v>80</v>
      </c>
      <c r="C31" s="737" t="s">
        <v>1414</v>
      </c>
      <c r="D31" s="568">
        <v>80</v>
      </c>
      <c r="E31" s="501"/>
      <c r="F31" s="738" t="s">
        <v>1025</v>
      </c>
      <c r="G31" s="502">
        <v>9.2159667452220564</v>
      </c>
      <c r="H31" s="739" t="s">
        <v>1413</v>
      </c>
      <c r="I31"/>
      <c r="J31"/>
      <c r="K31"/>
      <c r="L31"/>
      <c r="M31"/>
      <c r="N31" s="726"/>
    </row>
    <row r="32" spans="1:14" s="510" customFormat="1" ht="11.25" customHeight="1">
      <c r="A32" s="458" t="s">
        <v>132</v>
      </c>
      <c r="B32" s="501">
        <v>18.72653049057315</v>
      </c>
      <c r="C32" s="737" t="s">
        <v>1149</v>
      </c>
      <c r="D32" s="568"/>
      <c r="E32" s="501"/>
      <c r="F32" s="738"/>
      <c r="G32" s="502">
        <v>18.72653049057315</v>
      </c>
      <c r="H32" s="739" t="s">
        <v>1149</v>
      </c>
      <c r="I32"/>
      <c r="J32"/>
      <c r="K32"/>
      <c r="L32"/>
      <c r="M32"/>
      <c r="N32" s="726"/>
    </row>
    <row r="33" spans="1:14" s="510" customFormat="1" ht="11.25" customHeight="1">
      <c r="A33" s="458" t="s">
        <v>133</v>
      </c>
      <c r="B33" s="501">
        <v>5</v>
      </c>
      <c r="C33" s="737" t="s">
        <v>1414</v>
      </c>
      <c r="D33" s="568">
        <v>5</v>
      </c>
      <c r="E33" s="501"/>
      <c r="F33" s="738"/>
      <c r="G33" s="502">
        <v>2.0043824244272503</v>
      </c>
      <c r="H33" s="739" t="s">
        <v>1149</v>
      </c>
      <c r="I33"/>
      <c r="J33"/>
      <c r="K33"/>
      <c r="L33"/>
      <c r="M33"/>
      <c r="N33" s="726"/>
    </row>
    <row r="34" spans="1:14" s="510" customFormat="1" ht="11.25" customHeight="1">
      <c r="A34" s="458" t="s">
        <v>134</v>
      </c>
      <c r="B34" s="501">
        <v>5</v>
      </c>
      <c r="C34" s="737" t="s">
        <v>1414</v>
      </c>
      <c r="D34" s="568">
        <v>5</v>
      </c>
      <c r="E34" s="501"/>
      <c r="F34" s="738"/>
      <c r="G34" s="502">
        <v>0.45499998816970083</v>
      </c>
      <c r="H34" s="739" t="s">
        <v>1413</v>
      </c>
      <c r="I34"/>
      <c r="J34"/>
      <c r="K34"/>
      <c r="L34"/>
      <c r="M34"/>
      <c r="N34" s="726"/>
    </row>
    <row r="35" spans="1:14" s="510" customFormat="1" ht="11.25" customHeight="1">
      <c r="A35" s="458" t="s">
        <v>614</v>
      </c>
      <c r="B35" s="501">
        <v>2</v>
      </c>
      <c r="C35" s="737" t="s">
        <v>1414</v>
      </c>
      <c r="D35" s="568">
        <v>2</v>
      </c>
      <c r="E35" s="501"/>
      <c r="F35" s="738"/>
      <c r="G35" s="502">
        <v>2.2753596158050757E-2</v>
      </c>
      <c r="H35" s="739" t="s">
        <v>1413</v>
      </c>
      <c r="I35"/>
      <c r="J35"/>
      <c r="K35"/>
      <c r="L35"/>
      <c r="M35"/>
      <c r="N35" s="726"/>
    </row>
    <row r="36" spans="1:14" s="510" customFormat="1" ht="11.25" customHeight="1">
      <c r="A36" s="458" t="s">
        <v>135</v>
      </c>
      <c r="B36" s="501">
        <v>0.36542309808186513</v>
      </c>
      <c r="C36" s="737" t="s">
        <v>1413</v>
      </c>
      <c r="D36" s="568"/>
      <c r="E36" s="501"/>
      <c r="F36" s="738"/>
      <c r="G36" s="502">
        <v>0.36542309808186513</v>
      </c>
      <c r="H36" s="739" t="s">
        <v>1413</v>
      </c>
      <c r="I36"/>
      <c r="J36"/>
      <c r="K36"/>
      <c r="L36"/>
      <c r="M36"/>
      <c r="N36" s="726"/>
    </row>
    <row r="37" spans="1:14" s="510" customFormat="1" ht="11.25" customHeight="1">
      <c r="A37" s="458" t="s">
        <v>136</v>
      </c>
      <c r="B37" s="501">
        <v>100</v>
      </c>
      <c r="C37" s="737" t="s">
        <v>1414</v>
      </c>
      <c r="D37" s="568">
        <v>100</v>
      </c>
      <c r="E37" s="501"/>
      <c r="F37" s="738"/>
      <c r="G37" s="502">
        <v>201.93054743481866</v>
      </c>
      <c r="H37" s="739" t="s">
        <v>1149</v>
      </c>
      <c r="I37"/>
      <c r="J37"/>
      <c r="K37"/>
      <c r="L37"/>
      <c r="M37"/>
      <c r="N37" s="726"/>
    </row>
    <row r="38" spans="1:14" s="510" customFormat="1" ht="11.25" customHeight="1">
      <c r="A38" s="458" t="s">
        <v>781</v>
      </c>
      <c r="B38" s="501">
        <v>47673.469387755096</v>
      </c>
      <c r="C38" s="737" t="s">
        <v>1149</v>
      </c>
      <c r="D38" s="568"/>
      <c r="E38" s="501"/>
      <c r="F38" s="738"/>
      <c r="G38" s="502">
        <v>47673.469387755096</v>
      </c>
      <c r="H38" s="739" t="s">
        <v>1149</v>
      </c>
      <c r="I38"/>
      <c r="J38"/>
      <c r="K38"/>
      <c r="L38"/>
      <c r="M38"/>
      <c r="N38" s="726"/>
    </row>
    <row r="39" spans="1:14" ht="11.25" customHeight="1">
      <c r="A39" s="458" t="s">
        <v>137</v>
      </c>
      <c r="B39" s="501">
        <v>70</v>
      </c>
      <c r="C39" s="737" t="s">
        <v>1026</v>
      </c>
      <c r="D39" s="568"/>
      <c r="E39" s="501">
        <v>70</v>
      </c>
      <c r="F39" s="738" t="s">
        <v>1026</v>
      </c>
      <c r="G39" s="502">
        <v>0.22084330606823213</v>
      </c>
      <c r="H39" s="739" t="s">
        <v>1413</v>
      </c>
    </row>
    <row r="40" spans="1:14" ht="11.25" customHeight="1">
      <c r="A40" s="458" t="s">
        <v>782</v>
      </c>
      <c r="B40" s="501">
        <v>1072.6530612244896</v>
      </c>
      <c r="C40" s="737" t="s">
        <v>1149</v>
      </c>
      <c r="D40" s="568"/>
      <c r="E40" s="501"/>
      <c r="F40" s="738"/>
      <c r="G40" s="502">
        <v>1072.6530612244896</v>
      </c>
      <c r="H40" s="739" t="s">
        <v>1149</v>
      </c>
    </row>
    <row r="41" spans="1:14" ht="11.25" customHeight="1">
      <c r="A41" s="458" t="s">
        <v>138</v>
      </c>
      <c r="B41" s="501">
        <v>63.498535425025516</v>
      </c>
      <c r="C41" s="737" t="s">
        <v>1149</v>
      </c>
      <c r="D41" s="562"/>
      <c r="E41" s="501"/>
      <c r="F41" s="738"/>
      <c r="G41" s="502">
        <v>63.498535425025516</v>
      </c>
      <c r="H41" s="739" t="s">
        <v>1149</v>
      </c>
    </row>
    <row r="42" spans="1:14" ht="11.25" customHeight="1">
      <c r="A42" s="458" t="s">
        <v>612</v>
      </c>
      <c r="B42" s="501">
        <v>100</v>
      </c>
      <c r="C42" s="737" t="s">
        <v>1414</v>
      </c>
      <c r="D42" s="568">
        <v>100</v>
      </c>
      <c r="E42" s="501"/>
      <c r="F42" s="743"/>
      <c r="G42" s="502" t="s">
        <v>954</v>
      </c>
      <c r="H42" s="739" t="s">
        <v>796</v>
      </c>
    </row>
    <row r="43" spans="1:14" ht="11.25" customHeight="1">
      <c r="A43" s="458" t="s">
        <v>779</v>
      </c>
      <c r="B43" s="501" t="s">
        <v>954</v>
      </c>
      <c r="C43" s="737" t="s">
        <v>954</v>
      </c>
      <c r="D43" s="562"/>
      <c r="E43" s="501"/>
      <c r="F43" s="738"/>
      <c r="G43" s="502" t="s">
        <v>954</v>
      </c>
      <c r="H43" s="739" t="s">
        <v>954</v>
      </c>
    </row>
    <row r="44" spans="1:14" ht="11.25" customHeight="1">
      <c r="A44" s="458" t="s">
        <v>780</v>
      </c>
      <c r="B44" s="501">
        <v>0.19900033728897804</v>
      </c>
      <c r="C44" s="737" t="s">
        <v>1413</v>
      </c>
      <c r="D44" s="562"/>
      <c r="E44" s="501"/>
      <c r="F44" s="738"/>
      <c r="G44" s="502">
        <v>0.19900033728897804</v>
      </c>
      <c r="H44" s="739" t="s">
        <v>1413</v>
      </c>
    </row>
    <row r="45" spans="1:14" ht="11.25" customHeight="1">
      <c r="A45" s="458" t="s">
        <v>139</v>
      </c>
      <c r="B45" s="501">
        <v>0.24436179506530475</v>
      </c>
      <c r="C45" s="737" t="s">
        <v>1415</v>
      </c>
      <c r="D45" s="562"/>
      <c r="E45" s="501"/>
      <c r="F45" s="738"/>
      <c r="G45" s="502">
        <v>0.24436179506530475</v>
      </c>
      <c r="H45" s="739" t="s">
        <v>1415</v>
      </c>
    </row>
    <row r="46" spans="1:14" ht="11.25" customHeight="1">
      <c r="A46" s="458" t="s">
        <v>140</v>
      </c>
      <c r="B46" s="501">
        <v>2.4124513715922085</v>
      </c>
      <c r="C46" s="737" t="s">
        <v>1149</v>
      </c>
      <c r="D46" s="562"/>
      <c r="E46" s="501"/>
      <c r="F46" s="738"/>
      <c r="G46" s="502">
        <v>2.4124513715922085</v>
      </c>
      <c r="H46" s="739" t="s">
        <v>1149</v>
      </c>
    </row>
    <row r="47" spans="1:14" ht="11.25" customHeight="1">
      <c r="A47" s="458" t="s">
        <v>141</v>
      </c>
      <c r="B47" s="501">
        <v>1300</v>
      </c>
      <c r="C47" s="737" t="s">
        <v>1414</v>
      </c>
      <c r="D47" s="562">
        <v>1300</v>
      </c>
      <c r="E47" s="501"/>
      <c r="F47" s="738"/>
      <c r="G47" s="502">
        <v>795.75353950115971</v>
      </c>
      <c r="H47" s="739" t="s">
        <v>1149</v>
      </c>
    </row>
    <row r="48" spans="1:14" ht="11.25" customHeight="1">
      <c r="A48" s="458" t="s">
        <v>142</v>
      </c>
      <c r="B48" s="501">
        <v>200</v>
      </c>
      <c r="C48" s="737" t="s">
        <v>1414</v>
      </c>
      <c r="D48" s="562">
        <v>200</v>
      </c>
      <c r="E48" s="501"/>
      <c r="F48" s="738"/>
      <c r="G48" s="502">
        <v>2.6677385995445633</v>
      </c>
      <c r="H48" s="739" t="s">
        <v>1149</v>
      </c>
    </row>
    <row r="49" spans="1:8" ht="11.25" customHeight="1">
      <c r="A49" s="462" t="s">
        <v>96</v>
      </c>
      <c r="B49" s="501">
        <v>0.96590800338662852</v>
      </c>
      <c r="C49" s="737" t="s">
        <v>1413</v>
      </c>
      <c r="D49" s="568"/>
      <c r="E49" s="740"/>
      <c r="F49" s="741"/>
      <c r="G49" s="502">
        <v>0.96590800338662852</v>
      </c>
      <c r="H49" s="739" t="s">
        <v>1413</v>
      </c>
    </row>
    <row r="50" spans="1:8" ht="11.25" customHeight="1">
      <c r="A50" s="458" t="s">
        <v>97</v>
      </c>
      <c r="B50" s="501">
        <v>200</v>
      </c>
      <c r="C50" s="737" t="s">
        <v>1414</v>
      </c>
      <c r="D50" s="562">
        <v>200</v>
      </c>
      <c r="E50" s="740"/>
      <c r="F50" s="741"/>
      <c r="G50" s="502">
        <v>595.09407017315073</v>
      </c>
      <c r="H50" s="739" t="s">
        <v>1149</v>
      </c>
    </row>
    <row r="51" spans="1:8" ht="11.25" customHeight="1">
      <c r="A51" s="458" t="s">
        <v>143</v>
      </c>
      <c r="B51" s="501">
        <v>4.814241578730157E-3</v>
      </c>
      <c r="C51" s="737" t="s">
        <v>1413</v>
      </c>
      <c r="D51" s="562"/>
      <c r="E51" s="501"/>
      <c r="F51" s="738"/>
      <c r="G51" s="502">
        <v>4.814241578730157E-3</v>
      </c>
      <c r="H51" s="739" t="s">
        <v>1413</v>
      </c>
    </row>
    <row r="52" spans="1:8" ht="11.25" customHeight="1">
      <c r="A52" s="458" t="s">
        <v>381</v>
      </c>
      <c r="B52" s="501">
        <v>0.04</v>
      </c>
      <c r="C52" s="737" t="s">
        <v>1414</v>
      </c>
      <c r="D52" s="562">
        <v>0.04</v>
      </c>
      <c r="E52" s="501"/>
      <c r="F52" s="738"/>
      <c r="G52" s="502">
        <v>3.3377225978685189E-4</v>
      </c>
      <c r="H52" s="739" t="s">
        <v>1415</v>
      </c>
    </row>
    <row r="53" spans="1:8" ht="11.25" customHeight="1">
      <c r="A53" s="458" t="s">
        <v>144</v>
      </c>
      <c r="B53" s="501">
        <v>0.87111199475121337</v>
      </c>
      <c r="C53" s="737" t="s">
        <v>1413</v>
      </c>
      <c r="D53" s="568"/>
      <c r="E53" s="501"/>
      <c r="F53" s="738"/>
      <c r="G53" s="502">
        <v>0.87111199475121337</v>
      </c>
      <c r="H53" s="739" t="s">
        <v>1413</v>
      </c>
    </row>
    <row r="54" spans="1:8" ht="11.25" customHeight="1">
      <c r="A54" s="458" t="s">
        <v>487</v>
      </c>
      <c r="B54" s="501">
        <v>0.04</v>
      </c>
      <c r="C54" s="737" t="s">
        <v>1414</v>
      </c>
      <c r="D54" s="562">
        <v>0.04</v>
      </c>
      <c r="E54" s="501"/>
      <c r="F54" s="738"/>
      <c r="G54" s="502">
        <v>7.4670710534466139E-3</v>
      </c>
      <c r="H54" s="739" t="s">
        <v>1413</v>
      </c>
    </row>
    <row r="55" spans="1:8" ht="11.25" customHeight="1">
      <c r="A55" s="458" t="s">
        <v>145</v>
      </c>
      <c r="B55" s="501">
        <v>600</v>
      </c>
      <c r="C55" s="737" t="s">
        <v>1414</v>
      </c>
      <c r="D55" s="568">
        <v>600</v>
      </c>
      <c r="E55" s="501"/>
      <c r="F55" s="738"/>
      <c r="G55" s="502">
        <v>776.12864506736355</v>
      </c>
      <c r="H55" s="739" t="s">
        <v>1149</v>
      </c>
    </row>
    <row r="56" spans="1:8" ht="11.25" customHeight="1">
      <c r="A56" s="458" t="s">
        <v>225</v>
      </c>
      <c r="B56" s="501">
        <v>302.48236483542229</v>
      </c>
      <c r="C56" s="737" t="s">
        <v>1149</v>
      </c>
      <c r="D56" s="568"/>
      <c r="E56" s="501"/>
      <c r="F56" s="738"/>
      <c r="G56" s="502">
        <v>302.48236483542229</v>
      </c>
      <c r="H56" s="739" t="s">
        <v>1149</v>
      </c>
    </row>
    <row r="57" spans="1:8" ht="11.25" customHeight="1">
      <c r="A57" s="458" t="s">
        <v>226</v>
      </c>
      <c r="B57" s="501">
        <v>75</v>
      </c>
      <c r="C57" s="737" t="s">
        <v>1414</v>
      </c>
      <c r="D57" s="562">
        <v>75</v>
      </c>
      <c r="E57" s="501"/>
      <c r="F57" s="738"/>
      <c r="G57" s="502">
        <v>0.48224108753452471</v>
      </c>
      <c r="H57" s="739" t="s">
        <v>1413</v>
      </c>
    </row>
    <row r="58" spans="1:8" ht="11.25" customHeight="1">
      <c r="A58" s="458" t="s">
        <v>227</v>
      </c>
      <c r="B58" s="501">
        <v>0.12521244906182924</v>
      </c>
      <c r="C58" s="737" t="s">
        <v>1413</v>
      </c>
      <c r="D58" s="562"/>
      <c r="E58" s="501"/>
      <c r="F58" s="738"/>
      <c r="G58" s="502">
        <v>0.12521244906182924</v>
      </c>
      <c r="H58" s="739" t="s">
        <v>1413</v>
      </c>
    </row>
    <row r="59" spans="1:8" ht="11.25" customHeight="1">
      <c r="A59" s="458" t="s">
        <v>361</v>
      </c>
      <c r="B59" s="501">
        <v>2.5860506035294707E-2</v>
      </c>
      <c r="C59" s="737" t="s">
        <v>1413</v>
      </c>
      <c r="D59" s="562"/>
      <c r="E59" s="501"/>
      <c r="F59" s="738"/>
      <c r="G59" s="502">
        <v>2.5860506035294707E-2</v>
      </c>
      <c r="H59" s="739" t="s">
        <v>1413</v>
      </c>
    </row>
    <row r="60" spans="1:8" ht="11.25" customHeight="1">
      <c r="A60" s="458" t="s">
        <v>362</v>
      </c>
      <c r="B60" s="501">
        <v>8.8953098238132352E-3</v>
      </c>
      <c r="C60" s="737" t="s">
        <v>1413</v>
      </c>
      <c r="D60" s="562"/>
      <c r="E60" s="501"/>
      <c r="F60" s="738"/>
      <c r="G60" s="502">
        <v>8.8953098238132352E-3</v>
      </c>
      <c r="H60" s="739" t="s">
        <v>1413</v>
      </c>
    </row>
    <row r="61" spans="1:8" ht="11.25" customHeight="1">
      <c r="A61" s="458" t="s">
        <v>363</v>
      </c>
      <c r="B61" s="501">
        <v>6.177825520156369E-3</v>
      </c>
      <c r="C61" s="737" t="s">
        <v>1413</v>
      </c>
      <c r="D61" s="562"/>
      <c r="E61" s="501"/>
      <c r="F61" s="738"/>
      <c r="G61" s="502">
        <v>6.177825520156369E-3</v>
      </c>
      <c r="H61" s="739" t="s">
        <v>1413</v>
      </c>
    </row>
    <row r="62" spans="1:8" ht="11.25" customHeight="1">
      <c r="A62" s="458" t="s">
        <v>234</v>
      </c>
      <c r="B62" s="501">
        <v>2.7505849956546897</v>
      </c>
      <c r="C62" s="737" t="s">
        <v>1413</v>
      </c>
      <c r="D62" s="562"/>
      <c r="E62" s="501"/>
      <c r="F62" s="738"/>
      <c r="G62" s="502">
        <v>2.7505849956546897</v>
      </c>
      <c r="H62" s="739" t="s">
        <v>1413</v>
      </c>
    </row>
    <row r="63" spans="1:8" ht="11.25" customHeight="1">
      <c r="A63" s="458" t="s">
        <v>235</v>
      </c>
      <c r="B63" s="501">
        <v>5</v>
      </c>
      <c r="C63" s="737" t="s">
        <v>1152</v>
      </c>
      <c r="D63" s="562"/>
      <c r="E63" s="501">
        <v>5</v>
      </c>
      <c r="F63" s="738" t="s">
        <v>1152</v>
      </c>
      <c r="G63" s="502">
        <v>0.1708682906017138</v>
      </c>
      <c r="H63" s="739" t="s">
        <v>1413</v>
      </c>
    </row>
    <row r="64" spans="1:8" ht="11.25" customHeight="1">
      <c r="A64" s="458" t="s">
        <v>294</v>
      </c>
      <c r="B64" s="501">
        <v>7</v>
      </c>
      <c r="C64" s="737" t="s">
        <v>1414</v>
      </c>
      <c r="D64" s="568">
        <v>7</v>
      </c>
      <c r="E64" s="501"/>
      <c r="F64" s="738"/>
      <c r="G64" s="502">
        <v>651.90140474035911</v>
      </c>
      <c r="H64" s="739" t="s">
        <v>1149</v>
      </c>
    </row>
    <row r="65" spans="1:8" ht="11.25" customHeight="1">
      <c r="A65" s="458" t="s">
        <v>295</v>
      </c>
      <c r="B65" s="501">
        <v>70</v>
      </c>
      <c r="C65" s="737" t="s">
        <v>1414</v>
      </c>
      <c r="D65" s="562">
        <v>70</v>
      </c>
      <c r="E65" s="501"/>
      <c r="F65" s="738"/>
      <c r="G65" s="502">
        <v>33.575460399443386</v>
      </c>
      <c r="H65" s="739" t="s">
        <v>1149</v>
      </c>
    </row>
    <row r="66" spans="1:8" ht="11.25" customHeight="1">
      <c r="A66" s="458" t="s">
        <v>228</v>
      </c>
      <c r="B66" s="501">
        <v>100</v>
      </c>
      <c r="C66" s="737" t="s">
        <v>1414</v>
      </c>
      <c r="D66" s="562">
        <v>100</v>
      </c>
      <c r="E66" s="501"/>
      <c r="F66" s="738"/>
      <c r="G66" s="502">
        <v>205.4988121313321</v>
      </c>
      <c r="H66" s="739" t="s">
        <v>1149</v>
      </c>
    </row>
    <row r="67" spans="1:8" ht="11.25" customHeight="1">
      <c r="A67" s="458" t="s">
        <v>942</v>
      </c>
      <c r="B67" s="501">
        <v>45.691503200709541</v>
      </c>
      <c r="C67" s="737" t="s">
        <v>1149</v>
      </c>
      <c r="D67" s="562"/>
      <c r="E67" s="501"/>
      <c r="F67" s="738"/>
      <c r="G67" s="502">
        <v>45.691503200709541</v>
      </c>
      <c r="H67" s="739" t="s">
        <v>1149</v>
      </c>
    </row>
    <row r="68" spans="1:8" ht="11.25" customHeight="1">
      <c r="A68" s="458" t="s">
        <v>98</v>
      </c>
      <c r="B68" s="501">
        <v>70</v>
      </c>
      <c r="C68" s="737" t="s">
        <v>1414</v>
      </c>
      <c r="D68" s="562">
        <v>70</v>
      </c>
      <c r="E68" s="740"/>
      <c r="F68" s="741"/>
      <c r="G68" s="502">
        <v>174.62797320581154</v>
      </c>
      <c r="H68" s="739" t="s">
        <v>1149</v>
      </c>
    </row>
    <row r="69" spans="1:8" ht="11.25" customHeight="1">
      <c r="A69" s="458" t="s">
        <v>943</v>
      </c>
      <c r="B69" s="501">
        <v>5</v>
      </c>
      <c r="C69" s="737" t="s">
        <v>1414</v>
      </c>
      <c r="D69" s="562">
        <v>5</v>
      </c>
      <c r="E69" s="501"/>
      <c r="F69" s="738"/>
      <c r="G69" s="502">
        <v>0.84951780136122823</v>
      </c>
      <c r="H69" s="739" t="s">
        <v>1413</v>
      </c>
    </row>
    <row r="70" spans="1:8" ht="11.25" customHeight="1">
      <c r="A70" s="458" t="s">
        <v>296</v>
      </c>
      <c r="B70" s="501">
        <v>0.47246971144685262</v>
      </c>
      <c r="C70" s="737" t="s">
        <v>1413</v>
      </c>
      <c r="D70" s="562"/>
      <c r="E70" s="501"/>
      <c r="F70" s="738"/>
      <c r="G70" s="502">
        <v>0.47246971144685262</v>
      </c>
      <c r="H70" s="739" t="s">
        <v>1413</v>
      </c>
    </row>
    <row r="71" spans="1:8" ht="11.25" customHeight="1">
      <c r="A71" s="458" t="s">
        <v>944</v>
      </c>
      <c r="B71" s="501">
        <v>3.4549060656200404E-3</v>
      </c>
      <c r="C71" s="737" t="s">
        <v>1413</v>
      </c>
      <c r="D71" s="562"/>
      <c r="E71" s="501"/>
      <c r="F71" s="738"/>
      <c r="G71" s="502">
        <v>3.4549060656200404E-3</v>
      </c>
      <c r="H71" s="739" t="s">
        <v>1413</v>
      </c>
    </row>
    <row r="72" spans="1:8" ht="11.25" customHeight="1">
      <c r="A72" s="458" t="s">
        <v>945</v>
      </c>
      <c r="B72" s="501">
        <v>14840.349637723393</v>
      </c>
      <c r="C72" s="737" t="s">
        <v>1149</v>
      </c>
      <c r="D72" s="562"/>
      <c r="E72" s="501"/>
      <c r="F72" s="738"/>
      <c r="G72" s="502">
        <v>14840.349637723393</v>
      </c>
      <c r="H72" s="739" t="s">
        <v>1149</v>
      </c>
    </row>
    <row r="73" spans="1:8" ht="11.25" customHeight="1">
      <c r="A73" s="458" t="s">
        <v>947</v>
      </c>
      <c r="B73" s="501">
        <v>355.32722285616643</v>
      </c>
      <c r="C73" s="737" t="s">
        <v>1149</v>
      </c>
      <c r="D73" s="562"/>
      <c r="E73" s="501"/>
      <c r="F73" s="738"/>
      <c r="G73" s="502">
        <v>355.32722285616643</v>
      </c>
      <c r="H73" s="739" t="s">
        <v>1149</v>
      </c>
    </row>
    <row r="74" spans="1:8" ht="11.25" customHeight="1">
      <c r="A74" s="458" t="s">
        <v>946</v>
      </c>
      <c r="B74" s="501">
        <v>186554.34671245472</v>
      </c>
      <c r="C74" s="737" t="s">
        <v>1149</v>
      </c>
      <c r="D74" s="562"/>
      <c r="E74" s="501"/>
      <c r="F74" s="738"/>
      <c r="G74" s="502">
        <v>186554.34671245472</v>
      </c>
      <c r="H74" s="739" t="s">
        <v>1149</v>
      </c>
    </row>
    <row r="75" spans="1:8" ht="11.25" customHeight="1">
      <c r="A75" s="462" t="s">
        <v>99</v>
      </c>
      <c r="B75" s="501">
        <v>1.9515311927751111</v>
      </c>
      <c r="C75" s="737" t="s">
        <v>1149</v>
      </c>
      <c r="D75" s="562"/>
      <c r="E75" s="740"/>
      <c r="F75" s="741"/>
      <c r="G75" s="502">
        <v>1.9515311927751111</v>
      </c>
      <c r="H75" s="739" t="s">
        <v>1149</v>
      </c>
    </row>
    <row r="76" spans="1:8" ht="11.25" customHeight="1">
      <c r="A76" s="458" t="s">
        <v>297</v>
      </c>
      <c r="B76" s="501">
        <v>38.830541475137551</v>
      </c>
      <c r="C76" s="737" t="s">
        <v>1149</v>
      </c>
      <c r="D76" s="562"/>
      <c r="E76" s="501"/>
      <c r="F76" s="738"/>
      <c r="G76" s="502">
        <v>38.830541475137551</v>
      </c>
      <c r="H76" s="739" t="s">
        <v>1149</v>
      </c>
    </row>
    <row r="77" spans="1:8" ht="11.25" customHeight="1">
      <c r="A77" s="462" t="s">
        <v>100</v>
      </c>
      <c r="B77" s="501">
        <v>0.2374799832189621</v>
      </c>
      <c r="C77" s="737" t="s">
        <v>1413</v>
      </c>
      <c r="D77" s="562"/>
      <c r="E77" s="740"/>
      <c r="F77" s="741"/>
      <c r="G77" s="502">
        <v>0.2374799832189621</v>
      </c>
      <c r="H77" s="739" t="s">
        <v>1413</v>
      </c>
    </row>
    <row r="78" spans="1:8" ht="11.25" customHeight="1">
      <c r="A78" s="462" t="s">
        <v>101</v>
      </c>
      <c r="B78" s="501">
        <v>4.8541215187419794E-2</v>
      </c>
      <c r="C78" s="737" t="s">
        <v>1413</v>
      </c>
      <c r="D78" s="562"/>
      <c r="E78" s="740"/>
      <c r="F78" s="741"/>
      <c r="G78" s="502">
        <v>4.8541215187419794E-2</v>
      </c>
      <c r="H78" s="739" t="s">
        <v>1413</v>
      </c>
    </row>
    <row r="79" spans="1:8" ht="11.25" customHeight="1">
      <c r="A79" s="458" t="s">
        <v>382</v>
      </c>
      <c r="B79" s="501">
        <v>0.45905899511359882</v>
      </c>
      <c r="C79" s="737" t="s">
        <v>1413</v>
      </c>
      <c r="D79" s="562"/>
      <c r="E79" s="501"/>
      <c r="F79" s="738"/>
      <c r="G79" s="502">
        <v>0.45905899511359882</v>
      </c>
      <c r="H79" s="739" t="s">
        <v>1413</v>
      </c>
    </row>
    <row r="80" spans="1:8" ht="11.25" customHeight="1">
      <c r="A80" s="458" t="s">
        <v>594</v>
      </c>
      <c r="B80" s="501">
        <v>3.0000000000000001E-5</v>
      </c>
      <c r="C80" s="737" t="s">
        <v>1414</v>
      </c>
      <c r="D80" s="562">
        <v>3.0000000000000001E-5</v>
      </c>
      <c r="E80" s="501"/>
      <c r="F80" s="738"/>
      <c r="G80" s="502">
        <v>1.55036546795786E-8</v>
      </c>
      <c r="H80" s="739" t="s">
        <v>1413</v>
      </c>
    </row>
    <row r="81" spans="1:8" ht="11.25" customHeight="1">
      <c r="A81" s="458" t="s">
        <v>102</v>
      </c>
      <c r="B81" s="501">
        <v>36.050648892392552</v>
      </c>
      <c r="C81" s="737" t="s">
        <v>1149</v>
      </c>
      <c r="D81" s="562"/>
      <c r="E81" s="740"/>
      <c r="F81" s="741"/>
      <c r="G81" s="502">
        <v>36.050648892392552</v>
      </c>
      <c r="H81" s="739" t="s">
        <v>1149</v>
      </c>
    </row>
    <row r="82" spans="1:8" ht="11.25" customHeight="1">
      <c r="A82" s="458" t="s">
        <v>370</v>
      </c>
      <c r="B82" s="501">
        <v>99.285903454277815</v>
      </c>
      <c r="C82" s="737" t="s">
        <v>1149</v>
      </c>
      <c r="D82" s="562"/>
      <c r="E82" s="501"/>
      <c r="F82" s="738"/>
      <c r="G82" s="502">
        <v>99.285903454277815</v>
      </c>
      <c r="H82" s="739" t="s">
        <v>1149</v>
      </c>
    </row>
    <row r="83" spans="1:8" ht="11.25" customHeight="1">
      <c r="A83" s="458" t="s">
        <v>337</v>
      </c>
      <c r="B83" s="501">
        <v>2</v>
      </c>
      <c r="C83" s="737" t="s">
        <v>1414</v>
      </c>
      <c r="D83" s="562">
        <v>2</v>
      </c>
      <c r="E83" s="501"/>
      <c r="F83" s="738"/>
      <c r="G83" s="502">
        <v>1.9772680956447228</v>
      </c>
      <c r="H83" s="739" t="s">
        <v>1149</v>
      </c>
    </row>
    <row r="84" spans="1:8" ht="11.25" customHeight="1">
      <c r="A84" s="458" t="s">
        <v>28</v>
      </c>
      <c r="B84" s="501">
        <v>0</v>
      </c>
      <c r="C84" s="737" t="s">
        <v>50</v>
      </c>
      <c r="D84" s="562"/>
      <c r="E84" s="501"/>
      <c r="F84" s="738"/>
      <c r="G84" s="502">
        <v>0</v>
      </c>
      <c r="H84" s="739" t="s">
        <v>1413</v>
      </c>
    </row>
    <row r="85" spans="1:8" ht="11.25" customHeight="1">
      <c r="A85" s="458" t="s">
        <v>338</v>
      </c>
      <c r="B85" s="501">
        <v>700</v>
      </c>
      <c r="C85" s="737" t="s">
        <v>1414</v>
      </c>
      <c r="D85" s="562">
        <v>700</v>
      </c>
      <c r="E85" s="501"/>
      <c r="F85" s="738"/>
      <c r="G85" s="502">
        <v>1.4990625828877546</v>
      </c>
      <c r="H85" s="739" t="s">
        <v>1413</v>
      </c>
    </row>
    <row r="86" spans="1:8" ht="11.25" customHeight="1">
      <c r="A86" s="458" t="s">
        <v>339</v>
      </c>
      <c r="B86" s="501">
        <v>112.98231171872068</v>
      </c>
      <c r="C86" s="737" t="s">
        <v>1149</v>
      </c>
      <c r="D86" s="562"/>
      <c r="E86" s="501"/>
      <c r="F86" s="738"/>
      <c r="G86" s="502">
        <v>112.98231171872068</v>
      </c>
      <c r="H86" s="739" t="s">
        <v>1149</v>
      </c>
    </row>
    <row r="87" spans="1:8" ht="11.25" customHeight="1">
      <c r="A87" s="458" t="s">
        <v>340</v>
      </c>
      <c r="B87" s="501">
        <v>250.08516556490937</v>
      </c>
      <c r="C87" s="737" t="s">
        <v>1149</v>
      </c>
      <c r="D87" s="562"/>
      <c r="E87" s="501"/>
      <c r="F87" s="738"/>
      <c r="G87" s="502">
        <v>250.08516556490937</v>
      </c>
      <c r="H87" s="739" t="s">
        <v>1149</v>
      </c>
    </row>
    <row r="88" spans="1:8" ht="11.25" customHeight="1">
      <c r="A88" s="458" t="s">
        <v>103</v>
      </c>
      <c r="B88" s="501">
        <v>700</v>
      </c>
      <c r="C88" s="737" t="s">
        <v>1414</v>
      </c>
      <c r="D88" s="562">
        <v>700</v>
      </c>
      <c r="E88" s="740"/>
      <c r="F88" s="741"/>
      <c r="G88" s="502">
        <v>2005.4930495699502</v>
      </c>
      <c r="H88" s="739" t="s">
        <v>1149</v>
      </c>
    </row>
    <row r="89" spans="1:8" ht="11.25" customHeight="1">
      <c r="A89" s="458" t="s">
        <v>341</v>
      </c>
      <c r="B89" s="501">
        <v>0.4</v>
      </c>
      <c r="C89" s="737" t="s">
        <v>1414</v>
      </c>
      <c r="D89" s="562">
        <v>0.4</v>
      </c>
      <c r="E89" s="501"/>
      <c r="F89" s="738"/>
      <c r="G89" s="502">
        <v>1.6843076234343015E-3</v>
      </c>
      <c r="H89" s="739" t="s">
        <v>1413</v>
      </c>
    </row>
    <row r="90" spans="1:8" ht="11.25" customHeight="1">
      <c r="A90" s="458" t="s">
        <v>342</v>
      </c>
      <c r="B90" s="501">
        <v>0.2</v>
      </c>
      <c r="C90" s="737" t="s">
        <v>1414</v>
      </c>
      <c r="D90" s="562">
        <v>0.2</v>
      </c>
      <c r="E90" s="501"/>
      <c r="F90" s="738"/>
      <c r="G90" s="502">
        <v>3.4197195930947186E-3</v>
      </c>
      <c r="H90" s="739" t="s">
        <v>1413</v>
      </c>
    </row>
    <row r="91" spans="1:8" ht="11.25" customHeight="1">
      <c r="A91" s="458" t="s">
        <v>371</v>
      </c>
      <c r="B91" s="501">
        <v>1</v>
      </c>
      <c r="C91" s="737" t="s">
        <v>1414</v>
      </c>
      <c r="D91" s="562">
        <v>1</v>
      </c>
      <c r="E91" s="501"/>
      <c r="F91" s="738"/>
      <c r="G91" s="502">
        <v>4.7215248178413723E-3</v>
      </c>
      <c r="H91" s="739" t="s">
        <v>1413</v>
      </c>
    </row>
    <row r="92" spans="1:8" ht="11.25" customHeight="1">
      <c r="A92" s="458" t="s">
        <v>343</v>
      </c>
      <c r="B92" s="501">
        <v>0.28185208671381157</v>
      </c>
      <c r="C92" s="737" t="s">
        <v>1413</v>
      </c>
      <c r="D92" s="562"/>
      <c r="E92" s="501"/>
      <c r="F92" s="738"/>
      <c r="G92" s="502">
        <v>0.28185208671381157</v>
      </c>
      <c r="H92" s="739" t="s">
        <v>1413</v>
      </c>
    </row>
    <row r="93" spans="1:8" ht="11.25" customHeight="1">
      <c r="A93" s="458" t="s">
        <v>364</v>
      </c>
      <c r="B93" s="501">
        <v>0.2</v>
      </c>
      <c r="C93" s="737" t="s">
        <v>1414</v>
      </c>
      <c r="D93" s="562">
        <v>0.2</v>
      </c>
      <c r="E93" s="501"/>
      <c r="F93" s="738"/>
      <c r="G93" s="502">
        <v>3.9670642175028109E-2</v>
      </c>
      <c r="H93" s="739" t="s">
        <v>1413</v>
      </c>
    </row>
    <row r="94" spans="1:8" ht="11.25" customHeight="1">
      <c r="A94" s="458" t="s">
        <v>344</v>
      </c>
      <c r="B94" s="501">
        <v>0.92032782815026715</v>
      </c>
      <c r="C94" s="737" t="s">
        <v>1413</v>
      </c>
      <c r="D94" s="562"/>
      <c r="E94" s="501"/>
      <c r="F94" s="738"/>
      <c r="G94" s="502">
        <v>0.92032782815026715</v>
      </c>
      <c r="H94" s="739" t="s">
        <v>1413</v>
      </c>
    </row>
    <row r="95" spans="1:8" ht="11.25" customHeight="1">
      <c r="A95" s="458" t="s">
        <v>104</v>
      </c>
      <c r="B95" s="501">
        <v>643.85147502055895</v>
      </c>
      <c r="C95" s="737" t="s">
        <v>1149</v>
      </c>
      <c r="D95" s="562"/>
      <c r="E95" s="740"/>
      <c r="F95" s="741"/>
      <c r="G95" s="502">
        <v>643.85147502055895</v>
      </c>
      <c r="H95" s="739" t="s">
        <v>1149</v>
      </c>
    </row>
    <row r="96" spans="1:8" ht="11.25" customHeight="1">
      <c r="A96" s="458" t="s">
        <v>345</v>
      </c>
      <c r="B96" s="501">
        <v>1.7683609753016836E-2</v>
      </c>
      <c r="C96" s="737" t="s">
        <v>1413</v>
      </c>
      <c r="D96" s="562"/>
      <c r="E96" s="501"/>
      <c r="F96" s="738"/>
      <c r="G96" s="502">
        <v>1.7683609753016836E-2</v>
      </c>
      <c r="H96" s="739" t="s">
        <v>1413</v>
      </c>
    </row>
    <row r="97" spans="1:8" ht="11.25" customHeight="1">
      <c r="A97" s="458" t="s">
        <v>105</v>
      </c>
      <c r="B97" s="501">
        <v>78.070039071294488</v>
      </c>
      <c r="C97" s="737" t="s">
        <v>1413</v>
      </c>
      <c r="D97" s="562"/>
      <c r="E97" s="740"/>
      <c r="F97" s="741"/>
      <c r="G97" s="502">
        <v>78.070039071294488</v>
      </c>
      <c r="H97" s="739" t="s">
        <v>1413</v>
      </c>
    </row>
    <row r="98" spans="1:8" ht="11.25" customHeight="1">
      <c r="A98" s="458" t="s">
        <v>346</v>
      </c>
      <c r="B98" s="501">
        <v>15</v>
      </c>
      <c r="C98" s="737" t="s">
        <v>1414</v>
      </c>
      <c r="D98" s="568">
        <v>15</v>
      </c>
      <c r="E98" s="501"/>
      <c r="F98" s="738"/>
      <c r="G98" s="502" t="s">
        <v>954</v>
      </c>
      <c r="H98" s="739" t="s">
        <v>954</v>
      </c>
    </row>
    <row r="99" spans="1:8" ht="11.25" customHeight="1">
      <c r="A99" s="458" t="s">
        <v>347</v>
      </c>
      <c r="B99" s="501">
        <v>2</v>
      </c>
      <c r="C99" s="737" t="s">
        <v>1414</v>
      </c>
      <c r="D99" s="562">
        <v>2</v>
      </c>
      <c r="E99" s="501"/>
      <c r="F99" s="738"/>
      <c r="G99" s="502">
        <v>6.0034768280972619</v>
      </c>
      <c r="H99" s="739" t="s">
        <v>1149</v>
      </c>
    </row>
    <row r="100" spans="1:8" ht="11.25" customHeight="1">
      <c r="A100" s="458" t="s">
        <v>348</v>
      </c>
      <c r="B100" s="501">
        <v>40</v>
      </c>
      <c r="C100" s="737" t="s">
        <v>1414</v>
      </c>
      <c r="D100" s="568">
        <v>40</v>
      </c>
      <c r="E100" s="501"/>
      <c r="F100" s="738"/>
      <c r="G100" s="502">
        <v>31.967517269112214</v>
      </c>
      <c r="H100" s="739" t="s">
        <v>1149</v>
      </c>
    </row>
    <row r="101" spans="1:8" ht="11.25" customHeight="1">
      <c r="A101" s="458" t="s">
        <v>350</v>
      </c>
      <c r="B101" s="501">
        <v>9943.3205762492889</v>
      </c>
      <c r="C101" s="737" t="s">
        <v>1149</v>
      </c>
      <c r="D101" s="562"/>
      <c r="E101" s="501"/>
      <c r="F101" s="738"/>
      <c r="G101" s="502">
        <v>9943.3205762492889</v>
      </c>
      <c r="H101" s="739" t="s">
        <v>1149</v>
      </c>
    </row>
    <row r="102" spans="1:8" ht="11.25" customHeight="1">
      <c r="A102" s="458" t="s">
        <v>351</v>
      </c>
      <c r="B102" s="501">
        <v>35755.102040816324</v>
      </c>
      <c r="C102" s="737" t="s">
        <v>1149</v>
      </c>
      <c r="D102" s="562"/>
      <c r="E102" s="501"/>
      <c r="F102" s="738"/>
      <c r="G102" s="502">
        <v>35755.102040816324</v>
      </c>
      <c r="H102" s="739" t="s">
        <v>1149</v>
      </c>
    </row>
    <row r="103" spans="1:8" ht="11.25" customHeight="1">
      <c r="A103" s="458" t="s">
        <v>352</v>
      </c>
      <c r="B103" s="501">
        <v>1.962844121223863</v>
      </c>
      <c r="C103" s="737" t="s">
        <v>1149</v>
      </c>
      <c r="D103" s="562"/>
      <c r="E103" s="501"/>
      <c r="F103" s="738"/>
      <c r="G103" s="502">
        <v>1.962844121223863</v>
      </c>
      <c r="H103" s="739" t="s">
        <v>1149</v>
      </c>
    </row>
    <row r="104" spans="1:8" ht="11.25" customHeight="1">
      <c r="A104" s="458" t="s">
        <v>353</v>
      </c>
      <c r="B104" s="501">
        <v>14.30439413214298</v>
      </c>
      <c r="C104" s="737" t="s">
        <v>1413</v>
      </c>
      <c r="D104" s="568"/>
      <c r="E104" s="501"/>
      <c r="F104" s="738"/>
      <c r="G104" s="502">
        <v>14.30439413214298</v>
      </c>
      <c r="H104" s="739" t="s">
        <v>1413</v>
      </c>
    </row>
    <row r="105" spans="1:8" ht="11.25" customHeight="1">
      <c r="A105" s="458" t="s">
        <v>349</v>
      </c>
      <c r="B105" s="501">
        <v>5</v>
      </c>
      <c r="C105" s="737" t="s">
        <v>1152</v>
      </c>
      <c r="D105" s="562"/>
      <c r="E105" s="501">
        <v>5</v>
      </c>
      <c r="F105" s="738" t="s">
        <v>1152</v>
      </c>
      <c r="G105" s="502">
        <v>9.9288870551687349</v>
      </c>
      <c r="H105" s="739" t="s">
        <v>1415</v>
      </c>
    </row>
    <row r="106" spans="1:8" ht="11.25" customHeight="1">
      <c r="A106" s="458" t="s">
        <v>590</v>
      </c>
      <c r="B106" s="501">
        <v>11.376814592975361</v>
      </c>
      <c r="C106" s="737" t="s">
        <v>1413</v>
      </c>
      <c r="D106" s="562"/>
      <c r="E106" s="501"/>
      <c r="F106" s="738"/>
      <c r="G106" s="502">
        <v>11.376814592975361</v>
      </c>
      <c r="H106" s="739" t="s">
        <v>1413</v>
      </c>
    </row>
    <row r="107" spans="1:8" ht="11.25" customHeight="1">
      <c r="A107" s="458" t="s">
        <v>591</v>
      </c>
      <c r="B107" s="501">
        <v>29.559287502503544</v>
      </c>
      <c r="C107" s="737" t="s">
        <v>1149</v>
      </c>
      <c r="D107" s="562"/>
      <c r="E107" s="501"/>
      <c r="F107" s="738"/>
      <c r="G107" s="502">
        <v>29.559287502503544</v>
      </c>
      <c r="H107" s="739" t="s">
        <v>1149</v>
      </c>
    </row>
    <row r="108" spans="1:8" ht="11.25" customHeight="1">
      <c r="A108" s="458" t="s">
        <v>465</v>
      </c>
      <c r="B108" s="501">
        <v>99.283946060627287</v>
      </c>
      <c r="C108" s="737" t="s">
        <v>1149</v>
      </c>
      <c r="D108" s="562"/>
      <c r="E108" s="501"/>
      <c r="F108" s="738"/>
      <c r="G108" s="502">
        <v>99.283946060627287</v>
      </c>
      <c r="H108" s="739" t="s">
        <v>1149</v>
      </c>
    </row>
    <row r="109" spans="1:8" ht="11.25" customHeight="1">
      <c r="A109" s="458" t="s">
        <v>466</v>
      </c>
      <c r="B109" s="501">
        <v>17</v>
      </c>
      <c r="C109" s="737" t="s">
        <v>670</v>
      </c>
      <c r="D109" s="562"/>
      <c r="E109" s="501">
        <v>17</v>
      </c>
      <c r="F109" s="738" t="s">
        <v>670</v>
      </c>
      <c r="G109" s="502">
        <v>0.11690534527736283</v>
      </c>
      <c r="H109" s="739" t="s">
        <v>1413</v>
      </c>
    </row>
    <row r="110" spans="1:8" ht="11.25" customHeight="1">
      <c r="A110" s="458" t="s">
        <v>812</v>
      </c>
      <c r="B110" s="501">
        <v>378.45251627361586</v>
      </c>
      <c r="C110" s="737" t="s">
        <v>1149</v>
      </c>
      <c r="D110" s="562"/>
      <c r="E110" s="501"/>
      <c r="F110" s="738"/>
      <c r="G110" s="502">
        <v>378.45251627361586</v>
      </c>
      <c r="H110" s="739" t="s">
        <v>1149</v>
      </c>
    </row>
    <row r="111" spans="1:8" ht="11.25" customHeight="1">
      <c r="A111" s="462" t="s">
        <v>106</v>
      </c>
      <c r="B111" s="501">
        <v>0.14038461538461536</v>
      </c>
      <c r="C111" s="737" t="s">
        <v>1413</v>
      </c>
      <c r="D111" s="562"/>
      <c r="E111" s="740"/>
      <c r="F111" s="741"/>
      <c r="G111" s="502">
        <v>0.14038461538461536</v>
      </c>
      <c r="H111" s="739" t="s">
        <v>1413</v>
      </c>
    </row>
    <row r="112" spans="1:8" ht="11.25" customHeight="1">
      <c r="A112" s="462" t="s">
        <v>107</v>
      </c>
      <c r="B112" s="501">
        <v>1.9602041687573981</v>
      </c>
      <c r="C112" s="737" t="s">
        <v>1149</v>
      </c>
      <c r="D112" s="562"/>
      <c r="E112" s="740"/>
      <c r="F112" s="741"/>
      <c r="G112" s="502">
        <v>1.9602041687573981</v>
      </c>
      <c r="H112" s="739" t="s">
        <v>1149</v>
      </c>
    </row>
    <row r="113" spans="1:8" ht="11.25" customHeight="1">
      <c r="A113" s="462" t="s">
        <v>108</v>
      </c>
      <c r="B113" s="501">
        <v>0.31415552893667309</v>
      </c>
      <c r="C113" s="737" t="s">
        <v>1413</v>
      </c>
      <c r="D113" s="562"/>
      <c r="E113" s="740"/>
      <c r="F113" s="741"/>
      <c r="G113" s="502">
        <v>0.31415552893667309</v>
      </c>
      <c r="H113" s="739" t="s">
        <v>1413</v>
      </c>
    </row>
    <row r="114" spans="1:8" ht="11.25" customHeight="1">
      <c r="A114" s="462" t="s">
        <v>109</v>
      </c>
      <c r="B114" s="501">
        <v>1.7483564887195151</v>
      </c>
      <c r="C114" s="737" t="s">
        <v>1149</v>
      </c>
      <c r="D114" s="562"/>
      <c r="E114" s="740"/>
      <c r="F114" s="741"/>
      <c r="G114" s="502">
        <v>1.7483564887195151</v>
      </c>
      <c r="H114" s="739" t="s">
        <v>1149</v>
      </c>
    </row>
    <row r="115" spans="1:8" ht="11.25" customHeight="1">
      <c r="A115" s="462" t="s">
        <v>110</v>
      </c>
      <c r="B115" s="501">
        <v>4.2655457130423766</v>
      </c>
      <c r="C115" s="737" t="s">
        <v>1413</v>
      </c>
      <c r="D115" s="562"/>
      <c r="E115" s="740"/>
      <c r="F115" s="741"/>
      <c r="G115" s="502">
        <v>4.2655457130423766</v>
      </c>
      <c r="H115" s="739" t="s">
        <v>1413</v>
      </c>
    </row>
    <row r="116" spans="1:8" ht="11.25" customHeight="1">
      <c r="A116" s="458" t="s">
        <v>467</v>
      </c>
      <c r="B116" s="501">
        <v>1</v>
      </c>
      <c r="C116" s="737" t="s">
        <v>1414</v>
      </c>
      <c r="D116" s="568">
        <v>1</v>
      </c>
      <c r="E116" s="501"/>
      <c r="F116" s="738"/>
      <c r="G116" s="502">
        <v>3.7933680384707812E-2</v>
      </c>
      <c r="H116" s="739" t="s">
        <v>1413</v>
      </c>
    </row>
    <row r="117" spans="1:8" ht="11.25" customHeight="1">
      <c r="A117" s="462" t="s">
        <v>111</v>
      </c>
      <c r="B117" s="501">
        <v>17.332516072630696</v>
      </c>
      <c r="C117" s="737" t="s">
        <v>1413</v>
      </c>
      <c r="D117" s="562"/>
      <c r="E117" s="740"/>
      <c r="F117" s="741"/>
      <c r="G117" s="502">
        <v>17.332516072630696</v>
      </c>
      <c r="H117" s="739" t="s">
        <v>1413</v>
      </c>
    </row>
    <row r="118" spans="1:8" ht="11.25" customHeight="1">
      <c r="A118" s="458" t="s">
        <v>231</v>
      </c>
      <c r="B118" s="501">
        <v>15</v>
      </c>
      <c r="C118" s="737" t="s">
        <v>1152</v>
      </c>
      <c r="D118" s="562"/>
      <c r="E118" s="501">
        <v>15</v>
      </c>
      <c r="F118" s="738" t="s">
        <v>1152</v>
      </c>
      <c r="G118" s="502">
        <v>13.879311850752631</v>
      </c>
      <c r="H118" s="739" t="s">
        <v>1149</v>
      </c>
    </row>
    <row r="119" spans="1:8" ht="11.25" customHeight="1">
      <c r="A119" s="458" t="s">
        <v>468</v>
      </c>
      <c r="B119" s="501">
        <v>250.08516556490937</v>
      </c>
      <c r="C119" s="737" t="s">
        <v>1149</v>
      </c>
      <c r="D119" s="562"/>
      <c r="E119" s="501"/>
      <c r="F119" s="738"/>
      <c r="G119" s="502">
        <v>250.08516556490937</v>
      </c>
      <c r="H119" s="739" t="s">
        <v>1149</v>
      </c>
    </row>
    <row r="120" spans="1:8" ht="11.25" customHeight="1">
      <c r="A120" s="458" t="s">
        <v>469</v>
      </c>
      <c r="B120" s="501">
        <v>5769.529995855768</v>
      </c>
      <c r="C120" s="737" t="s">
        <v>1149</v>
      </c>
      <c r="D120" s="562"/>
      <c r="E120" s="501"/>
      <c r="F120" s="738"/>
      <c r="G120" s="502">
        <v>5769.529995855768</v>
      </c>
      <c r="H120" s="739" t="s">
        <v>1149</v>
      </c>
    </row>
    <row r="121" spans="1:8" ht="11.25" customHeight="1">
      <c r="A121" s="458" t="s">
        <v>365</v>
      </c>
      <c r="B121" s="501">
        <v>0.5</v>
      </c>
      <c r="C121" s="737" t="s">
        <v>1414</v>
      </c>
      <c r="D121" s="568">
        <v>0.5</v>
      </c>
      <c r="E121" s="501"/>
      <c r="F121" s="738"/>
      <c r="G121" s="502">
        <v>1.0522551642833584E-3</v>
      </c>
      <c r="H121" s="739" t="s">
        <v>1413</v>
      </c>
    </row>
    <row r="122" spans="1:8" ht="11.25" customHeight="1">
      <c r="A122" s="458" t="s">
        <v>112</v>
      </c>
      <c r="B122" s="501">
        <v>1576.0445630389663</v>
      </c>
      <c r="C122" s="737" t="s">
        <v>1149</v>
      </c>
      <c r="D122" s="562"/>
      <c r="E122" s="740"/>
      <c r="F122" s="744"/>
      <c r="G122" s="502">
        <v>1576.0445630389663</v>
      </c>
      <c r="H122" s="739" t="s">
        <v>1149</v>
      </c>
    </row>
    <row r="123" spans="1:8" ht="11.25" customHeight="1">
      <c r="A123" s="458" t="s">
        <v>470</v>
      </c>
      <c r="B123" s="501">
        <v>110.15672974106204</v>
      </c>
      <c r="C123" s="737" t="s">
        <v>1149</v>
      </c>
      <c r="D123" s="562"/>
      <c r="E123" s="501"/>
      <c r="F123" s="738"/>
      <c r="G123" s="502">
        <v>110.15672974106204</v>
      </c>
      <c r="H123" s="739" t="s">
        <v>1149</v>
      </c>
    </row>
    <row r="124" spans="1:8" ht="11.25" customHeight="1">
      <c r="A124" s="458" t="s">
        <v>471</v>
      </c>
      <c r="B124" s="501">
        <v>50</v>
      </c>
      <c r="C124" s="737" t="s">
        <v>1414</v>
      </c>
      <c r="D124" s="562">
        <v>50</v>
      </c>
      <c r="E124" s="501"/>
      <c r="F124" s="745"/>
      <c r="G124" s="502">
        <v>99.385773748264725</v>
      </c>
      <c r="H124" s="739" t="s">
        <v>1149</v>
      </c>
    </row>
    <row r="125" spans="1:8" ht="11.25" customHeight="1">
      <c r="A125" s="458" t="s">
        <v>813</v>
      </c>
      <c r="B125" s="501">
        <v>100.24879588690277</v>
      </c>
      <c r="C125" s="737" t="s">
        <v>1149</v>
      </c>
      <c r="D125" s="562"/>
      <c r="E125" s="501"/>
      <c r="F125" s="738"/>
      <c r="G125" s="502">
        <v>100.24879588690277</v>
      </c>
      <c r="H125" s="739" t="s">
        <v>1149</v>
      </c>
    </row>
    <row r="126" spans="1:8" ht="11.25" customHeight="1">
      <c r="A126" s="458" t="s">
        <v>113</v>
      </c>
      <c r="B126" s="501">
        <v>4</v>
      </c>
      <c r="C126" s="737" t="s">
        <v>1414</v>
      </c>
      <c r="D126" s="562">
        <v>4</v>
      </c>
      <c r="E126" s="740"/>
      <c r="F126" s="741"/>
      <c r="G126" s="502">
        <v>0.60691686682263868</v>
      </c>
      <c r="H126" s="739" t="s">
        <v>1413</v>
      </c>
    </row>
    <row r="127" spans="1:8" ht="11.25" customHeight="1">
      <c r="A127" s="458" t="s">
        <v>472</v>
      </c>
      <c r="B127" s="501">
        <v>100</v>
      </c>
      <c r="C127" s="737" t="s">
        <v>1414</v>
      </c>
      <c r="D127" s="562">
        <v>100</v>
      </c>
      <c r="E127" s="501"/>
      <c r="F127" s="738"/>
      <c r="G127" s="502">
        <v>2321.2472062675138</v>
      </c>
      <c r="H127" s="739" t="s">
        <v>1149</v>
      </c>
    </row>
    <row r="128" spans="1:8" ht="11.25" customHeight="1">
      <c r="A128" s="458" t="s">
        <v>114</v>
      </c>
      <c r="B128" s="501">
        <v>251.31929956026045</v>
      </c>
      <c r="C128" s="737" t="s">
        <v>1149</v>
      </c>
      <c r="D128" s="562"/>
      <c r="E128" s="740"/>
      <c r="F128" s="741"/>
      <c r="G128" s="502">
        <v>251.31929956026045</v>
      </c>
      <c r="H128" s="739" t="s">
        <v>1149</v>
      </c>
    </row>
    <row r="129" spans="1:8" ht="11.25" customHeight="1">
      <c r="A129" s="458" t="s">
        <v>19</v>
      </c>
      <c r="B129" s="501">
        <v>59.526771727540208</v>
      </c>
      <c r="C129" s="737" t="s">
        <v>1413</v>
      </c>
      <c r="D129" s="562"/>
      <c r="E129" s="501"/>
      <c r="F129" s="738"/>
      <c r="G129" s="502">
        <v>59.526771727540208</v>
      </c>
      <c r="H129" s="739" t="s">
        <v>1413</v>
      </c>
    </row>
    <row r="130" spans="1:8" ht="11.25" customHeight="1">
      <c r="A130" s="458" t="s">
        <v>473</v>
      </c>
      <c r="B130" s="501">
        <v>0.57369738025483408</v>
      </c>
      <c r="C130" s="737" t="s">
        <v>1413</v>
      </c>
      <c r="D130" s="562"/>
      <c r="E130" s="501"/>
      <c r="F130" s="738"/>
      <c r="G130" s="502">
        <v>0.57369738025483408</v>
      </c>
      <c r="H130" s="739" t="s">
        <v>1413</v>
      </c>
    </row>
    <row r="131" spans="1:8" ht="11.25" customHeight="1">
      <c r="A131" s="458" t="s">
        <v>474</v>
      </c>
      <c r="B131" s="501">
        <v>7.5738899992116304E-2</v>
      </c>
      <c r="C131" s="737" t="s">
        <v>1413</v>
      </c>
      <c r="D131" s="562"/>
      <c r="E131" s="501"/>
      <c r="F131" s="738"/>
      <c r="G131" s="502">
        <v>7.5738899992116304E-2</v>
      </c>
      <c r="H131" s="739" t="s">
        <v>1413</v>
      </c>
    </row>
    <row r="132" spans="1:8" ht="11.25" customHeight="1">
      <c r="A132" s="458" t="s">
        <v>475</v>
      </c>
      <c r="B132" s="501">
        <v>5</v>
      </c>
      <c r="C132" s="737" t="s">
        <v>1414</v>
      </c>
      <c r="D132" s="562">
        <v>5</v>
      </c>
      <c r="E132" s="501"/>
      <c r="F132" s="738"/>
      <c r="G132" s="502">
        <v>0.66262003054566243</v>
      </c>
      <c r="H132" s="739" t="s">
        <v>1413</v>
      </c>
    </row>
    <row r="133" spans="1:8" ht="11.25" customHeight="1">
      <c r="A133" s="458" t="s">
        <v>115</v>
      </c>
      <c r="B133" s="501">
        <v>222.64948848261417</v>
      </c>
      <c r="C133" s="737" t="s">
        <v>1149</v>
      </c>
      <c r="D133" s="562"/>
      <c r="E133" s="740"/>
      <c r="F133" s="741"/>
      <c r="G133" s="502">
        <v>222.64948848261417</v>
      </c>
      <c r="H133" s="739" t="s">
        <v>1149</v>
      </c>
    </row>
    <row r="134" spans="1:8" ht="11.25" customHeight="1">
      <c r="A134" s="462" t="s">
        <v>116</v>
      </c>
      <c r="B134" s="501">
        <v>1001.1634345604283</v>
      </c>
      <c r="C134" s="737" t="s">
        <v>1149</v>
      </c>
      <c r="D134" s="568"/>
      <c r="E134" s="740"/>
      <c r="F134" s="741"/>
      <c r="G134" s="502">
        <v>1001.1634345604283</v>
      </c>
      <c r="H134" s="739" t="s">
        <v>1149</v>
      </c>
    </row>
    <row r="135" spans="1:8" ht="11.25" customHeight="1">
      <c r="A135" s="458" t="s">
        <v>476</v>
      </c>
      <c r="B135" s="501">
        <v>2</v>
      </c>
      <c r="C135" s="737" t="s">
        <v>1414</v>
      </c>
      <c r="D135" s="562">
        <v>2</v>
      </c>
      <c r="E135" s="501"/>
      <c r="F135" s="738"/>
      <c r="G135" s="502">
        <v>0.19660199028629702</v>
      </c>
      <c r="H135" s="739" t="s">
        <v>1149</v>
      </c>
    </row>
    <row r="136" spans="1:8" ht="11.25" customHeight="1">
      <c r="A136" s="458" t="s">
        <v>366</v>
      </c>
      <c r="B136" s="501">
        <v>1000</v>
      </c>
      <c r="C136" s="737" t="s">
        <v>1414</v>
      </c>
      <c r="D136" s="562">
        <v>1000</v>
      </c>
      <c r="E136" s="501"/>
      <c r="F136" s="738"/>
      <c r="G136" s="502">
        <v>1206.5207006111987</v>
      </c>
      <c r="H136" s="739" t="s">
        <v>1149</v>
      </c>
    </row>
    <row r="137" spans="1:8" ht="11.25" customHeight="1">
      <c r="A137" s="458" t="s">
        <v>20</v>
      </c>
      <c r="B137" s="501">
        <v>3</v>
      </c>
      <c r="C137" s="737" t="s">
        <v>1414</v>
      </c>
      <c r="D137" s="562">
        <v>3</v>
      </c>
      <c r="E137" s="501"/>
      <c r="F137" s="738"/>
      <c r="G137" s="502">
        <v>1.0982244538914179E-2</v>
      </c>
      <c r="H137" s="739" t="s">
        <v>1413</v>
      </c>
    </row>
    <row r="138" spans="1:8" ht="11.25" customHeight="1">
      <c r="A138" s="458" t="s">
        <v>57</v>
      </c>
      <c r="B138" s="501">
        <v>73.986001486842099</v>
      </c>
      <c r="C138" s="737" t="s">
        <v>1149</v>
      </c>
      <c r="D138" s="562"/>
      <c r="E138" s="501"/>
      <c r="F138" s="738"/>
      <c r="G138" s="502">
        <v>73.986001486842099</v>
      </c>
      <c r="H138" s="739" t="s">
        <v>1149</v>
      </c>
    </row>
    <row r="139" spans="1:8" ht="11.25" customHeight="1">
      <c r="A139" s="458" t="s">
        <v>56</v>
      </c>
      <c r="B139" s="501">
        <v>91.174062952030283</v>
      </c>
      <c r="C139" s="737" t="s">
        <v>1149</v>
      </c>
      <c r="D139" s="562"/>
      <c r="E139" s="501"/>
      <c r="F139" s="738"/>
      <c r="G139" s="502">
        <v>91.174062952030283</v>
      </c>
      <c r="H139" s="739" t="s">
        <v>1149</v>
      </c>
    </row>
    <row r="140" spans="1:8" ht="11.25" customHeight="1">
      <c r="A140" s="458" t="s">
        <v>777</v>
      </c>
      <c r="B140" s="501">
        <v>90.983894715319366</v>
      </c>
      <c r="C140" s="737" t="s">
        <v>1149</v>
      </c>
      <c r="D140" s="562"/>
      <c r="E140" s="501"/>
      <c r="F140" s="738"/>
      <c r="G140" s="502">
        <v>90.983894715319366</v>
      </c>
      <c r="H140" s="739" t="s">
        <v>1149</v>
      </c>
    </row>
    <row r="141" spans="1:8" ht="11.25" customHeight="1">
      <c r="A141" s="458" t="s">
        <v>814</v>
      </c>
      <c r="B141" s="501">
        <v>70</v>
      </c>
      <c r="C141" s="737" t="s">
        <v>1414</v>
      </c>
      <c r="D141" s="562">
        <v>70</v>
      </c>
      <c r="E141" s="501"/>
      <c r="F141" s="738"/>
      <c r="G141" s="502">
        <v>1.0748246110645729</v>
      </c>
      <c r="H141" s="739" t="s">
        <v>1413</v>
      </c>
    </row>
    <row r="142" spans="1:8" ht="11.25" customHeight="1">
      <c r="A142" s="458" t="s">
        <v>815</v>
      </c>
      <c r="B142" s="501">
        <v>200</v>
      </c>
      <c r="C142" s="737" t="s">
        <v>1414</v>
      </c>
      <c r="D142" s="562">
        <v>200</v>
      </c>
      <c r="E142" s="501"/>
      <c r="F142" s="738"/>
      <c r="G142" s="502">
        <v>21880.019053893313</v>
      </c>
      <c r="H142" s="739" t="s">
        <v>1149</v>
      </c>
    </row>
    <row r="143" spans="1:8" ht="11.25" customHeight="1">
      <c r="A143" s="458" t="s">
        <v>477</v>
      </c>
      <c r="B143" s="501">
        <v>5</v>
      </c>
      <c r="C143" s="737" t="s">
        <v>1414</v>
      </c>
      <c r="D143" s="562">
        <v>5</v>
      </c>
      <c r="E143" s="501"/>
      <c r="F143" s="738"/>
      <c r="G143" s="502">
        <v>0.27533839970002094</v>
      </c>
      <c r="H143" s="739" t="s">
        <v>1413</v>
      </c>
    </row>
    <row r="144" spans="1:8" ht="11.25" customHeight="1">
      <c r="A144" s="458" t="s">
        <v>478</v>
      </c>
      <c r="B144" s="501">
        <v>5</v>
      </c>
      <c r="C144" s="737" t="s">
        <v>1414</v>
      </c>
      <c r="D144" s="562">
        <v>5</v>
      </c>
      <c r="E144" s="501"/>
      <c r="F144" s="738"/>
      <c r="G144" s="502">
        <v>0.24045528107960876</v>
      </c>
      <c r="H144" s="739" t="s">
        <v>1415</v>
      </c>
    </row>
    <row r="145" spans="1:8" ht="11.25" customHeight="1">
      <c r="A145" s="458" t="s">
        <v>479</v>
      </c>
      <c r="B145" s="501">
        <v>1183.1271661441667</v>
      </c>
      <c r="C145" s="737" t="s">
        <v>1149</v>
      </c>
      <c r="D145" s="562"/>
      <c r="E145" s="501"/>
      <c r="F145" s="738"/>
      <c r="G145" s="502">
        <v>1183.1271661441667</v>
      </c>
      <c r="H145" s="739" t="s">
        <v>1149</v>
      </c>
    </row>
    <row r="146" spans="1:8" ht="11.25" customHeight="1">
      <c r="A146" s="458" t="s">
        <v>480</v>
      </c>
      <c r="B146" s="501">
        <v>4.111930278580993</v>
      </c>
      <c r="C146" s="737" t="s">
        <v>1413</v>
      </c>
      <c r="D146" s="562"/>
      <c r="E146" s="501"/>
      <c r="F146" s="738"/>
      <c r="G146" s="502">
        <v>4.111930278580993</v>
      </c>
      <c r="H146" s="739" t="s">
        <v>1413</v>
      </c>
    </row>
    <row r="147" spans="1:8" ht="11.25" customHeight="1">
      <c r="A147" s="462" t="s">
        <v>117</v>
      </c>
      <c r="B147" s="501">
        <v>159.78212321874378</v>
      </c>
      <c r="C147" s="737" t="s">
        <v>1149</v>
      </c>
      <c r="D147" s="562"/>
      <c r="E147" s="740"/>
      <c r="F147" s="741"/>
      <c r="G147" s="502">
        <v>159.78212321874378</v>
      </c>
      <c r="H147" s="739" t="s">
        <v>1149</v>
      </c>
    </row>
    <row r="148" spans="1:8" ht="11.25" customHeight="1">
      <c r="A148" s="458" t="s">
        <v>118</v>
      </c>
      <c r="B148" s="501">
        <v>50</v>
      </c>
      <c r="C148" s="737" t="s">
        <v>1414</v>
      </c>
      <c r="D148" s="562">
        <v>50</v>
      </c>
      <c r="E148" s="740"/>
      <c r="F148" s="741"/>
      <c r="G148" s="502">
        <v>107.53692182555059</v>
      </c>
      <c r="H148" s="739" t="s">
        <v>1149</v>
      </c>
    </row>
    <row r="149" spans="1:8" ht="11.25" customHeight="1">
      <c r="A149" s="458" t="s">
        <v>119</v>
      </c>
      <c r="B149" s="501">
        <v>0.6</v>
      </c>
      <c r="C149" s="737" t="s">
        <v>1414</v>
      </c>
      <c r="D149" s="562">
        <v>0.6</v>
      </c>
      <c r="E149" s="740"/>
      <c r="F149" s="741"/>
      <c r="G149" s="502">
        <v>7.1779744304287913E-4</v>
      </c>
      <c r="H149" s="739" t="s">
        <v>1415</v>
      </c>
    </row>
    <row r="150" spans="1:8" ht="11.25" customHeight="1">
      <c r="A150" s="458" t="s">
        <v>120</v>
      </c>
      <c r="B150" s="501">
        <v>3.3315808860737541</v>
      </c>
      <c r="C150" s="737" t="s">
        <v>1149</v>
      </c>
      <c r="D150" s="562"/>
      <c r="E150" s="740"/>
      <c r="F150" s="741"/>
      <c r="G150" s="502">
        <v>3.3315808860737541</v>
      </c>
      <c r="H150" s="739" t="s">
        <v>1149</v>
      </c>
    </row>
    <row r="151" spans="1:8" ht="11.25" customHeight="1">
      <c r="A151" s="458" t="s">
        <v>602</v>
      </c>
      <c r="B151" s="501">
        <v>2.1542811625289486</v>
      </c>
      <c r="C151" s="737" t="s">
        <v>1413</v>
      </c>
      <c r="D151" s="562"/>
      <c r="E151" s="740"/>
      <c r="F151" s="741"/>
      <c r="G151" s="502">
        <v>2.1542811625289486</v>
      </c>
      <c r="H151" s="739" t="s">
        <v>1413</v>
      </c>
    </row>
    <row r="152" spans="1:8" ht="11.25" customHeight="1">
      <c r="A152" s="462" t="s">
        <v>939</v>
      </c>
      <c r="B152" s="501">
        <v>348.85609320878808</v>
      </c>
      <c r="C152" s="737" t="s">
        <v>1149</v>
      </c>
      <c r="D152" s="562"/>
      <c r="E152" s="740"/>
      <c r="F152" s="741"/>
      <c r="G152" s="502">
        <v>348.85609320878808</v>
      </c>
      <c r="H152" s="739" t="s">
        <v>1149</v>
      </c>
    </row>
    <row r="153" spans="1:8" ht="11.25" customHeight="1">
      <c r="A153" s="462" t="s">
        <v>603</v>
      </c>
      <c r="B153" s="501">
        <v>39.469382156875795</v>
      </c>
      <c r="C153" s="737" t="s">
        <v>1149</v>
      </c>
      <c r="D153" s="568"/>
      <c r="E153" s="740"/>
      <c r="F153" s="741"/>
      <c r="G153" s="502">
        <v>39.469382156875795</v>
      </c>
      <c r="H153" s="739" t="s">
        <v>1149</v>
      </c>
    </row>
    <row r="154" spans="1:8" ht="11.25" customHeight="1">
      <c r="A154" s="462" t="s">
        <v>605</v>
      </c>
      <c r="B154" s="501">
        <v>2.5352139902671289</v>
      </c>
      <c r="C154" s="737" t="s">
        <v>1413</v>
      </c>
      <c r="D154" s="562"/>
      <c r="E154" s="740"/>
      <c r="F154" s="741"/>
      <c r="G154" s="502">
        <v>2.5352139902671289</v>
      </c>
      <c r="H154" s="739" t="s">
        <v>1413</v>
      </c>
    </row>
    <row r="155" spans="1:8" ht="11.25" customHeight="1">
      <c r="A155" s="458" t="s">
        <v>481</v>
      </c>
      <c r="B155" s="501">
        <v>96.249320745069994</v>
      </c>
      <c r="C155" s="737" t="s">
        <v>1149</v>
      </c>
      <c r="D155" s="568"/>
      <c r="E155" s="501"/>
      <c r="F155" s="738"/>
      <c r="G155" s="502">
        <v>96.249320745069994</v>
      </c>
      <c r="H155" s="739" t="s">
        <v>1149</v>
      </c>
    </row>
    <row r="156" spans="1:8" ht="11.25" customHeight="1">
      <c r="A156" s="458" t="s">
        <v>482</v>
      </c>
      <c r="B156" s="501">
        <v>2</v>
      </c>
      <c r="C156" s="737" t="s">
        <v>1414</v>
      </c>
      <c r="D156" s="562">
        <v>2</v>
      </c>
      <c r="E156" s="501"/>
      <c r="F156" s="738"/>
      <c r="G156" s="502">
        <v>1.5106331020149884E-2</v>
      </c>
      <c r="H156" s="739" t="s">
        <v>1413</v>
      </c>
    </row>
    <row r="157" spans="1:8" ht="11.25" customHeight="1">
      <c r="A157" s="458" t="s">
        <v>483</v>
      </c>
      <c r="B157" s="501">
        <v>10000</v>
      </c>
      <c r="C157" s="737" t="s">
        <v>1414</v>
      </c>
      <c r="D157" s="562">
        <v>10000</v>
      </c>
      <c r="E157" s="501"/>
      <c r="F157" s="738"/>
      <c r="G157" s="502">
        <v>1138.8081141293562</v>
      </c>
      <c r="H157" s="739" t="s">
        <v>1149</v>
      </c>
    </row>
    <row r="158" spans="1:8" ht="11.25" customHeight="1" thickBot="1">
      <c r="A158" s="516" t="s">
        <v>484</v>
      </c>
      <c r="B158" s="627">
        <v>5987.048392076199</v>
      </c>
      <c r="C158" s="746" t="s">
        <v>1149</v>
      </c>
      <c r="D158" s="572"/>
      <c r="E158" s="627"/>
      <c r="F158" s="747"/>
      <c r="G158" s="509">
        <v>5987.048392076199</v>
      </c>
      <c r="H158" s="748" t="s">
        <v>1149</v>
      </c>
    </row>
    <row r="159" spans="1:8" ht="11.25" customHeight="1" thickTop="1">
      <c r="A159" s="474" t="s">
        <v>31</v>
      </c>
      <c r="H159" s="749"/>
    </row>
    <row r="160" spans="1:8" ht="11.25" customHeight="1">
      <c r="A160" s="479" t="s">
        <v>1046</v>
      </c>
      <c r="H160" s="749"/>
    </row>
    <row r="161" spans="1:8" ht="11.25" customHeight="1">
      <c r="A161" s="479" t="s">
        <v>671</v>
      </c>
      <c r="H161" s="749"/>
    </row>
    <row r="162" spans="1:8" ht="11.25" customHeight="1">
      <c r="A162" s="474" t="s">
        <v>488</v>
      </c>
      <c r="H162" s="749"/>
    </row>
    <row r="163" spans="1:8" ht="11.25" customHeight="1">
      <c r="A163" s="479" t="s">
        <v>55</v>
      </c>
      <c r="H163" s="749"/>
    </row>
    <row r="164" spans="1:8" ht="11.25" customHeight="1">
      <c r="A164" s="479" t="s">
        <v>397</v>
      </c>
      <c r="H164" s="749"/>
    </row>
    <row r="165" spans="1:8" ht="11.25" customHeight="1" thickBot="1">
      <c r="A165" s="479" t="s">
        <v>778</v>
      </c>
      <c r="H165" s="749"/>
    </row>
    <row r="166" spans="1:8" ht="11.25" customHeight="1" thickTop="1">
      <c r="A166" s="707"/>
      <c r="B166" s="472"/>
      <c r="C166" s="665"/>
      <c r="D166" s="472"/>
      <c r="E166" s="472"/>
      <c r="F166" s="750"/>
      <c r="G166" s="472"/>
      <c r="H166" s="665"/>
    </row>
  </sheetData>
  <sheetProtection algorithmName="SHA-512" hashValue="3ybraqn1EfczvyXW+jacuhMHdOsiwGMdGB7ORczgP0wqmtVBBdWj9nWk8MBxk1Ei4UWoryUzEGLkym8An+QeVQ==" saltValue="PZKje0bSaJilcB9Oykhohw==" spinCount="100000" sheet="1" objects="1" scenarios="1"/>
  <mergeCells count="1">
    <mergeCell ref="A1:H1"/>
  </mergeCells>
  <phoneticPr fontId="0" type="noConversion"/>
  <printOptions horizontalCentered="1"/>
  <pageMargins left="0.17" right="0.16" top="0.53" bottom="1" header="0.5" footer="0.5"/>
  <pageSetup scale="85" fitToHeight="4" orientation="landscape" r:id="rId1"/>
  <headerFooter alignWithMargins="0">
    <oddFooter>&amp;LHawai'i DOH
Spring 2024&amp;C&amp;8Page &amp;P of &amp;N&amp;R&amp;A</oddFooter>
  </headerFooter>
  <rowBreaks count="1" manualBreakCount="1">
    <brk id="155"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29"/>
    <pageSetUpPr fitToPage="1"/>
  </sheetPr>
  <dimension ref="A1:G166"/>
  <sheetViews>
    <sheetView zoomScaleNormal="100" workbookViewId="0">
      <pane ySplit="1815" topLeftCell="A5" activePane="bottomLeft"/>
      <selection activeCell="B7" sqref="B7"/>
      <selection pane="bottomLeft" activeCell="A5" sqref="A5"/>
    </sheetView>
  </sheetViews>
  <sheetFormatPr defaultColWidth="9.1328125" defaultRowHeight="10.15"/>
  <cols>
    <col min="1" max="1" width="40.73046875" style="1" customWidth="1"/>
    <col min="2" max="2" width="13.1328125" style="475" customWidth="1"/>
    <col min="3" max="3" width="20.73046875" style="610" customWidth="1"/>
    <col min="4" max="4" width="14.73046875" style="610" customWidth="1"/>
    <col min="5" max="6" width="14.73046875" style="481" customWidth="1"/>
    <col min="7" max="16384" width="9.1328125" style="1"/>
  </cols>
  <sheetData>
    <row r="1" spans="1:6" s="753" customFormat="1" ht="15">
      <c r="A1" s="751" t="s">
        <v>180</v>
      </c>
      <c r="B1" s="752"/>
      <c r="C1" s="6"/>
      <c r="D1" s="6"/>
      <c r="E1" s="752"/>
      <c r="F1" s="752"/>
    </row>
    <row r="2" spans="1:6" s="753" customFormat="1" ht="13.9">
      <c r="A2" s="693" t="s">
        <v>30</v>
      </c>
      <c r="B2" s="754"/>
      <c r="C2" s="755"/>
      <c r="D2" s="755"/>
      <c r="E2" s="754"/>
      <c r="F2" s="754"/>
    </row>
    <row r="3" spans="1:6" s="510" customFormat="1" ht="10.5" thickBot="1">
      <c r="A3" s="694"/>
      <c r="B3" s="595"/>
      <c r="C3" s="756"/>
      <c r="D3" s="756"/>
      <c r="E3" s="530"/>
      <c r="F3" s="530"/>
    </row>
    <row r="4" spans="1:6" s="510" customFormat="1" ht="31.15" thickTop="1" thickBot="1">
      <c r="A4" s="757" t="s">
        <v>232</v>
      </c>
      <c r="B4" s="697" t="s">
        <v>786</v>
      </c>
      <c r="C4" s="758" t="s">
        <v>485</v>
      </c>
      <c r="D4" s="699" t="s">
        <v>286</v>
      </c>
      <c r="E4" s="699" t="s">
        <v>327</v>
      </c>
      <c r="F4" s="759" t="s">
        <v>387</v>
      </c>
    </row>
    <row r="5" spans="1:6" s="510" customFormat="1">
      <c r="A5" s="454" t="s">
        <v>548</v>
      </c>
      <c r="B5" s="497">
        <v>440.71710632991795</v>
      </c>
      <c r="C5" s="760" t="s">
        <v>1149</v>
      </c>
      <c r="D5" s="718" t="s">
        <v>954</v>
      </c>
      <c r="E5" s="718" t="s">
        <v>954</v>
      </c>
      <c r="F5" s="457">
        <v>440.71710632991795</v>
      </c>
    </row>
    <row r="6" spans="1:6" s="510" customFormat="1">
      <c r="A6" s="458" t="s">
        <v>549</v>
      </c>
      <c r="B6" s="501">
        <v>300.42394562926046</v>
      </c>
      <c r="C6" s="761" t="s">
        <v>1149</v>
      </c>
      <c r="D6" s="720" t="s">
        <v>954</v>
      </c>
      <c r="E6" s="720" t="s">
        <v>954</v>
      </c>
      <c r="F6" s="461">
        <v>300.42394562926046</v>
      </c>
    </row>
    <row r="7" spans="1:6" s="510" customFormat="1">
      <c r="A7" s="458" t="s">
        <v>550</v>
      </c>
      <c r="B7" s="501">
        <v>6044.7756876580943</v>
      </c>
      <c r="C7" s="761" t="s">
        <v>1149</v>
      </c>
      <c r="D7" s="720" t="s">
        <v>954</v>
      </c>
      <c r="E7" s="720" t="s">
        <v>954</v>
      </c>
      <c r="F7" s="461">
        <v>6044.7756876580943</v>
      </c>
    </row>
    <row r="8" spans="1:6" s="510" customFormat="1">
      <c r="A8" s="458" t="s">
        <v>551</v>
      </c>
      <c r="B8" s="501">
        <v>1.2053821078383794E-3</v>
      </c>
      <c r="C8" s="761" t="s">
        <v>1413</v>
      </c>
      <c r="D8" s="720">
        <v>1.2053821078383794E-3</v>
      </c>
      <c r="E8" s="720" t="s">
        <v>954</v>
      </c>
      <c r="F8" s="461">
        <v>0.11419592815173832</v>
      </c>
    </row>
    <row r="9" spans="1:6" s="510" customFormat="1">
      <c r="A9" s="458" t="s">
        <v>161</v>
      </c>
      <c r="B9" s="501">
        <v>152.33581908424497</v>
      </c>
      <c r="C9" s="761" t="s">
        <v>1149</v>
      </c>
      <c r="D9" s="720" t="s">
        <v>954</v>
      </c>
      <c r="E9" s="720" t="s">
        <v>954</v>
      </c>
      <c r="F9" s="461">
        <v>152.33581908424497</v>
      </c>
    </row>
    <row r="10" spans="1:6" s="510" customFormat="1">
      <c r="A10" s="462" t="s">
        <v>162</v>
      </c>
      <c r="B10" s="501">
        <v>1.9300404753783804</v>
      </c>
      <c r="C10" s="761" t="s">
        <v>1149</v>
      </c>
      <c r="D10" s="720" t="s">
        <v>954</v>
      </c>
      <c r="E10" s="720" t="s">
        <v>954</v>
      </c>
      <c r="F10" s="461">
        <v>1.9300404753783804</v>
      </c>
    </row>
    <row r="11" spans="1:6" s="510" customFormat="1">
      <c r="A11" s="462" t="s">
        <v>94</v>
      </c>
      <c r="B11" s="501">
        <v>1.9300404753783804</v>
      </c>
      <c r="C11" s="761" t="s">
        <v>1149</v>
      </c>
      <c r="D11" s="720" t="s">
        <v>954</v>
      </c>
      <c r="E11" s="720" t="s">
        <v>954</v>
      </c>
      <c r="F11" s="461">
        <v>1.9300404753783804</v>
      </c>
    </row>
    <row r="12" spans="1:6" s="510" customFormat="1">
      <c r="A12" s="458" t="s">
        <v>552</v>
      </c>
      <c r="B12" s="501">
        <v>1555.5081429297898</v>
      </c>
      <c r="C12" s="761" t="s">
        <v>1149</v>
      </c>
      <c r="D12" s="720" t="s">
        <v>954</v>
      </c>
      <c r="E12" s="720" t="s">
        <v>954</v>
      </c>
      <c r="F12" s="461">
        <v>1555.5081429297898</v>
      </c>
    </row>
    <row r="13" spans="1:6" s="510" customFormat="1">
      <c r="A13" s="458" t="s">
        <v>553</v>
      </c>
      <c r="B13" s="501">
        <v>8.007820102956769</v>
      </c>
      <c r="C13" s="761" t="s">
        <v>1149</v>
      </c>
      <c r="D13" s="720" t="s">
        <v>954</v>
      </c>
      <c r="E13" s="720" t="s">
        <v>954</v>
      </c>
      <c r="F13" s="461">
        <v>8.007820102956769</v>
      </c>
    </row>
    <row r="14" spans="1:6" s="510" customFormat="1">
      <c r="A14" s="458" t="s">
        <v>686</v>
      </c>
      <c r="B14" s="501">
        <v>1.9908424695991151E-2</v>
      </c>
      <c r="C14" s="761" t="s">
        <v>1413</v>
      </c>
      <c r="D14" s="720">
        <v>1.9908424695991151E-2</v>
      </c>
      <c r="E14" s="720" t="s">
        <v>954</v>
      </c>
      <c r="F14" s="461">
        <v>5.9645052392400171</v>
      </c>
    </row>
    <row r="15" spans="1:6" s="510" customFormat="1">
      <c r="A15" s="458" t="s">
        <v>95</v>
      </c>
      <c r="B15" s="501">
        <v>0.30161362695010618</v>
      </c>
      <c r="C15" s="761" t="s">
        <v>1413</v>
      </c>
      <c r="D15" s="720">
        <v>0.30161362695010618</v>
      </c>
      <c r="E15" s="720" t="s">
        <v>954</v>
      </c>
      <c r="F15" s="461">
        <v>54.048227814535203</v>
      </c>
    </row>
    <row r="16" spans="1:6" s="510" customFormat="1">
      <c r="A16" s="458" t="s">
        <v>687</v>
      </c>
      <c r="B16" s="501">
        <v>4007.3335396080502</v>
      </c>
      <c r="C16" s="761" t="s">
        <v>1149</v>
      </c>
      <c r="D16" s="720" t="s">
        <v>954</v>
      </c>
      <c r="E16" s="720" t="s">
        <v>954</v>
      </c>
      <c r="F16" s="461">
        <v>4007.3335396080502</v>
      </c>
    </row>
    <row r="17" spans="1:6" s="510" customFormat="1">
      <c r="A17" s="458" t="s">
        <v>1156</v>
      </c>
      <c r="B17" s="501">
        <v>970.75939529186087</v>
      </c>
      <c r="C17" s="761" t="s">
        <v>1149</v>
      </c>
      <c r="D17" s="720" t="s">
        <v>954</v>
      </c>
      <c r="E17" s="720" t="s">
        <v>954</v>
      </c>
      <c r="F17" s="461">
        <v>970.75939529186087</v>
      </c>
    </row>
    <row r="18" spans="1:6" s="510" customFormat="1">
      <c r="A18" s="458" t="s">
        <v>688</v>
      </c>
      <c r="B18" s="501">
        <v>0.45521692967037292</v>
      </c>
      <c r="C18" s="761" t="s">
        <v>1413</v>
      </c>
      <c r="D18" s="720">
        <v>0.45521692967037292</v>
      </c>
      <c r="E18" s="720" t="s">
        <v>954</v>
      </c>
      <c r="F18" s="461">
        <v>59.119574638410938</v>
      </c>
    </row>
    <row r="19" spans="1:6" s="510" customFormat="1">
      <c r="A19" s="458" t="s">
        <v>689</v>
      </c>
      <c r="B19" s="501">
        <v>5.1725078228107436E-2</v>
      </c>
      <c r="C19" s="761" t="s">
        <v>1413</v>
      </c>
      <c r="D19" s="720">
        <v>5.1725078228107436E-2</v>
      </c>
      <c r="E19" s="720">
        <v>0.21361554337204772</v>
      </c>
      <c r="F19" s="461" t="s">
        <v>954</v>
      </c>
    </row>
    <row r="20" spans="1:6" s="510" customFormat="1">
      <c r="A20" s="458" t="s">
        <v>690</v>
      </c>
      <c r="B20" s="501">
        <v>3.5084755370133574E-3</v>
      </c>
      <c r="C20" s="761" t="s">
        <v>1413</v>
      </c>
      <c r="D20" s="720">
        <v>3.5084755370133574E-3</v>
      </c>
      <c r="E20" s="720">
        <v>2.1531168928183877E-2</v>
      </c>
      <c r="F20" s="461">
        <v>0.29347621757714876</v>
      </c>
    </row>
    <row r="21" spans="1:6" s="510" customFormat="1">
      <c r="A21" s="458" t="s">
        <v>691</v>
      </c>
      <c r="B21" s="501">
        <v>5.8130821430763209E-2</v>
      </c>
      <c r="C21" s="761" t="s">
        <v>1413</v>
      </c>
      <c r="D21" s="720">
        <v>5.8130821430763209E-2</v>
      </c>
      <c r="E21" s="720">
        <v>0.21374008720978085</v>
      </c>
      <c r="F21" s="461" t="s">
        <v>954</v>
      </c>
    </row>
    <row r="22" spans="1:6" s="510" customFormat="1">
      <c r="A22" s="458" t="s">
        <v>692</v>
      </c>
      <c r="B22" s="501">
        <v>64.666936648154106</v>
      </c>
      <c r="C22" s="761" t="s">
        <v>1149</v>
      </c>
      <c r="D22" s="720" t="s">
        <v>954</v>
      </c>
      <c r="E22" s="720" t="s">
        <v>954</v>
      </c>
      <c r="F22" s="461">
        <v>64.666936648154106</v>
      </c>
    </row>
    <row r="23" spans="1:6" s="510" customFormat="1">
      <c r="A23" s="458" t="s">
        <v>693</v>
      </c>
      <c r="B23" s="501">
        <v>0.36149950113611862</v>
      </c>
      <c r="C23" s="761" t="s">
        <v>1413</v>
      </c>
      <c r="D23" s="720">
        <v>0.36149950113611862</v>
      </c>
      <c r="E23" s="720">
        <v>0.96143095751747443</v>
      </c>
      <c r="F23" s="461" t="s">
        <v>954</v>
      </c>
    </row>
    <row r="24" spans="1:6" s="510" customFormat="1">
      <c r="A24" s="458" t="s">
        <v>126</v>
      </c>
      <c r="B24" s="501">
        <v>39.065601342045483</v>
      </c>
      <c r="C24" s="761" t="s">
        <v>1149</v>
      </c>
      <c r="D24" s="720" t="s">
        <v>954</v>
      </c>
      <c r="E24" s="720" t="s">
        <v>954</v>
      </c>
      <c r="F24" s="461">
        <v>39.065601342045483</v>
      </c>
    </row>
    <row r="25" spans="1:6" s="510" customFormat="1">
      <c r="A25" s="458" t="s">
        <v>233</v>
      </c>
      <c r="B25" s="501">
        <v>3.9111581830845297</v>
      </c>
      <c r="C25" s="761" t="s">
        <v>1413</v>
      </c>
      <c r="D25" s="720">
        <v>3.9111581830845297</v>
      </c>
      <c r="E25" s="720" t="s">
        <v>954</v>
      </c>
      <c r="F25" s="461">
        <v>4.7619809806012956</v>
      </c>
    </row>
    <row r="26" spans="1:6" s="510" customFormat="1">
      <c r="A26" s="458" t="s">
        <v>127</v>
      </c>
      <c r="B26" s="501">
        <v>1.3650810195927489E-2</v>
      </c>
      <c r="C26" s="761" t="s">
        <v>1413</v>
      </c>
      <c r="D26" s="720">
        <v>1.3650810195927489E-2</v>
      </c>
      <c r="E26" s="720" t="s">
        <v>954</v>
      </c>
      <c r="F26" s="461" t="s">
        <v>954</v>
      </c>
    </row>
    <row r="27" spans="1:6" s="510" customFormat="1">
      <c r="A27" s="503" t="s">
        <v>1103</v>
      </c>
      <c r="B27" s="501">
        <v>0.35711381953846194</v>
      </c>
      <c r="C27" s="761" t="s">
        <v>1413</v>
      </c>
      <c r="D27" s="720">
        <v>0.35711381953846194</v>
      </c>
      <c r="E27" s="720" t="s">
        <v>954</v>
      </c>
      <c r="F27" s="461">
        <v>499.96058699291035</v>
      </c>
    </row>
    <row r="28" spans="1:6" s="510" customFormat="1">
      <c r="A28" s="458" t="s">
        <v>128</v>
      </c>
      <c r="B28" s="501">
        <v>6.7088151292518841E-2</v>
      </c>
      <c r="C28" s="761" t="s">
        <v>1413</v>
      </c>
      <c r="D28" s="720">
        <v>6.7088151292518841E-2</v>
      </c>
      <c r="E28" s="720" t="s">
        <v>954</v>
      </c>
      <c r="F28" s="461">
        <v>5.2527427760229015</v>
      </c>
    </row>
    <row r="29" spans="1:6" s="510" customFormat="1">
      <c r="A29" s="458" t="s">
        <v>129</v>
      </c>
      <c r="B29" s="501">
        <v>982.67243959237351</v>
      </c>
      <c r="C29" s="761" t="s">
        <v>1149</v>
      </c>
      <c r="D29" s="720" t="s">
        <v>954</v>
      </c>
      <c r="E29" s="720" t="s">
        <v>954</v>
      </c>
      <c r="F29" s="461">
        <v>982.67243959237351</v>
      </c>
    </row>
    <row r="30" spans="1:6" s="510" customFormat="1">
      <c r="A30" s="458" t="s">
        <v>130</v>
      </c>
      <c r="B30" s="501">
        <v>0.13443335759216019</v>
      </c>
      <c r="C30" s="761" t="s">
        <v>1413</v>
      </c>
      <c r="D30" s="720">
        <v>0.13443335759216019</v>
      </c>
      <c r="E30" s="720" t="s">
        <v>954</v>
      </c>
      <c r="F30" s="461">
        <v>103.98466268889806</v>
      </c>
    </row>
    <row r="31" spans="1:6" s="510" customFormat="1">
      <c r="A31" s="458" t="s">
        <v>131</v>
      </c>
      <c r="B31" s="501">
        <v>9.2159667452220564</v>
      </c>
      <c r="C31" s="761" t="s">
        <v>1413</v>
      </c>
      <c r="D31" s="720">
        <v>9.2159667452220564</v>
      </c>
      <c r="E31" s="720" t="s">
        <v>954</v>
      </c>
      <c r="F31" s="461">
        <v>376.81565944655324</v>
      </c>
    </row>
    <row r="32" spans="1:6" s="510" customFormat="1">
      <c r="A32" s="458" t="s">
        <v>132</v>
      </c>
      <c r="B32" s="501">
        <v>18.72653049057315</v>
      </c>
      <c r="C32" s="761" t="s">
        <v>1149</v>
      </c>
      <c r="D32" s="720" t="s">
        <v>954</v>
      </c>
      <c r="E32" s="720" t="s">
        <v>954</v>
      </c>
      <c r="F32" s="461">
        <v>18.72653049057315</v>
      </c>
    </row>
    <row r="33" spans="1:7" s="510" customFormat="1">
      <c r="A33" s="458" t="s">
        <v>133</v>
      </c>
      <c r="B33" s="501">
        <v>2.0043824244272503</v>
      </c>
      <c r="C33" s="761" t="s">
        <v>1149</v>
      </c>
      <c r="D33" s="720" t="s">
        <v>954</v>
      </c>
      <c r="E33" s="720" t="s">
        <v>954</v>
      </c>
      <c r="F33" s="461">
        <v>2.0043824244272503</v>
      </c>
    </row>
    <row r="34" spans="1:7" s="510" customFormat="1">
      <c r="A34" s="458" t="s">
        <v>134</v>
      </c>
      <c r="B34" s="501">
        <v>0.45499998816970083</v>
      </c>
      <c r="C34" s="761" t="s">
        <v>1413</v>
      </c>
      <c r="D34" s="720">
        <v>0.45499998816970083</v>
      </c>
      <c r="E34" s="720" t="s">
        <v>954</v>
      </c>
      <c r="F34" s="461">
        <v>61.539684110027366</v>
      </c>
    </row>
    <row r="35" spans="1:7" s="510" customFormat="1">
      <c r="A35" s="458" t="s">
        <v>614</v>
      </c>
      <c r="B35" s="501">
        <v>2.2753596158050757E-2</v>
      </c>
      <c r="C35" s="761" t="s">
        <v>1413</v>
      </c>
      <c r="D35" s="720">
        <v>2.2753596158050757E-2</v>
      </c>
      <c r="E35" s="720" t="s">
        <v>954</v>
      </c>
      <c r="F35" s="461">
        <v>1.1047494183985558</v>
      </c>
    </row>
    <row r="36" spans="1:7" s="510" customFormat="1">
      <c r="A36" s="458" t="s">
        <v>135</v>
      </c>
      <c r="B36" s="501">
        <v>0.36542309808186513</v>
      </c>
      <c r="C36" s="761" t="s">
        <v>1413</v>
      </c>
      <c r="D36" s="720">
        <v>0.36542309808186513</v>
      </c>
      <c r="E36" s="720" t="s">
        <v>954</v>
      </c>
      <c r="F36" s="461">
        <v>9.4536930252774347</v>
      </c>
    </row>
    <row r="37" spans="1:7" s="510" customFormat="1">
      <c r="A37" s="458" t="s">
        <v>136</v>
      </c>
      <c r="B37" s="501">
        <v>201.93054743481866</v>
      </c>
      <c r="C37" s="761" t="s">
        <v>1149</v>
      </c>
      <c r="D37" s="720" t="s">
        <v>954</v>
      </c>
      <c r="E37" s="720" t="s">
        <v>954</v>
      </c>
      <c r="F37" s="461">
        <v>201.93054743481866</v>
      </c>
    </row>
    <row r="38" spans="1:7" s="510" customFormat="1">
      <c r="A38" s="458" t="s">
        <v>781</v>
      </c>
      <c r="B38" s="501">
        <v>47673.469387755096</v>
      </c>
      <c r="C38" s="761" t="s">
        <v>1149</v>
      </c>
      <c r="D38" s="720" t="s">
        <v>954</v>
      </c>
      <c r="E38" s="720" t="s">
        <v>954</v>
      </c>
      <c r="F38" s="461">
        <v>47673.469387755096</v>
      </c>
    </row>
    <row r="39" spans="1:7" ht="11.25" customHeight="1">
      <c r="A39" s="464" t="s">
        <v>137</v>
      </c>
      <c r="B39" s="501">
        <v>0.22084330606823213</v>
      </c>
      <c r="C39" s="761" t="s">
        <v>1413</v>
      </c>
      <c r="D39" s="720">
        <v>0.22084330606823213</v>
      </c>
      <c r="E39" s="720" t="s">
        <v>954</v>
      </c>
      <c r="F39" s="461">
        <v>160.31375789574849</v>
      </c>
      <c r="G39" s="481"/>
    </row>
    <row r="40" spans="1:7" ht="11.25" customHeight="1">
      <c r="A40" s="458" t="s">
        <v>782</v>
      </c>
      <c r="B40" s="501">
        <v>1072.6530612244896</v>
      </c>
      <c r="C40" s="761" t="s">
        <v>1149</v>
      </c>
      <c r="D40" s="720" t="s">
        <v>954</v>
      </c>
      <c r="E40" s="720" t="s">
        <v>954</v>
      </c>
      <c r="F40" s="461">
        <v>1072.6530612244896</v>
      </c>
      <c r="G40" s="481"/>
    </row>
    <row r="41" spans="1:7" ht="11.25" customHeight="1">
      <c r="A41" s="458" t="s">
        <v>138</v>
      </c>
      <c r="B41" s="501">
        <v>63.498535425025516</v>
      </c>
      <c r="C41" s="761" t="s">
        <v>1149</v>
      </c>
      <c r="D41" s="720" t="s">
        <v>954</v>
      </c>
      <c r="E41" s="720" t="s">
        <v>954</v>
      </c>
      <c r="F41" s="461">
        <v>63.498535425025516</v>
      </c>
      <c r="G41" s="481"/>
    </row>
    <row r="42" spans="1:7" ht="11.25" customHeight="1">
      <c r="A42" s="458" t="s">
        <v>612</v>
      </c>
      <c r="B42" s="501" t="s">
        <v>954</v>
      </c>
      <c r="C42" s="761" t="s">
        <v>796</v>
      </c>
      <c r="D42" s="720" t="s">
        <v>954</v>
      </c>
      <c r="E42" s="720" t="s">
        <v>954</v>
      </c>
      <c r="F42" s="461" t="s">
        <v>954</v>
      </c>
      <c r="G42" s="481"/>
    </row>
    <row r="43" spans="1:7" ht="11.25" customHeight="1">
      <c r="A43" s="458" t="s">
        <v>779</v>
      </c>
      <c r="B43" s="501" t="s">
        <v>954</v>
      </c>
      <c r="C43" s="761" t="s">
        <v>954</v>
      </c>
      <c r="D43" s="720" t="s">
        <v>954</v>
      </c>
      <c r="E43" s="720" t="s">
        <v>954</v>
      </c>
      <c r="F43" s="461" t="s">
        <v>954</v>
      </c>
      <c r="G43" s="481"/>
    </row>
    <row r="44" spans="1:7" ht="11.25" customHeight="1">
      <c r="A44" s="458" t="s">
        <v>780</v>
      </c>
      <c r="B44" s="501">
        <v>0.19900033728897804</v>
      </c>
      <c r="C44" s="761" t="s">
        <v>1413</v>
      </c>
      <c r="D44" s="720">
        <v>0.19900033728897804</v>
      </c>
      <c r="E44" s="720">
        <v>4.3067108775912635</v>
      </c>
      <c r="F44" s="461">
        <v>57.856994511162014</v>
      </c>
      <c r="G44" s="481"/>
    </row>
    <row r="45" spans="1:7" ht="11.25" customHeight="1">
      <c r="A45" s="458" t="s">
        <v>139</v>
      </c>
      <c r="B45" s="501">
        <v>0.24436179506530475</v>
      </c>
      <c r="C45" s="761" t="s">
        <v>1415</v>
      </c>
      <c r="D45" s="720">
        <v>4.8142415787301571</v>
      </c>
      <c r="E45" s="720">
        <v>0.24436179506530475</v>
      </c>
      <c r="F45" s="461" t="s">
        <v>954</v>
      </c>
      <c r="G45" s="481"/>
    </row>
    <row r="46" spans="1:7" ht="11.25" customHeight="1">
      <c r="A46" s="458" t="s">
        <v>140</v>
      </c>
      <c r="B46" s="501">
        <v>2.4124513715922085</v>
      </c>
      <c r="C46" s="761" t="s">
        <v>1149</v>
      </c>
      <c r="D46" s="720" t="s">
        <v>954</v>
      </c>
      <c r="E46" s="720" t="s">
        <v>954</v>
      </c>
      <c r="F46" s="461">
        <v>2.4124513715922085</v>
      </c>
      <c r="G46" s="481"/>
    </row>
    <row r="47" spans="1:7" ht="11.25" customHeight="1">
      <c r="A47" s="458" t="s">
        <v>141</v>
      </c>
      <c r="B47" s="501">
        <v>795.75353950115971</v>
      </c>
      <c r="C47" s="761" t="s">
        <v>1149</v>
      </c>
      <c r="D47" s="720" t="s">
        <v>954</v>
      </c>
      <c r="E47" s="720" t="s">
        <v>954</v>
      </c>
      <c r="F47" s="461">
        <v>795.75353950115971</v>
      </c>
      <c r="G47" s="481"/>
    </row>
    <row r="48" spans="1:7" ht="11.25" customHeight="1">
      <c r="A48" s="458" t="s">
        <v>142</v>
      </c>
      <c r="B48" s="501">
        <v>2.6677385995445633</v>
      </c>
      <c r="C48" s="761" t="s">
        <v>1149</v>
      </c>
      <c r="D48" s="720" t="s">
        <v>954</v>
      </c>
      <c r="E48" s="720" t="s">
        <v>954</v>
      </c>
      <c r="F48" s="461">
        <v>2.6677385995445633</v>
      </c>
      <c r="G48" s="481"/>
    </row>
    <row r="49" spans="1:7" ht="11.25" customHeight="1">
      <c r="A49" s="462" t="s">
        <v>96</v>
      </c>
      <c r="B49" s="501">
        <v>0.96590800338662852</v>
      </c>
      <c r="C49" s="761" t="s">
        <v>1413</v>
      </c>
      <c r="D49" s="720">
        <v>0.96590800338662852</v>
      </c>
      <c r="E49" s="720" t="s">
        <v>954</v>
      </c>
      <c r="F49" s="461">
        <v>79.617567342209284</v>
      </c>
      <c r="G49" s="481"/>
    </row>
    <row r="50" spans="1:7" ht="11.25" customHeight="1">
      <c r="A50" s="458" t="s">
        <v>97</v>
      </c>
      <c r="B50" s="501">
        <v>595.09407017315073</v>
      </c>
      <c r="C50" s="761" t="s">
        <v>1149</v>
      </c>
      <c r="D50" s="720" t="s">
        <v>954</v>
      </c>
      <c r="E50" s="720" t="s">
        <v>954</v>
      </c>
      <c r="F50" s="461">
        <v>595.09407017315073</v>
      </c>
      <c r="G50" s="481"/>
    </row>
    <row r="51" spans="1:7" ht="11.25" customHeight="1">
      <c r="A51" s="458" t="s">
        <v>143</v>
      </c>
      <c r="B51" s="501">
        <v>4.814241578730157E-3</v>
      </c>
      <c r="C51" s="761" t="s">
        <v>1413</v>
      </c>
      <c r="D51" s="720">
        <v>4.814241578730157E-3</v>
      </c>
      <c r="E51" s="720">
        <v>2.153204736473124E-2</v>
      </c>
      <c r="F51" s="461" t="s">
        <v>954</v>
      </c>
      <c r="G51" s="481"/>
    </row>
    <row r="52" spans="1:7" ht="11.25" customHeight="1">
      <c r="A52" s="458" t="s">
        <v>381</v>
      </c>
      <c r="B52" s="501">
        <v>3.3377225978685189E-4</v>
      </c>
      <c r="C52" s="761" t="s">
        <v>1415</v>
      </c>
      <c r="D52" s="720">
        <v>9.2537008953467981E-4</v>
      </c>
      <c r="E52" s="720">
        <v>3.3377225978685189E-4</v>
      </c>
      <c r="F52" s="461">
        <v>1.4065305837383495</v>
      </c>
      <c r="G52" s="481"/>
    </row>
    <row r="53" spans="1:7" ht="11.25" customHeight="1">
      <c r="A53" s="458" t="s">
        <v>144</v>
      </c>
      <c r="B53" s="501">
        <v>0.87111199475121337</v>
      </c>
      <c r="C53" s="761" t="s">
        <v>1413</v>
      </c>
      <c r="D53" s="720">
        <v>0.87111199475121337</v>
      </c>
      <c r="E53" s="720" t="s">
        <v>954</v>
      </c>
      <c r="F53" s="461">
        <v>260.40759404949767</v>
      </c>
      <c r="G53" s="481"/>
    </row>
    <row r="54" spans="1:7" ht="11.25" customHeight="1">
      <c r="A54" s="458" t="s">
        <v>487</v>
      </c>
      <c r="B54" s="501">
        <v>7.4670710534466139E-3</v>
      </c>
      <c r="C54" s="761" t="s">
        <v>1413</v>
      </c>
      <c r="D54" s="720">
        <v>7.4670710534466139E-3</v>
      </c>
      <c r="E54" s="720" t="s">
        <v>954</v>
      </c>
      <c r="F54" s="461">
        <v>66.0457484938009</v>
      </c>
      <c r="G54" s="481"/>
    </row>
    <row r="55" spans="1:7" ht="11.25" customHeight="1">
      <c r="A55" s="458" t="s">
        <v>145</v>
      </c>
      <c r="B55" s="501">
        <v>776.12864506736355</v>
      </c>
      <c r="C55" s="761" t="s">
        <v>1149</v>
      </c>
      <c r="D55" s="720" t="s">
        <v>954</v>
      </c>
      <c r="E55" s="720" t="s">
        <v>954</v>
      </c>
      <c r="F55" s="461">
        <v>776.12864506736355</v>
      </c>
      <c r="G55" s="481"/>
    </row>
    <row r="56" spans="1:7" ht="11.25" customHeight="1">
      <c r="A56" s="458" t="s">
        <v>225</v>
      </c>
      <c r="B56" s="501">
        <v>302.48236483542229</v>
      </c>
      <c r="C56" s="761" t="s">
        <v>1149</v>
      </c>
      <c r="D56" s="720" t="s">
        <v>954</v>
      </c>
      <c r="E56" s="720" t="s">
        <v>954</v>
      </c>
      <c r="F56" s="461">
        <v>302.48236483542229</v>
      </c>
      <c r="G56" s="481"/>
    </row>
    <row r="57" spans="1:7" ht="11.25" customHeight="1">
      <c r="A57" s="458" t="s">
        <v>226</v>
      </c>
      <c r="B57" s="501">
        <v>0.48224108753452471</v>
      </c>
      <c r="C57" s="761" t="s">
        <v>1413</v>
      </c>
      <c r="D57" s="720">
        <v>0.48224108753452471</v>
      </c>
      <c r="E57" s="720" t="s">
        <v>954</v>
      </c>
      <c r="F57" s="461">
        <v>802.17723290827121</v>
      </c>
      <c r="G57" s="481"/>
    </row>
    <row r="58" spans="1:7" ht="11.25" customHeight="1">
      <c r="A58" s="458" t="s">
        <v>227</v>
      </c>
      <c r="B58" s="501">
        <v>0.12521244906182924</v>
      </c>
      <c r="C58" s="761" t="s">
        <v>1413</v>
      </c>
      <c r="D58" s="720">
        <v>0.12521244906182924</v>
      </c>
      <c r="E58" s="720" t="s">
        <v>954</v>
      </c>
      <c r="F58" s="461" t="s">
        <v>954</v>
      </c>
      <c r="G58" s="481"/>
    </row>
    <row r="59" spans="1:7" ht="11.25" customHeight="1">
      <c r="A59" s="458" t="s">
        <v>361</v>
      </c>
      <c r="B59" s="501">
        <v>2.5860506035294707E-2</v>
      </c>
      <c r="C59" s="761" t="s">
        <v>1413</v>
      </c>
      <c r="D59" s="720">
        <v>2.5860506035294707E-2</v>
      </c>
      <c r="E59" s="720" t="s">
        <v>954</v>
      </c>
      <c r="F59" s="461">
        <v>0.86266789045599013</v>
      </c>
      <c r="G59" s="481"/>
    </row>
    <row r="60" spans="1:7" ht="11.25" customHeight="1">
      <c r="A60" s="458" t="s">
        <v>362</v>
      </c>
      <c r="B60" s="501">
        <v>8.8953098238132352E-3</v>
      </c>
      <c r="C60" s="761" t="s">
        <v>1413</v>
      </c>
      <c r="D60" s="720">
        <v>8.8953098238132352E-3</v>
      </c>
      <c r="E60" s="720" t="s">
        <v>954</v>
      </c>
      <c r="F60" s="461">
        <v>0.4218696369413551</v>
      </c>
      <c r="G60" s="481"/>
    </row>
    <row r="61" spans="1:7" ht="11.25" customHeight="1">
      <c r="A61" s="458" t="s">
        <v>363</v>
      </c>
      <c r="B61" s="501">
        <v>6.177825520156369E-3</v>
      </c>
      <c r="C61" s="761" t="s">
        <v>1413</v>
      </c>
      <c r="D61" s="720">
        <v>6.177825520156369E-3</v>
      </c>
      <c r="E61" s="720" t="s">
        <v>954</v>
      </c>
      <c r="F61" s="461">
        <v>0.29329310047789614</v>
      </c>
      <c r="G61" s="481"/>
    </row>
    <row r="62" spans="1:7" ht="11.25" customHeight="1">
      <c r="A62" s="458" t="s">
        <v>234</v>
      </c>
      <c r="B62" s="501">
        <v>2.7505849956546897</v>
      </c>
      <c r="C62" s="761" t="s">
        <v>1413</v>
      </c>
      <c r="D62" s="720">
        <v>2.7505849956546897</v>
      </c>
      <c r="E62" s="720" t="s">
        <v>954</v>
      </c>
      <c r="F62" s="461">
        <v>2588.6474609391839</v>
      </c>
      <c r="G62" s="481"/>
    </row>
    <row r="63" spans="1:7" ht="11.25" customHeight="1">
      <c r="A63" s="458" t="s">
        <v>235</v>
      </c>
      <c r="B63" s="501">
        <v>0.1708682906017138</v>
      </c>
      <c r="C63" s="761" t="s">
        <v>1413</v>
      </c>
      <c r="D63" s="720">
        <v>0.1708682906017138</v>
      </c>
      <c r="E63" s="720" t="s">
        <v>954</v>
      </c>
      <c r="F63" s="461">
        <v>48.421533392099562</v>
      </c>
      <c r="G63" s="481"/>
    </row>
    <row r="64" spans="1:7" ht="11.25" customHeight="1">
      <c r="A64" s="458" t="s">
        <v>294</v>
      </c>
      <c r="B64" s="501">
        <v>651.90140474035911</v>
      </c>
      <c r="C64" s="761" t="s">
        <v>1149</v>
      </c>
      <c r="D64" s="720" t="s">
        <v>954</v>
      </c>
      <c r="E64" s="720" t="s">
        <v>954</v>
      </c>
      <c r="F64" s="461">
        <v>651.90140474035911</v>
      </c>
      <c r="G64" s="481"/>
    </row>
    <row r="65" spans="1:7" ht="11.25" customHeight="1">
      <c r="A65" s="458" t="s">
        <v>295</v>
      </c>
      <c r="B65" s="501">
        <v>33.575460399443386</v>
      </c>
      <c r="C65" s="761" t="s">
        <v>1149</v>
      </c>
      <c r="D65" s="720" t="s">
        <v>954</v>
      </c>
      <c r="E65" s="720" t="s">
        <v>954</v>
      </c>
      <c r="F65" s="461">
        <v>33.575460399443386</v>
      </c>
      <c r="G65" s="481"/>
    </row>
    <row r="66" spans="1:7" ht="11.25" customHeight="1">
      <c r="A66" s="458" t="s">
        <v>228</v>
      </c>
      <c r="B66" s="501">
        <v>205.4988121313321</v>
      </c>
      <c r="C66" s="761" t="s">
        <v>1149</v>
      </c>
      <c r="D66" s="720" t="s">
        <v>954</v>
      </c>
      <c r="E66" s="720" t="s">
        <v>954</v>
      </c>
      <c r="F66" s="461">
        <v>205.4988121313321</v>
      </c>
      <c r="G66" s="481"/>
    </row>
    <row r="67" spans="1:7" ht="11.25" customHeight="1">
      <c r="A67" s="458" t="s">
        <v>942</v>
      </c>
      <c r="B67" s="501">
        <v>45.691503200709541</v>
      </c>
      <c r="C67" s="761" t="s">
        <v>1149</v>
      </c>
      <c r="D67" s="720" t="s">
        <v>954</v>
      </c>
      <c r="E67" s="720" t="s">
        <v>954</v>
      </c>
      <c r="F67" s="461">
        <v>45.691503200709541</v>
      </c>
      <c r="G67" s="481"/>
    </row>
    <row r="68" spans="1:7" ht="11.25" customHeight="1">
      <c r="A68" s="458" t="s">
        <v>98</v>
      </c>
      <c r="B68" s="501">
        <v>174.62797320581154</v>
      </c>
      <c r="C68" s="761" t="s">
        <v>1149</v>
      </c>
      <c r="D68" s="720" t="s">
        <v>954</v>
      </c>
      <c r="E68" s="720" t="s">
        <v>954</v>
      </c>
      <c r="F68" s="461">
        <v>174.62797320581154</v>
      </c>
      <c r="G68" s="481"/>
    </row>
    <row r="69" spans="1:7" ht="11.25" customHeight="1">
      <c r="A69" s="458" t="s">
        <v>943</v>
      </c>
      <c r="B69" s="501">
        <v>0.84951780136122823</v>
      </c>
      <c r="C69" s="761" t="s">
        <v>1413</v>
      </c>
      <c r="D69" s="720">
        <v>0.84951780136122823</v>
      </c>
      <c r="E69" s="720" t="s">
        <v>954</v>
      </c>
      <c r="F69" s="461">
        <v>44.788501113056846</v>
      </c>
      <c r="G69" s="481"/>
    </row>
    <row r="70" spans="1:7" ht="11.25" customHeight="1">
      <c r="A70" s="458" t="s">
        <v>296</v>
      </c>
      <c r="B70" s="501">
        <v>0.47246971144685262</v>
      </c>
      <c r="C70" s="761" t="s">
        <v>1413</v>
      </c>
      <c r="D70" s="720">
        <v>0.47246971144685262</v>
      </c>
      <c r="E70" s="720" t="s">
        <v>954</v>
      </c>
      <c r="F70" s="461">
        <v>166.63964666474203</v>
      </c>
      <c r="G70" s="481"/>
    </row>
    <row r="71" spans="1:7" ht="11.25" customHeight="1">
      <c r="A71" s="458" t="s">
        <v>944</v>
      </c>
      <c r="B71" s="501">
        <v>3.4549060656200404E-3</v>
      </c>
      <c r="C71" s="761" t="s">
        <v>1413</v>
      </c>
      <c r="D71" s="720">
        <v>3.4549060656200404E-3</v>
      </c>
      <c r="E71" s="720" t="s">
        <v>954</v>
      </c>
      <c r="F71" s="461">
        <v>0.52727149217192604</v>
      </c>
      <c r="G71" s="481"/>
    </row>
    <row r="72" spans="1:7" ht="11.25" customHeight="1">
      <c r="A72" s="458" t="s">
        <v>945</v>
      </c>
      <c r="B72" s="501">
        <v>14840.349637723393</v>
      </c>
      <c r="C72" s="761" t="s">
        <v>1149</v>
      </c>
      <c r="D72" s="720" t="s">
        <v>954</v>
      </c>
      <c r="E72" s="720" t="s">
        <v>954</v>
      </c>
      <c r="F72" s="461">
        <v>14840.349637723393</v>
      </c>
      <c r="G72" s="481"/>
    </row>
    <row r="73" spans="1:7" ht="11.25" customHeight="1">
      <c r="A73" s="458" t="s">
        <v>947</v>
      </c>
      <c r="B73" s="501">
        <v>355.32722285616643</v>
      </c>
      <c r="C73" s="761" t="s">
        <v>1149</v>
      </c>
      <c r="D73" s="720" t="s">
        <v>954</v>
      </c>
      <c r="E73" s="720" t="s">
        <v>954</v>
      </c>
      <c r="F73" s="461">
        <v>355.32722285616643</v>
      </c>
      <c r="G73" s="481"/>
    </row>
    <row r="74" spans="1:7" ht="11.25" customHeight="1">
      <c r="A74" s="458" t="s">
        <v>946</v>
      </c>
      <c r="B74" s="501">
        <v>186554.34671245472</v>
      </c>
      <c r="C74" s="761" t="s">
        <v>1149</v>
      </c>
      <c r="D74" s="720" t="s">
        <v>954</v>
      </c>
      <c r="E74" s="720" t="s">
        <v>954</v>
      </c>
      <c r="F74" s="461">
        <v>186554.34671245472</v>
      </c>
      <c r="G74" s="481"/>
    </row>
    <row r="75" spans="1:7" ht="11.25" customHeight="1">
      <c r="A75" s="462" t="s">
        <v>99</v>
      </c>
      <c r="B75" s="501">
        <v>1.9515311927751111</v>
      </c>
      <c r="C75" s="761" t="s">
        <v>1149</v>
      </c>
      <c r="D75" s="720" t="s">
        <v>954</v>
      </c>
      <c r="E75" s="720" t="s">
        <v>954</v>
      </c>
      <c r="F75" s="461">
        <v>1.9515311927751111</v>
      </c>
      <c r="G75" s="481"/>
    </row>
    <row r="76" spans="1:7" ht="11.25" customHeight="1">
      <c r="A76" s="458" t="s">
        <v>297</v>
      </c>
      <c r="B76" s="501">
        <v>38.830541475137551</v>
      </c>
      <c r="C76" s="761" t="s">
        <v>1149</v>
      </c>
      <c r="D76" s="720" t="s">
        <v>954</v>
      </c>
      <c r="E76" s="720" t="s">
        <v>954</v>
      </c>
      <c r="F76" s="461">
        <v>38.830541475137551</v>
      </c>
      <c r="G76" s="481"/>
    </row>
    <row r="77" spans="1:7" ht="11.25" customHeight="1">
      <c r="A77" s="462" t="s">
        <v>100</v>
      </c>
      <c r="B77" s="501">
        <v>0.2374799832189621</v>
      </c>
      <c r="C77" s="761" t="s">
        <v>1413</v>
      </c>
      <c r="D77" s="720">
        <v>0.2374799832189621</v>
      </c>
      <c r="E77" s="720" t="s">
        <v>954</v>
      </c>
      <c r="F77" s="461">
        <v>38.07006830744546</v>
      </c>
      <c r="G77" s="481"/>
    </row>
    <row r="78" spans="1:7" ht="11.25" customHeight="1">
      <c r="A78" s="462" t="s">
        <v>101</v>
      </c>
      <c r="B78" s="501">
        <v>4.8541215187419794E-2</v>
      </c>
      <c r="C78" s="761" t="s">
        <v>1413</v>
      </c>
      <c r="D78" s="720">
        <v>4.8541215187419794E-2</v>
      </c>
      <c r="E78" s="720" t="s">
        <v>954</v>
      </c>
      <c r="F78" s="461">
        <v>5.6526429375847558</v>
      </c>
      <c r="G78" s="481"/>
    </row>
    <row r="79" spans="1:7" ht="11.25" customHeight="1">
      <c r="A79" s="458" t="s">
        <v>382</v>
      </c>
      <c r="B79" s="501">
        <v>0.45905899511359882</v>
      </c>
      <c r="C79" s="761" t="s">
        <v>1413</v>
      </c>
      <c r="D79" s="720">
        <v>0.45905899511359882</v>
      </c>
      <c r="E79" s="720" t="s">
        <v>954</v>
      </c>
      <c r="F79" s="461">
        <v>224.00732958891544</v>
      </c>
      <c r="G79" s="481"/>
    </row>
    <row r="80" spans="1:7" ht="11.25" customHeight="1">
      <c r="A80" s="458" t="s">
        <v>594</v>
      </c>
      <c r="B80" s="501">
        <v>1.55036546795786E-8</v>
      </c>
      <c r="C80" s="761" t="s">
        <v>1413</v>
      </c>
      <c r="D80" s="720">
        <v>1.55036546795786E-8</v>
      </c>
      <c r="E80" s="720" t="s">
        <v>954</v>
      </c>
      <c r="F80" s="461">
        <v>1.8575905376845935E-6</v>
      </c>
      <c r="G80" s="481"/>
    </row>
    <row r="81" spans="1:7" ht="11.25" customHeight="1">
      <c r="A81" s="458" t="s">
        <v>102</v>
      </c>
      <c r="B81" s="501">
        <v>36.050648892392552</v>
      </c>
      <c r="C81" s="761" t="s">
        <v>1149</v>
      </c>
      <c r="D81" s="720" t="s">
        <v>954</v>
      </c>
      <c r="E81" s="720" t="s">
        <v>954</v>
      </c>
      <c r="F81" s="461">
        <v>36.050648892392552</v>
      </c>
      <c r="G81" s="481"/>
    </row>
    <row r="82" spans="1:7" ht="11.25" customHeight="1">
      <c r="A82" s="458" t="s">
        <v>370</v>
      </c>
      <c r="B82" s="501">
        <v>99.285903454277815</v>
      </c>
      <c r="C82" s="761" t="s">
        <v>1149</v>
      </c>
      <c r="D82" s="720" t="s">
        <v>954</v>
      </c>
      <c r="E82" s="720" t="s">
        <v>954</v>
      </c>
      <c r="F82" s="461">
        <v>99.285903454277815</v>
      </c>
      <c r="G82" s="481"/>
    </row>
    <row r="83" spans="1:7" ht="11.25" customHeight="1">
      <c r="A83" s="458" t="s">
        <v>337</v>
      </c>
      <c r="B83" s="501">
        <v>1.9772680956447228</v>
      </c>
      <c r="C83" s="761" t="s">
        <v>1149</v>
      </c>
      <c r="D83" s="720" t="s">
        <v>954</v>
      </c>
      <c r="E83" s="720" t="s">
        <v>954</v>
      </c>
      <c r="F83" s="461">
        <v>1.9772680956447228</v>
      </c>
      <c r="G83" s="481"/>
    </row>
    <row r="84" spans="1:7" ht="11.25" customHeight="1">
      <c r="A84" s="458" t="s">
        <v>28</v>
      </c>
      <c r="B84" s="501">
        <v>0</v>
      </c>
      <c r="C84" s="761" t="s">
        <v>1413</v>
      </c>
      <c r="D84" s="720" t="s">
        <v>954</v>
      </c>
      <c r="E84" s="720" t="s">
        <v>954</v>
      </c>
      <c r="F84" s="461" t="s">
        <v>1392</v>
      </c>
      <c r="G84" s="481"/>
    </row>
    <row r="85" spans="1:7" ht="11.25" customHeight="1">
      <c r="A85" s="458" t="s">
        <v>338</v>
      </c>
      <c r="B85" s="501">
        <v>1.4990625828877546</v>
      </c>
      <c r="C85" s="761" t="s">
        <v>1413</v>
      </c>
      <c r="D85" s="720">
        <v>1.4990625828877546</v>
      </c>
      <c r="E85" s="720" t="s">
        <v>954</v>
      </c>
      <c r="F85" s="461">
        <v>622.95824180180057</v>
      </c>
      <c r="G85" s="481"/>
    </row>
    <row r="86" spans="1:7" ht="11.25" customHeight="1">
      <c r="A86" s="458" t="s">
        <v>339</v>
      </c>
      <c r="B86" s="501">
        <v>112.98231171872068</v>
      </c>
      <c r="C86" s="761" t="s">
        <v>1149</v>
      </c>
      <c r="D86" s="720" t="s">
        <v>954</v>
      </c>
      <c r="E86" s="720" t="s">
        <v>954</v>
      </c>
      <c r="F86" s="461">
        <v>112.98231171872068</v>
      </c>
      <c r="G86" s="481"/>
    </row>
    <row r="87" spans="1:7" ht="11.25" customHeight="1">
      <c r="A87" s="458" t="s">
        <v>340</v>
      </c>
      <c r="B87" s="501">
        <v>250.08516556490937</v>
      </c>
      <c r="C87" s="761" t="s">
        <v>1149</v>
      </c>
      <c r="D87" s="720" t="s">
        <v>954</v>
      </c>
      <c r="E87" s="720" t="s">
        <v>954</v>
      </c>
      <c r="F87" s="461">
        <v>250.08516556490937</v>
      </c>
      <c r="G87" s="481"/>
    </row>
    <row r="88" spans="1:7" ht="11.25" customHeight="1">
      <c r="A88" s="458" t="s">
        <v>103</v>
      </c>
      <c r="B88" s="501">
        <v>2005.4930495699502</v>
      </c>
      <c r="C88" s="761" t="s">
        <v>1149</v>
      </c>
      <c r="D88" s="720" t="s">
        <v>954</v>
      </c>
      <c r="E88" s="720" t="s">
        <v>954</v>
      </c>
      <c r="F88" s="461">
        <v>2005.4930495699502</v>
      </c>
      <c r="G88" s="481"/>
    </row>
    <row r="89" spans="1:7" ht="11.25" customHeight="1">
      <c r="A89" s="458" t="s">
        <v>341</v>
      </c>
      <c r="B89" s="501">
        <v>1.6843076234343015E-3</v>
      </c>
      <c r="C89" s="761" t="s">
        <v>1413</v>
      </c>
      <c r="D89" s="720">
        <v>1.6843076234343015E-3</v>
      </c>
      <c r="E89" s="720" t="s">
        <v>954</v>
      </c>
      <c r="F89" s="461">
        <v>0.21037558215721744</v>
      </c>
      <c r="G89" s="481"/>
    </row>
    <row r="90" spans="1:7" ht="11.25" customHeight="1">
      <c r="A90" s="458" t="s">
        <v>342</v>
      </c>
      <c r="B90" s="501">
        <v>3.4197195930947186E-3</v>
      </c>
      <c r="C90" s="761" t="s">
        <v>1413</v>
      </c>
      <c r="D90" s="720">
        <v>3.4197195930947186E-3</v>
      </c>
      <c r="E90" s="720" t="s">
        <v>954</v>
      </c>
      <c r="F90" s="461">
        <v>0.10942258377910577</v>
      </c>
      <c r="G90" s="481"/>
    </row>
    <row r="91" spans="1:7" ht="11.25" customHeight="1">
      <c r="A91" s="458" t="s">
        <v>371</v>
      </c>
      <c r="B91" s="501">
        <v>4.7215248178413723E-3</v>
      </c>
      <c r="C91" s="761" t="s">
        <v>1413</v>
      </c>
      <c r="D91" s="720">
        <v>4.7215248178413723E-3</v>
      </c>
      <c r="E91" s="720" t="s">
        <v>954</v>
      </c>
      <c r="F91" s="461">
        <v>2.0968903313594345E-2</v>
      </c>
      <c r="G91" s="481"/>
    </row>
    <row r="92" spans="1:7" ht="11.25" customHeight="1">
      <c r="A92" s="458" t="s">
        <v>343</v>
      </c>
      <c r="B92" s="501">
        <v>0.28185208671381157</v>
      </c>
      <c r="C92" s="761" t="s">
        <v>1413</v>
      </c>
      <c r="D92" s="720">
        <v>0.28185208671381157</v>
      </c>
      <c r="E92" s="720" t="s">
        <v>954</v>
      </c>
      <c r="F92" s="461">
        <v>6.0058015037116368</v>
      </c>
      <c r="G92" s="481"/>
    </row>
    <row r="93" spans="1:7" ht="11.25" customHeight="1">
      <c r="A93" s="458" t="s">
        <v>364</v>
      </c>
      <c r="B93" s="501">
        <v>3.9670642175028109E-2</v>
      </c>
      <c r="C93" s="761" t="s">
        <v>1413</v>
      </c>
      <c r="D93" s="720">
        <v>3.9670642175028109E-2</v>
      </c>
      <c r="E93" s="720" t="s">
        <v>954</v>
      </c>
      <c r="F93" s="461">
        <v>3.4934884916029447</v>
      </c>
      <c r="G93" s="481"/>
    </row>
    <row r="94" spans="1:7" ht="11.25" customHeight="1">
      <c r="A94" s="458" t="s">
        <v>344</v>
      </c>
      <c r="B94" s="501">
        <v>0.92032782815026715</v>
      </c>
      <c r="C94" s="761" t="s">
        <v>1413</v>
      </c>
      <c r="D94" s="720">
        <v>0.92032782815026715</v>
      </c>
      <c r="E94" s="720" t="s">
        <v>954</v>
      </c>
      <c r="F94" s="461">
        <v>6.9272240071889994</v>
      </c>
      <c r="G94" s="481"/>
    </row>
    <row r="95" spans="1:7" ht="11.25" customHeight="1">
      <c r="A95" s="458" t="s">
        <v>104</v>
      </c>
      <c r="B95" s="501">
        <v>643.85147502055895</v>
      </c>
      <c r="C95" s="761" t="s">
        <v>1149</v>
      </c>
      <c r="D95" s="720" t="s">
        <v>954</v>
      </c>
      <c r="E95" s="720" t="s">
        <v>954</v>
      </c>
      <c r="F95" s="461">
        <v>643.85147502055895</v>
      </c>
      <c r="G95" s="481"/>
    </row>
    <row r="96" spans="1:7" ht="11.25" customHeight="1">
      <c r="A96" s="458" t="s">
        <v>345</v>
      </c>
      <c r="B96" s="501">
        <v>1.7683609753016836E-2</v>
      </c>
      <c r="C96" s="761" t="s">
        <v>1413</v>
      </c>
      <c r="D96" s="720">
        <v>1.7683609753016836E-2</v>
      </c>
      <c r="E96" s="720">
        <v>0.20964067078880524</v>
      </c>
      <c r="F96" s="461" t="s">
        <v>954</v>
      </c>
      <c r="G96" s="481"/>
    </row>
    <row r="97" spans="1:7" ht="11.25" customHeight="1">
      <c r="A97" s="458" t="s">
        <v>105</v>
      </c>
      <c r="B97" s="501">
        <v>78.070039071294488</v>
      </c>
      <c r="C97" s="761" t="s">
        <v>1413</v>
      </c>
      <c r="D97" s="720">
        <v>78.070039071294488</v>
      </c>
      <c r="E97" s="720" t="s">
        <v>954</v>
      </c>
      <c r="F97" s="461">
        <v>3833.1555181410122</v>
      </c>
      <c r="G97" s="481"/>
    </row>
    <row r="98" spans="1:7" ht="11.25" customHeight="1">
      <c r="A98" s="458" t="s">
        <v>346</v>
      </c>
      <c r="B98" s="501" t="s">
        <v>954</v>
      </c>
      <c r="C98" s="761" t="s">
        <v>954</v>
      </c>
      <c r="D98" s="720" t="s">
        <v>954</v>
      </c>
      <c r="E98" s="720" t="s">
        <v>954</v>
      </c>
      <c r="F98" s="461" t="s">
        <v>954</v>
      </c>
      <c r="G98" s="481"/>
    </row>
    <row r="99" spans="1:7" ht="11.25" customHeight="1">
      <c r="A99" s="458" t="s">
        <v>347</v>
      </c>
      <c r="B99" s="501">
        <v>6.0034768280972619</v>
      </c>
      <c r="C99" s="761" t="s">
        <v>1149</v>
      </c>
      <c r="D99" s="720" t="s">
        <v>954</v>
      </c>
      <c r="E99" s="720" t="s">
        <v>954</v>
      </c>
      <c r="F99" s="461">
        <v>6.0034768280972619</v>
      </c>
      <c r="G99" s="481"/>
    </row>
    <row r="100" spans="1:7" ht="11.25" customHeight="1">
      <c r="A100" s="458" t="s">
        <v>348</v>
      </c>
      <c r="B100" s="501">
        <v>31.967517269112214</v>
      </c>
      <c r="C100" s="761" t="s">
        <v>1149</v>
      </c>
      <c r="D100" s="720" t="s">
        <v>954</v>
      </c>
      <c r="E100" s="720" t="s">
        <v>954</v>
      </c>
      <c r="F100" s="461">
        <v>31.967517269112214</v>
      </c>
      <c r="G100" s="481"/>
    </row>
    <row r="101" spans="1:7" ht="11.25" customHeight="1">
      <c r="A101" s="458" t="s">
        <v>350</v>
      </c>
      <c r="B101" s="501">
        <v>9943.3205762492889</v>
      </c>
      <c r="C101" s="761" t="s">
        <v>1149</v>
      </c>
      <c r="D101" s="720" t="s">
        <v>954</v>
      </c>
      <c r="E101" s="720" t="s">
        <v>954</v>
      </c>
      <c r="F101" s="461">
        <v>9943.3205762492889</v>
      </c>
      <c r="G101" s="481"/>
    </row>
    <row r="102" spans="1:7" ht="11.25" customHeight="1">
      <c r="A102" s="458" t="s">
        <v>351</v>
      </c>
      <c r="B102" s="501">
        <v>35755.102040816324</v>
      </c>
      <c r="C102" s="761" t="s">
        <v>1149</v>
      </c>
      <c r="D102" s="720" t="s">
        <v>954</v>
      </c>
      <c r="E102" s="720" t="s">
        <v>954</v>
      </c>
      <c r="F102" s="461">
        <v>35755.102040816324</v>
      </c>
      <c r="G102" s="481"/>
    </row>
    <row r="103" spans="1:7" ht="11.25" customHeight="1">
      <c r="A103" s="458" t="s">
        <v>352</v>
      </c>
      <c r="B103" s="501">
        <v>1.962844121223863</v>
      </c>
      <c r="C103" s="761" t="s">
        <v>1149</v>
      </c>
      <c r="D103" s="720" t="s">
        <v>954</v>
      </c>
      <c r="E103" s="720" t="s">
        <v>954</v>
      </c>
      <c r="F103" s="461">
        <v>1.962844121223863</v>
      </c>
      <c r="G103" s="481"/>
    </row>
    <row r="104" spans="1:7" ht="11.25" customHeight="1">
      <c r="A104" s="458" t="s">
        <v>353</v>
      </c>
      <c r="B104" s="501">
        <v>14.30439413214298</v>
      </c>
      <c r="C104" s="761" t="s">
        <v>1413</v>
      </c>
      <c r="D104" s="720">
        <v>14.30439413214298</v>
      </c>
      <c r="E104" s="720" t="s">
        <v>954</v>
      </c>
      <c r="F104" s="461">
        <v>35755.102040816324</v>
      </c>
      <c r="G104" s="481"/>
    </row>
    <row r="105" spans="1:7" ht="11.25" customHeight="1">
      <c r="A105" s="458" t="s">
        <v>349</v>
      </c>
      <c r="B105" s="501">
        <v>9.9288870551687349</v>
      </c>
      <c r="C105" s="761" t="s">
        <v>1415</v>
      </c>
      <c r="D105" s="720">
        <v>35.247679480916915</v>
      </c>
      <c r="E105" s="720">
        <v>9.9288870551687349</v>
      </c>
      <c r="F105" s="461">
        <v>114.62878973944458</v>
      </c>
      <c r="G105" s="481"/>
    </row>
    <row r="106" spans="1:7" ht="11.25" customHeight="1">
      <c r="A106" s="458" t="s">
        <v>590</v>
      </c>
      <c r="B106" s="501">
        <v>11.376814592975361</v>
      </c>
      <c r="C106" s="761" t="s">
        <v>1413</v>
      </c>
      <c r="D106" s="720">
        <v>11.376814592975361</v>
      </c>
      <c r="E106" s="720" t="s">
        <v>954</v>
      </c>
      <c r="F106" s="461">
        <v>513.7238723484993</v>
      </c>
      <c r="G106" s="481"/>
    </row>
    <row r="107" spans="1:7" ht="11.25" customHeight="1">
      <c r="A107" s="458" t="s">
        <v>591</v>
      </c>
      <c r="B107" s="501">
        <v>29.559287502503544</v>
      </c>
      <c r="C107" s="761" t="s">
        <v>1149</v>
      </c>
      <c r="D107" s="720" t="s">
        <v>954</v>
      </c>
      <c r="E107" s="720" t="s">
        <v>954</v>
      </c>
      <c r="F107" s="461">
        <v>29.559287502503544</v>
      </c>
      <c r="G107" s="481"/>
    </row>
    <row r="108" spans="1:7" ht="11.25" customHeight="1">
      <c r="A108" s="458" t="s">
        <v>465</v>
      </c>
      <c r="B108" s="501">
        <v>99.283946060627287</v>
      </c>
      <c r="C108" s="761" t="s">
        <v>1149</v>
      </c>
      <c r="D108" s="720" t="s">
        <v>954</v>
      </c>
      <c r="E108" s="720" t="s">
        <v>954</v>
      </c>
      <c r="F108" s="461">
        <v>99.283946060627287</v>
      </c>
      <c r="G108" s="481"/>
    </row>
    <row r="109" spans="1:7" ht="11.25" customHeight="1">
      <c r="A109" s="458" t="s">
        <v>466</v>
      </c>
      <c r="B109" s="501">
        <v>0.11690534527736283</v>
      </c>
      <c r="C109" s="761" t="s">
        <v>1413</v>
      </c>
      <c r="D109" s="720">
        <v>0.11690534527736283</v>
      </c>
      <c r="E109" s="720" t="s">
        <v>954</v>
      </c>
      <c r="F109" s="461">
        <v>31.359315456575882</v>
      </c>
      <c r="G109" s="481"/>
    </row>
    <row r="110" spans="1:7" ht="11.25" customHeight="1">
      <c r="A110" s="458" t="s">
        <v>812</v>
      </c>
      <c r="B110" s="501">
        <v>378.45251627361586</v>
      </c>
      <c r="C110" s="761" t="s">
        <v>1149</v>
      </c>
      <c r="D110" s="720" t="s">
        <v>954</v>
      </c>
      <c r="E110" s="720" t="s">
        <v>954</v>
      </c>
      <c r="F110" s="461">
        <v>378.45251627361586</v>
      </c>
      <c r="G110" s="481"/>
    </row>
    <row r="111" spans="1:7" ht="11.25" customHeight="1">
      <c r="A111" s="462" t="s">
        <v>106</v>
      </c>
      <c r="B111" s="501">
        <v>0.14038461538461536</v>
      </c>
      <c r="C111" s="761" t="s">
        <v>1413</v>
      </c>
      <c r="D111" s="720">
        <v>0.14038461538461536</v>
      </c>
      <c r="E111" s="720" t="s">
        <v>954</v>
      </c>
      <c r="F111" s="461">
        <v>27.887878467852733</v>
      </c>
      <c r="G111" s="481"/>
    </row>
    <row r="112" spans="1:7" ht="11.25" customHeight="1">
      <c r="A112" s="462" t="s">
        <v>107</v>
      </c>
      <c r="B112" s="501">
        <v>1.9602041687573981</v>
      </c>
      <c r="C112" s="761" t="s">
        <v>1149</v>
      </c>
      <c r="D112" s="720">
        <v>4.4705147155813503</v>
      </c>
      <c r="E112" s="720" t="s">
        <v>954</v>
      </c>
      <c r="F112" s="461">
        <v>1.9602041687573981</v>
      </c>
      <c r="G112" s="481"/>
    </row>
    <row r="113" spans="1:7" ht="11.25" customHeight="1">
      <c r="A113" s="462" t="s">
        <v>108</v>
      </c>
      <c r="B113" s="501">
        <v>0.31415552893667309</v>
      </c>
      <c r="C113" s="761" t="s">
        <v>1413</v>
      </c>
      <c r="D113" s="720">
        <v>0.31415552893667309</v>
      </c>
      <c r="E113" s="720" t="s">
        <v>954</v>
      </c>
      <c r="F113" s="461">
        <v>11.296596382539981</v>
      </c>
      <c r="G113" s="481"/>
    </row>
    <row r="114" spans="1:7" ht="11.25" customHeight="1">
      <c r="A114" s="462" t="s">
        <v>109</v>
      </c>
      <c r="B114" s="501">
        <v>1.7483564887195151</v>
      </c>
      <c r="C114" s="761" t="s">
        <v>1149</v>
      </c>
      <c r="D114" s="720" t="s">
        <v>954</v>
      </c>
      <c r="E114" s="720" t="s">
        <v>954</v>
      </c>
      <c r="F114" s="461">
        <v>1.7483564887195151</v>
      </c>
      <c r="G114" s="481"/>
    </row>
    <row r="115" spans="1:7" ht="11.25" customHeight="1">
      <c r="A115" s="462" t="s">
        <v>110</v>
      </c>
      <c r="B115" s="501">
        <v>4.2655457130423766</v>
      </c>
      <c r="C115" s="761" t="s">
        <v>1413</v>
      </c>
      <c r="D115" s="720">
        <v>4.2655457130423766</v>
      </c>
      <c r="E115" s="720" t="s">
        <v>954</v>
      </c>
      <c r="F115" s="461">
        <v>70.981276046466775</v>
      </c>
      <c r="G115" s="481"/>
    </row>
    <row r="116" spans="1:7" ht="11.25" customHeight="1">
      <c r="A116" s="458" t="s">
        <v>467</v>
      </c>
      <c r="B116" s="501">
        <v>3.7933680384707812E-2</v>
      </c>
      <c r="C116" s="761" t="s">
        <v>1413</v>
      </c>
      <c r="D116" s="720">
        <v>3.7933680384707812E-2</v>
      </c>
      <c r="E116" s="720" t="s">
        <v>954</v>
      </c>
      <c r="F116" s="461">
        <v>20.881506653884642</v>
      </c>
      <c r="G116" s="481"/>
    </row>
    <row r="117" spans="1:7" ht="11.25" customHeight="1">
      <c r="A117" s="462" t="s">
        <v>111</v>
      </c>
      <c r="B117" s="501">
        <v>17.332516072630696</v>
      </c>
      <c r="C117" s="761" t="s">
        <v>1413</v>
      </c>
      <c r="D117" s="720">
        <v>17.332516072630696</v>
      </c>
      <c r="E117" s="720" t="s">
        <v>954</v>
      </c>
      <c r="F117" s="461">
        <v>173.27168487686782</v>
      </c>
      <c r="G117" s="481"/>
    </row>
    <row r="118" spans="1:7" ht="11.25" customHeight="1">
      <c r="A118" s="458" t="s">
        <v>231</v>
      </c>
      <c r="B118" s="501">
        <v>13.879311850752631</v>
      </c>
      <c r="C118" s="761" t="s">
        <v>1149</v>
      </c>
      <c r="D118" s="720" t="s">
        <v>954</v>
      </c>
      <c r="E118" s="720" t="s">
        <v>954</v>
      </c>
      <c r="F118" s="461">
        <v>13.879311850752631</v>
      </c>
      <c r="G118" s="481"/>
    </row>
    <row r="119" spans="1:7" ht="11.25" customHeight="1">
      <c r="A119" s="458" t="s">
        <v>468</v>
      </c>
      <c r="B119" s="501">
        <v>250.08516556490937</v>
      </c>
      <c r="C119" s="761" t="s">
        <v>1149</v>
      </c>
      <c r="D119" s="720" t="s">
        <v>954</v>
      </c>
      <c r="E119" s="720" t="s">
        <v>954</v>
      </c>
      <c r="F119" s="461">
        <v>250.08516556490937</v>
      </c>
      <c r="G119" s="481"/>
    </row>
    <row r="120" spans="1:7" ht="11.25" customHeight="1">
      <c r="A120" s="458" t="s">
        <v>469</v>
      </c>
      <c r="B120" s="501">
        <v>5769.529995855768</v>
      </c>
      <c r="C120" s="761" t="s">
        <v>1149</v>
      </c>
      <c r="D120" s="720" t="s">
        <v>954</v>
      </c>
      <c r="E120" s="720" t="s">
        <v>954</v>
      </c>
      <c r="F120" s="461">
        <v>5769.529995855768</v>
      </c>
      <c r="G120" s="481"/>
    </row>
    <row r="121" spans="1:7" ht="11.25" customHeight="1">
      <c r="A121" s="458" t="s">
        <v>365</v>
      </c>
      <c r="B121" s="501">
        <v>1.0522551642833584E-3</v>
      </c>
      <c r="C121" s="761" t="s">
        <v>1413</v>
      </c>
      <c r="D121" s="720">
        <v>1.0522551642833584E-3</v>
      </c>
      <c r="E121" s="720" t="s">
        <v>954</v>
      </c>
      <c r="F121" s="461">
        <v>1.1754289286066146E-2</v>
      </c>
      <c r="G121" s="481"/>
    </row>
    <row r="122" spans="1:7" ht="11.25" customHeight="1">
      <c r="A122" s="458" t="s">
        <v>112</v>
      </c>
      <c r="B122" s="501">
        <v>1576.0445630389663</v>
      </c>
      <c r="C122" s="761" t="s">
        <v>1149</v>
      </c>
      <c r="D122" s="720" t="s">
        <v>954</v>
      </c>
      <c r="E122" s="720" t="s">
        <v>954</v>
      </c>
      <c r="F122" s="461">
        <v>1576.0445630389663</v>
      </c>
      <c r="G122" s="481"/>
    </row>
    <row r="123" spans="1:7" ht="11.25" customHeight="1">
      <c r="A123" s="458" t="s">
        <v>470</v>
      </c>
      <c r="B123" s="501">
        <v>110.15672974106204</v>
      </c>
      <c r="C123" s="761" t="s">
        <v>1149</v>
      </c>
      <c r="D123" s="720" t="s">
        <v>954</v>
      </c>
      <c r="E123" s="720" t="s">
        <v>954</v>
      </c>
      <c r="F123" s="461">
        <v>110.15672974106204</v>
      </c>
      <c r="G123" s="481"/>
    </row>
    <row r="124" spans="1:7" ht="11.25" customHeight="1">
      <c r="A124" s="458" t="s">
        <v>471</v>
      </c>
      <c r="B124" s="501">
        <v>99.385773748264725</v>
      </c>
      <c r="C124" s="761" t="s">
        <v>1149</v>
      </c>
      <c r="D124" s="720" t="s">
        <v>954</v>
      </c>
      <c r="E124" s="720" t="s">
        <v>954</v>
      </c>
      <c r="F124" s="461">
        <v>99.385773748264725</v>
      </c>
      <c r="G124" s="481"/>
    </row>
    <row r="125" spans="1:7" ht="11.25" customHeight="1">
      <c r="A125" s="458" t="s">
        <v>813</v>
      </c>
      <c r="B125" s="501">
        <v>100.24879588690277</v>
      </c>
      <c r="C125" s="761" t="s">
        <v>1149</v>
      </c>
      <c r="D125" s="720" t="s">
        <v>954</v>
      </c>
      <c r="E125" s="720" t="s">
        <v>954</v>
      </c>
      <c r="F125" s="461">
        <v>100.24879588690277</v>
      </c>
      <c r="G125" s="481"/>
    </row>
    <row r="126" spans="1:7" ht="11.25" customHeight="1">
      <c r="A126" s="458" t="s">
        <v>113</v>
      </c>
      <c r="B126" s="501">
        <v>0.60691686682263868</v>
      </c>
      <c r="C126" s="761" t="s">
        <v>1413</v>
      </c>
      <c r="D126" s="720">
        <v>0.60691686682263868</v>
      </c>
      <c r="E126" s="720" t="s">
        <v>954</v>
      </c>
      <c r="F126" s="461">
        <v>94.232486693394435</v>
      </c>
      <c r="G126" s="481"/>
    </row>
    <row r="127" spans="1:7" ht="11.25" customHeight="1">
      <c r="A127" s="458" t="s">
        <v>472</v>
      </c>
      <c r="B127" s="501">
        <v>2321.2472062675138</v>
      </c>
      <c r="C127" s="761" t="s">
        <v>1149</v>
      </c>
      <c r="D127" s="720" t="s">
        <v>954</v>
      </c>
      <c r="E127" s="720" t="s">
        <v>954</v>
      </c>
      <c r="F127" s="461">
        <v>2321.2472062675138</v>
      </c>
      <c r="G127" s="481"/>
    </row>
    <row r="128" spans="1:7" ht="11.25" customHeight="1">
      <c r="A128" s="458" t="s">
        <v>114</v>
      </c>
      <c r="B128" s="501">
        <v>251.31929956026045</v>
      </c>
      <c r="C128" s="761" t="s">
        <v>1149</v>
      </c>
      <c r="D128" s="720" t="s">
        <v>954</v>
      </c>
      <c r="E128" s="720" t="s">
        <v>954</v>
      </c>
      <c r="F128" s="461">
        <v>251.31929956026045</v>
      </c>
      <c r="G128" s="481"/>
    </row>
    <row r="129" spans="1:7" ht="11.25" customHeight="1">
      <c r="A129" s="458" t="s">
        <v>19</v>
      </c>
      <c r="B129" s="501">
        <v>59.526771727540208</v>
      </c>
      <c r="C129" s="761" t="s">
        <v>1413</v>
      </c>
      <c r="D129" s="720">
        <v>59.526771727540208</v>
      </c>
      <c r="E129" s="720" t="s">
        <v>954</v>
      </c>
      <c r="F129" s="461">
        <v>7015.0064000300945</v>
      </c>
      <c r="G129" s="481"/>
    </row>
    <row r="130" spans="1:7" ht="11.25" customHeight="1">
      <c r="A130" s="458" t="s">
        <v>473</v>
      </c>
      <c r="B130" s="501">
        <v>0.57369738025483408</v>
      </c>
      <c r="C130" s="761" t="s">
        <v>1413</v>
      </c>
      <c r="D130" s="720">
        <v>0.57369738025483408</v>
      </c>
      <c r="E130" s="720" t="s">
        <v>954</v>
      </c>
      <c r="F130" s="461">
        <v>347.16635584822325</v>
      </c>
      <c r="G130" s="481"/>
    </row>
    <row r="131" spans="1:7" ht="11.25" customHeight="1">
      <c r="A131" s="458" t="s">
        <v>474</v>
      </c>
      <c r="B131" s="501">
        <v>7.5738899992116304E-2</v>
      </c>
      <c r="C131" s="761" t="s">
        <v>1413</v>
      </c>
      <c r="D131" s="720">
        <v>7.5738899992116304E-2</v>
      </c>
      <c r="E131" s="720" t="s">
        <v>954</v>
      </c>
      <c r="F131" s="461">
        <v>361.31632422396939</v>
      </c>
      <c r="G131" s="481"/>
    </row>
    <row r="132" spans="1:7" ht="11.25" customHeight="1">
      <c r="A132" s="458" t="s">
        <v>475</v>
      </c>
      <c r="B132" s="501">
        <v>0.66262003054566243</v>
      </c>
      <c r="C132" s="761" t="s">
        <v>1413</v>
      </c>
      <c r="D132" s="720">
        <v>0.66262003054566243</v>
      </c>
      <c r="E132" s="720" t="s">
        <v>954</v>
      </c>
      <c r="F132" s="461">
        <v>67.774350988821936</v>
      </c>
      <c r="G132" s="481"/>
    </row>
    <row r="133" spans="1:7" ht="11.25" customHeight="1">
      <c r="A133" s="458" t="s">
        <v>115</v>
      </c>
      <c r="B133" s="501">
        <v>222.64948848261417</v>
      </c>
      <c r="C133" s="761" t="s">
        <v>1149</v>
      </c>
      <c r="D133" s="720" t="s">
        <v>954</v>
      </c>
      <c r="E133" s="720" t="s">
        <v>954</v>
      </c>
      <c r="F133" s="461">
        <v>222.64948848261417</v>
      </c>
      <c r="G133" s="481"/>
    </row>
    <row r="134" spans="1:7" ht="11.25" customHeight="1">
      <c r="A134" s="462" t="s">
        <v>116</v>
      </c>
      <c r="B134" s="501">
        <v>1001.1634345604283</v>
      </c>
      <c r="C134" s="761" t="s">
        <v>1149</v>
      </c>
      <c r="D134" s="720" t="s">
        <v>954</v>
      </c>
      <c r="E134" s="720" t="s">
        <v>954</v>
      </c>
      <c r="F134" s="461">
        <v>1001.1634345604283</v>
      </c>
      <c r="G134" s="481"/>
    </row>
    <row r="135" spans="1:7" ht="11.25" customHeight="1">
      <c r="A135" s="458" t="s">
        <v>476</v>
      </c>
      <c r="B135" s="501">
        <v>0.19660199028629702</v>
      </c>
      <c r="C135" s="761" t="s">
        <v>1149</v>
      </c>
      <c r="D135" s="720" t="s">
        <v>954</v>
      </c>
      <c r="E135" s="720" t="s">
        <v>954</v>
      </c>
      <c r="F135" s="461">
        <v>0.19660199028629702</v>
      </c>
      <c r="G135" s="481"/>
    </row>
    <row r="136" spans="1:7" ht="11.25" customHeight="1">
      <c r="A136" s="458" t="s">
        <v>366</v>
      </c>
      <c r="B136" s="501">
        <v>1206.5207006111987</v>
      </c>
      <c r="C136" s="761" t="s">
        <v>1149</v>
      </c>
      <c r="D136" s="720" t="s">
        <v>954</v>
      </c>
      <c r="E136" s="720" t="s">
        <v>954</v>
      </c>
      <c r="F136" s="461">
        <v>1206.5207006111987</v>
      </c>
      <c r="G136" s="481"/>
    </row>
    <row r="137" spans="1:7" ht="11.25" customHeight="1">
      <c r="A137" s="458" t="s">
        <v>20</v>
      </c>
      <c r="B137" s="501">
        <v>1.0982244538914179E-2</v>
      </c>
      <c r="C137" s="761" t="s">
        <v>1413</v>
      </c>
      <c r="D137" s="720">
        <v>1.0982244538914179E-2</v>
      </c>
      <c r="E137" s="720" t="s">
        <v>954</v>
      </c>
      <c r="F137" s="461">
        <v>0.30027412721684915</v>
      </c>
      <c r="G137" s="481"/>
    </row>
    <row r="138" spans="1:7" ht="11.25" customHeight="1">
      <c r="A138" s="458" t="s">
        <v>57</v>
      </c>
      <c r="B138" s="501">
        <v>73.986001486842099</v>
      </c>
      <c r="C138" s="761" t="s">
        <v>1149</v>
      </c>
      <c r="D138" s="720" t="s">
        <v>954</v>
      </c>
      <c r="E138" s="720" t="s">
        <v>954</v>
      </c>
      <c r="F138" s="461">
        <v>73.986001486842099</v>
      </c>
      <c r="G138" s="481"/>
    </row>
    <row r="139" spans="1:7" ht="11.25" customHeight="1">
      <c r="A139" s="458" t="s">
        <v>56</v>
      </c>
      <c r="B139" s="501">
        <v>91.174062952030283</v>
      </c>
      <c r="C139" s="761" t="s">
        <v>1149</v>
      </c>
      <c r="D139" s="720" t="s">
        <v>954</v>
      </c>
      <c r="E139" s="720" t="s">
        <v>954</v>
      </c>
      <c r="F139" s="461">
        <v>91.174062952030283</v>
      </c>
      <c r="G139" s="481"/>
    </row>
    <row r="140" spans="1:7" ht="11.25" customHeight="1">
      <c r="A140" s="458" t="s">
        <v>777</v>
      </c>
      <c r="B140" s="501">
        <v>90.983894715319366</v>
      </c>
      <c r="C140" s="761" t="s">
        <v>1149</v>
      </c>
      <c r="D140" s="720" t="s">
        <v>954</v>
      </c>
      <c r="E140" s="720" t="s">
        <v>954</v>
      </c>
      <c r="F140" s="461">
        <v>90.983894715319366</v>
      </c>
      <c r="G140" s="481"/>
    </row>
    <row r="141" spans="1:7" ht="11.25" customHeight="1">
      <c r="A141" s="458" t="s">
        <v>814</v>
      </c>
      <c r="B141" s="501">
        <v>1.0748246110645729</v>
      </c>
      <c r="C141" s="761" t="s">
        <v>1413</v>
      </c>
      <c r="D141" s="720">
        <v>1.0748246110645729</v>
      </c>
      <c r="E141" s="720" t="s">
        <v>954</v>
      </c>
      <c r="F141" s="461">
        <v>18.582520021510373</v>
      </c>
      <c r="G141" s="481"/>
    </row>
    <row r="142" spans="1:7" ht="11.25" customHeight="1">
      <c r="A142" s="458" t="s">
        <v>815</v>
      </c>
      <c r="B142" s="501">
        <v>21880.019053893313</v>
      </c>
      <c r="C142" s="761" t="s">
        <v>1149</v>
      </c>
      <c r="D142" s="720" t="s">
        <v>954</v>
      </c>
      <c r="E142" s="720" t="s">
        <v>954</v>
      </c>
      <c r="F142" s="461">
        <v>21880.019053893313</v>
      </c>
      <c r="G142" s="481"/>
    </row>
    <row r="143" spans="1:7" ht="11.25" customHeight="1">
      <c r="A143" s="458" t="s">
        <v>477</v>
      </c>
      <c r="B143" s="501">
        <v>0.27533839970002094</v>
      </c>
      <c r="C143" s="761" t="s">
        <v>1413</v>
      </c>
      <c r="D143" s="720">
        <v>0.27533839970002094</v>
      </c>
      <c r="E143" s="720" t="s">
        <v>954</v>
      </c>
      <c r="F143" s="461">
        <v>2.3106182854983093</v>
      </c>
      <c r="G143" s="481"/>
    </row>
    <row r="144" spans="1:7" ht="11.25" customHeight="1">
      <c r="A144" s="458" t="s">
        <v>478</v>
      </c>
      <c r="B144" s="501">
        <v>0.24045528107960876</v>
      </c>
      <c r="C144" s="761" t="s">
        <v>1415</v>
      </c>
      <c r="D144" s="720">
        <v>0.70722105719917772</v>
      </c>
      <c r="E144" s="720">
        <v>0.24045528107960876</v>
      </c>
      <c r="F144" s="461">
        <v>6.4025961130007039</v>
      </c>
      <c r="G144" s="481"/>
    </row>
    <row r="145" spans="1:7" ht="11.25" customHeight="1">
      <c r="A145" s="458" t="s">
        <v>479</v>
      </c>
      <c r="B145" s="501">
        <v>1183.1271661441667</v>
      </c>
      <c r="C145" s="761" t="s">
        <v>1149</v>
      </c>
      <c r="D145" s="720" t="s">
        <v>954</v>
      </c>
      <c r="E145" s="720" t="s">
        <v>954</v>
      </c>
      <c r="F145" s="461">
        <v>1183.1271661441667</v>
      </c>
      <c r="G145" s="481"/>
    </row>
    <row r="146" spans="1:7" ht="11.25" customHeight="1">
      <c r="A146" s="458" t="s">
        <v>480</v>
      </c>
      <c r="B146" s="501">
        <v>4.111930278580993</v>
      </c>
      <c r="C146" s="761" t="s">
        <v>1413</v>
      </c>
      <c r="D146" s="720">
        <v>4.111930278580993</v>
      </c>
      <c r="E146" s="720" t="s">
        <v>954</v>
      </c>
      <c r="F146" s="461">
        <v>12.049660582784481</v>
      </c>
      <c r="G146" s="481"/>
    </row>
    <row r="147" spans="1:7" ht="11.25" customHeight="1">
      <c r="A147" s="462" t="s">
        <v>117</v>
      </c>
      <c r="B147" s="501">
        <v>159.78212321874378</v>
      </c>
      <c r="C147" s="761" t="s">
        <v>1149</v>
      </c>
      <c r="D147" s="720" t="s">
        <v>954</v>
      </c>
      <c r="E147" s="720" t="s">
        <v>954</v>
      </c>
      <c r="F147" s="461">
        <v>159.78212321874378</v>
      </c>
      <c r="G147" s="481"/>
    </row>
    <row r="148" spans="1:7" ht="11.25" customHeight="1">
      <c r="A148" s="458" t="s">
        <v>118</v>
      </c>
      <c r="B148" s="501">
        <v>107.53692182555059</v>
      </c>
      <c r="C148" s="761" t="s">
        <v>1149</v>
      </c>
      <c r="D148" s="720" t="s">
        <v>954</v>
      </c>
      <c r="E148" s="720" t="s">
        <v>954</v>
      </c>
      <c r="F148" s="461">
        <v>107.53692182555059</v>
      </c>
      <c r="G148" s="481"/>
    </row>
    <row r="149" spans="1:7" ht="11.25" customHeight="1">
      <c r="A149" s="458" t="s">
        <v>119</v>
      </c>
      <c r="B149" s="501">
        <v>7.1779744304287913E-4</v>
      </c>
      <c r="C149" s="761" t="s">
        <v>1415</v>
      </c>
      <c r="D149" s="720">
        <v>2.3317427827262809E-3</v>
      </c>
      <c r="E149" s="720">
        <v>7.1779744304287913E-4</v>
      </c>
      <c r="F149" s="461">
        <v>3.4077366690750197</v>
      </c>
      <c r="G149" s="481"/>
    </row>
    <row r="150" spans="1:7" ht="11.25" customHeight="1">
      <c r="A150" s="458" t="s">
        <v>120</v>
      </c>
      <c r="B150" s="501">
        <v>3.3315808860737541</v>
      </c>
      <c r="C150" s="761" t="s">
        <v>1149</v>
      </c>
      <c r="D150" s="720" t="s">
        <v>954</v>
      </c>
      <c r="E150" s="720" t="s">
        <v>954</v>
      </c>
      <c r="F150" s="461">
        <v>3.3315808860737541</v>
      </c>
      <c r="G150" s="481"/>
    </row>
    <row r="151" spans="1:7" ht="11.25" customHeight="1">
      <c r="A151" s="458" t="s">
        <v>602</v>
      </c>
      <c r="B151" s="501">
        <v>2.1542811625289486</v>
      </c>
      <c r="C151" s="761" t="s">
        <v>1413</v>
      </c>
      <c r="D151" s="720">
        <v>2.1542811625289486</v>
      </c>
      <c r="E151" s="720" t="s">
        <v>954</v>
      </c>
      <c r="F151" s="461">
        <v>34.188803861416979</v>
      </c>
      <c r="G151" s="481"/>
    </row>
    <row r="152" spans="1:7" ht="11.25" customHeight="1">
      <c r="A152" s="462" t="s">
        <v>939</v>
      </c>
      <c r="B152" s="501">
        <v>348.85609320878808</v>
      </c>
      <c r="C152" s="761" t="s">
        <v>1149</v>
      </c>
      <c r="D152" s="720" t="s">
        <v>954</v>
      </c>
      <c r="E152" s="720" t="s">
        <v>954</v>
      </c>
      <c r="F152" s="461">
        <v>348.85609320878808</v>
      </c>
      <c r="G152" s="481"/>
    </row>
    <row r="153" spans="1:7" ht="11.25" customHeight="1">
      <c r="A153" s="462" t="s">
        <v>603</v>
      </c>
      <c r="B153" s="501">
        <v>39.469382156875795</v>
      </c>
      <c r="C153" s="761" t="s">
        <v>1149</v>
      </c>
      <c r="D153" s="720" t="s">
        <v>954</v>
      </c>
      <c r="E153" s="720" t="s">
        <v>954</v>
      </c>
      <c r="F153" s="461">
        <v>39.469382156875795</v>
      </c>
      <c r="G153" s="481"/>
    </row>
    <row r="154" spans="1:7" ht="11.25" customHeight="1">
      <c r="A154" s="462" t="s">
        <v>605</v>
      </c>
      <c r="B154" s="501">
        <v>2.5352139902671289</v>
      </c>
      <c r="C154" s="761" t="s">
        <v>1413</v>
      </c>
      <c r="D154" s="720">
        <v>2.5352139902671289</v>
      </c>
      <c r="E154" s="720" t="s">
        <v>954</v>
      </c>
      <c r="F154" s="461">
        <v>9.8078732095447858</v>
      </c>
      <c r="G154" s="481"/>
    </row>
    <row r="155" spans="1:7" ht="11.25" customHeight="1">
      <c r="A155" s="458" t="s">
        <v>481</v>
      </c>
      <c r="B155" s="501">
        <v>96.249320745069994</v>
      </c>
      <c r="C155" s="761" t="s">
        <v>1149</v>
      </c>
      <c r="D155" s="720" t="s">
        <v>954</v>
      </c>
      <c r="E155" s="720" t="s">
        <v>954</v>
      </c>
      <c r="F155" s="461">
        <v>96.249320745069994</v>
      </c>
      <c r="G155" s="481"/>
    </row>
    <row r="156" spans="1:7" ht="11.25" customHeight="1">
      <c r="A156" s="458" t="s">
        <v>482</v>
      </c>
      <c r="B156" s="501">
        <v>1.5106331020149884E-2</v>
      </c>
      <c r="C156" s="761" t="s">
        <v>1413</v>
      </c>
      <c r="D156" s="720">
        <v>1.5106331020149884E-2</v>
      </c>
      <c r="E156" s="720">
        <v>2.8085553592661905E-2</v>
      </c>
      <c r="F156" s="461">
        <v>53.820087735845242</v>
      </c>
      <c r="G156" s="481"/>
    </row>
    <row r="157" spans="1:7" ht="11.25" customHeight="1">
      <c r="A157" s="458" t="s">
        <v>483</v>
      </c>
      <c r="B157" s="501">
        <v>1138.8081141293562</v>
      </c>
      <c r="C157" s="761" t="s">
        <v>1149</v>
      </c>
      <c r="D157" s="720" t="s">
        <v>954</v>
      </c>
      <c r="E157" s="720" t="s">
        <v>954</v>
      </c>
      <c r="F157" s="461">
        <v>1138.8081141293562</v>
      </c>
      <c r="G157" s="481"/>
    </row>
    <row r="158" spans="1:7" ht="11.25" customHeight="1" thickBot="1">
      <c r="A158" s="466" t="s">
        <v>484</v>
      </c>
      <c r="B158" s="627">
        <v>5987.048392076199</v>
      </c>
      <c r="C158" s="762" t="s">
        <v>1149</v>
      </c>
      <c r="D158" s="722" t="s">
        <v>954</v>
      </c>
      <c r="E158" s="722" t="s">
        <v>954</v>
      </c>
      <c r="F158" s="469">
        <v>5987.048392076199</v>
      </c>
      <c r="G158" s="481"/>
    </row>
    <row r="159" spans="1:7" ht="11.25" customHeight="1" thickTop="1">
      <c r="A159" s="474" t="s">
        <v>696</v>
      </c>
      <c r="B159" s="595"/>
      <c r="C159" s="756"/>
      <c r="D159" s="756"/>
      <c r="E159" s="724"/>
      <c r="F159" s="763"/>
    </row>
    <row r="160" spans="1:7" ht="11.25" customHeight="1">
      <c r="A160" s="1389" t="s">
        <v>1045</v>
      </c>
      <c r="B160" s="1440"/>
      <c r="C160" s="1440"/>
      <c r="D160" s="1440"/>
      <c r="E160" s="1441"/>
      <c r="F160" s="1442"/>
    </row>
    <row r="161" spans="1:6" ht="11.25" customHeight="1">
      <c r="A161" s="1443"/>
      <c r="B161" s="1444"/>
      <c r="C161" s="1444"/>
      <c r="D161" s="1444"/>
      <c r="E161" s="1444"/>
      <c r="F161" s="1445"/>
    </row>
    <row r="162" spans="1:6" ht="11.25" customHeight="1">
      <c r="A162" s="474" t="s">
        <v>488</v>
      </c>
      <c r="B162" s="595"/>
      <c r="C162" s="756"/>
      <c r="D162" s="756"/>
      <c r="E162" s="724"/>
      <c r="F162" s="763"/>
    </row>
    <row r="163" spans="1:6" ht="11.25" customHeight="1">
      <c r="A163" s="479" t="s">
        <v>609</v>
      </c>
      <c r="F163" s="483"/>
    </row>
    <row r="164" spans="1:6" ht="11.25" customHeight="1">
      <c r="A164" s="479" t="s">
        <v>389</v>
      </c>
      <c r="F164" s="483"/>
    </row>
    <row r="165" spans="1:6" ht="10.5" thickBot="1">
      <c r="A165" s="706" t="s">
        <v>388</v>
      </c>
      <c r="B165" s="663"/>
      <c r="C165" s="580"/>
      <c r="D165" s="580"/>
      <c r="E165" s="612"/>
      <c r="F165" s="723"/>
    </row>
    <row r="166" spans="1:6" ht="10.5" thickTop="1"/>
  </sheetData>
  <sheetProtection algorithmName="SHA-512" hashValue="sbjc65zbYl0mCA77nF8+I+iwXAd2T/GLwv8d5Bah42i555wsp8uwLbhfIw4vnDrwGDXUZbLevgsg8SFDSz+UcA==" saltValue="czJN2cSDjwG7ChWtD2MeTQ==" spinCount="100000" sheet="1" objects="1" scenarios="1"/>
  <mergeCells count="2">
    <mergeCell ref="A160:F160"/>
    <mergeCell ref="A161:F161"/>
  </mergeCells>
  <phoneticPr fontId="0" type="noConversion"/>
  <printOptions horizontalCentered="1"/>
  <pageMargins left="0.93" right="0.41" top="0.53" bottom="1" header="0.5" footer="0.5"/>
  <pageSetup scale="78" fitToHeight="3" orientation="portrait" r:id="rId1"/>
  <headerFooter alignWithMargins="0">
    <oddFooter>&amp;LHawai'i DOH
Spring 2024&amp;C&amp;8Page &amp;P of &amp;N&amp;R&amp;A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29"/>
    <pageSetUpPr fitToPage="1"/>
  </sheetPr>
  <dimension ref="A1:H162"/>
  <sheetViews>
    <sheetView zoomScaleNormal="100" workbookViewId="0">
      <pane ySplit="1965" topLeftCell="A5" activePane="bottomLeft"/>
      <selection activeCell="B7" sqref="B7"/>
      <selection pane="bottomLeft" activeCell="A52" sqref="A52"/>
    </sheetView>
  </sheetViews>
  <sheetFormatPr defaultColWidth="8.73046875" defaultRowHeight="12.75"/>
  <cols>
    <col min="1" max="1" width="40.73046875" style="3" customWidth="1"/>
    <col min="2" max="3" width="13.73046875" style="475" customWidth="1"/>
    <col min="4" max="7" width="13.73046875" style="481" customWidth="1"/>
    <col min="8" max="8" width="9.1328125" customWidth="1"/>
    <col min="9" max="16384" width="8.73046875" style="3"/>
  </cols>
  <sheetData>
    <row r="1" spans="1:7" ht="15">
      <c r="A1" s="6" t="s">
        <v>402</v>
      </c>
      <c r="B1" s="752"/>
      <c r="C1" s="752"/>
      <c r="D1" s="444"/>
      <c r="E1" s="444"/>
      <c r="F1" s="444"/>
      <c r="G1" s="444"/>
    </row>
    <row r="2" spans="1:7" ht="12" customHeight="1" thickBot="1"/>
    <row r="3" spans="1:7" ht="15" customHeight="1" thickTop="1" thickBot="1">
      <c r="A3" s="487"/>
      <c r="B3" s="534" t="s">
        <v>515</v>
      </c>
      <c r="C3" s="585"/>
      <c r="D3" s="765" t="s">
        <v>695</v>
      </c>
      <c r="E3" s="766"/>
      <c r="F3" s="767" t="s">
        <v>67</v>
      </c>
      <c r="G3" s="768"/>
    </row>
    <row r="4" spans="1:7" ht="41.65" thickTop="1" thickBot="1">
      <c r="A4" s="449" t="s">
        <v>613</v>
      </c>
      <c r="B4" s="769" t="s">
        <v>772</v>
      </c>
      <c r="C4" s="770" t="s">
        <v>773</v>
      </c>
      <c r="D4" s="769" t="s">
        <v>772</v>
      </c>
      <c r="E4" s="770" t="s">
        <v>773</v>
      </c>
      <c r="F4" s="769" t="s">
        <v>772</v>
      </c>
      <c r="G4" s="494" t="s">
        <v>773</v>
      </c>
    </row>
    <row r="5" spans="1:7">
      <c r="A5" s="454" t="s">
        <v>548</v>
      </c>
      <c r="B5" s="497">
        <v>15</v>
      </c>
      <c r="C5" s="560">
        <v>320</v>
      </c>
      <c r="D5" s="497">
        <v>15</v>
      </c>
      <c r="E5" s="718">
        <v>570</v>
      </c>
      <c r="F5" s="497">
        <v>20</v>
      </c>
      <c r="G5" s="457">
        <v>320</v>
      </c>
    </row>
    <row r="6" spans="1:7">
      <c r="A6" s="458" t="s">
        <v>549</v>
      </c>
      <c r="B6" s="501">
        <v>13</v>
      </c>
      <c r="C6" s="566">
        <v>300</v>
      </c>
      <c r="D6" s="501">
        <v>13</v>
      </c>
      <c r="E6" s="720">
        <v>300</v>
      </c>
      <c r="F6" s="501">
        <v>307</v>
      </c>
      <c r="G6" s="461">
        <v>300</v>
      </c>
    </row>
    <row r="7" spans="1:7">
      <c r="A7" s="458" t="s">
        <v>550</v>
      </c>
      <c r="B7" s="501">
        <v>1500</v>
      </c>
      <c r="C7" s="566">
        <v>15000</v>
      </c>
      <c r="D7" s="501">
        <v>1700</v>
      </c>
      <c r="E7" s="720">
        <v>15000</v>
      </c>
      <c r="F7" s="501">
        <v>1500</v>
      </c>
      <c r="G7" s="461">
        <v>28000</v>
      </c>
    </row>
    <row r="8" spans="1:7">
      <c r="A8" s="458" t="s">
        <v>551</v>
      </c>
      <c r="B8" s="501">
        <v>1.3999999999999999E-4</v>
      </c>
      <c r="C8" s="566">
        <v>1.3</v>
      </c>
      <c r="D8" s="501">
        <v>3.5000000000000003E-2</v>
      </c>
      <c r="E8" s="720">
        <v>3</v>
      </c>
      <c r="F8" s="501">
        <v>1.3999999999999999E-4</v>
      </c>
      <c r="G8" s="461">
        <v>1.3</v>
      </c>
    </row>
    <row r="9" spans="1:7">
      <c r="A9" s="458" t="s">
        <v>161</v>
      </c>
      <c r="B9" s="501">
        <v>700</v>
      </c>
      <c r="C9" s="566">
        <v>1800</v>
      </c>
      <c r="D9" s="501">
        <v>700</v>
      </c>
      <c r="E9" s="720">
        <v>1800</v>
      </c>
      <c r="F9" s="501">
        <v>700</v>
      </c>
      <c r="G9" s="461">
        <v>1800</v>
      </c>
    </row>
    <row r="10" spans="1:7">
      <c r="A10" s="458" t="s">
        <v>162</v>
      </c>
      <c r="B10" s="501">
        <v>18</v>
      </c>
      <c r="C10" s="566">
        <v>160</v>
      </c>
      <c r="D10" s="501">
        <v>18</v>
      </c>
      <c r="E10" s="720">
        <v>160</v>
      </c>
      <c r="F10" s="501">
        <v>20</v>
      </c>
      <c r="G10" s="461">
        <v>180</v>
      </c>
    </row>
    <row r="11" spans="1:7">
      <c r="A11" s="458" t="s">
        <v>94</v>
      </c>
      <c r="B11" s="501">
        <v>11</v>
      </c>
      <c r="C11" s="566">
        <v>98</v>
      </c>
      <c r="D11" s="501">
        <v>11</v>
      </c>
      <c r="E11" s="720">
        <v>98</v>
      </c>
      <c r="F11" s="501">
        <v>11</v>
      </c>
      <c r="G11" s="461">
        <v>98</v>
      </c>
    </row>
    <row r="12" spans="1:7">
      <c r="A12" s="458" t="s">
        <v>552</v>
      </c>
      <c r="B12" s="501">
        <v>0.02</v>
      </c>
      <c r="C12" s="566">
        <v>0.18</v>
      </c>
      <c r="D12" s="501">
        <v>0.02</v>
      </c>
      <c r="E12" s="720">
        <v>0.18</v>
      </c>
      <c r="F12" s="501">
        <v>0.73</v>
      </c>
      <c r="G12" s="461">
        <v>13</v>
      </c>
    </row>
    <row r="13" spans="1:7">
      <c r="A13" s="458" t="s">
        <v>553</v>
      </c>
      <c r="B13" s="501">
        <v>30</v>
      </c>
      <c r="C13" s="566">
        <v>180</v>
      </c>
      <c r="D13" s="501">
        <v>130</v>
      </c>
      <c r="E13" s="720">
        <v>3000</v>
      </c>
      <c r="F13" s="501">
        <v>30</v>
      </c>
      <c r="G13" s="461">
        <v>180</v>
      </c>
    </row>
    <row r="14" spans="1:7">
      <c r="A14" s="458" t="s">
        <v>686</v>
      </c>
      <c r="B14" s="501">
        <v>36</v>
      </c>
      <c r="C14" s="566">
        <v>69</v>
      </c>
      <c r="D14" s="501">
        <v>190</v>
      </c>
      <c r="E14" s="720">
        <v>360</v>
      </c>
      <c r="F14" s="501">
        <v>36</v>
      </c>
      <c r="G14" s="461">
        <v>69</v>
      </c>
    </row>
    <row r="15" spans="1:7">
      <c r="A15" s="458" t="s">
        <v>95</v>
      </c>
      <c r="B15" s="501">
        <v>12</v>
      </c>
      <c r="C15" s="566">
        <v>330</v>
      </c>
      <c r="D15" s="501">
        <v>12</v>
      </c>
      <c r="E15" s="720">
        <v>330</v>
      </c>
      <c r="F15" s="501">
        <v>12</v>
      </c>
      <c r="G15" s="461">
        <v>330</v>
      </c>
    </row>
    <row r="16" spans="1:7">
      <c r="A16" s="458" t="s">
        <v>687</v>
      </c>
      <c r="B16" s="501">
        <v>220</v>
      </c>
      <c r="C16" s="566">
        <v>2000</v>
      </c>
      <c r="D16" s="501">
        <v>220</v>
      </c>
      <c r="E16" s="720">
        <v>2000</v>
      </c>
      <c r="F16" s="501">
        <v>220</v>
      </c>
      <c r="G16" s="461">
        <v>2000</v>
      </c>
    </row>
    <row r="17" spans="1:7">
      <c r="A17" s="458" t="s">
        <v>1156</v>
      </c>
      <c r="B17" s="501">
        <v>0.14000000000000001</v>
      </c>
      <c r="C17" s="566">
        <v>2.8</v>
      </c>
      <c r="D17" s="501">
        <v>0.14000000000000001</v>
      </c>
      <c r="E17" s="720">
        <v>2.8</v>
      </c>
      <c r="F17" s="501">
        <v>0.14000000000000001</v>
      </c>
      <c r="G17" s="461">
        <v>2.8</v>
      </c>
    </row>
    <row r="18" spans="1:7">
      <c r="A18" s="458" t="s">
        <v>688</v>
      </c>
      <c r="B18" s="501">
        <v>71.3</v>
      </c>
      <c r="C18" s="566">
        <v>1700</v>
      </c>
      <c r="D18" s="501">
        <v>160</v>
      </c>
      <c r="E18" s="720">
        <v>1800</v>
      </c>
      <c r="F18" s="501">
        <v>71.3</v>
      </c>
      <c r="G18" s="461">
        <v>1700</v>
      </c>
    </row>
    <row r="19" spans="1:7">
      <c r="A19" s="458" t="s">
        <v>689</v>
      </c>
      <c r="B19" s="501">
        <v>2.7E-2</v>
      </c>
      <c r="C19" s="566">
        <v>300</v>
      </c>
      <c r="D19" s="501">
        <v>4.7</v>
      </c>
      <c r="E19" s="720">
        <v>300</v>
      </c>
      <c r="F19" s="501">
        <v>2.7E-2</v>
      </c>
      <c r="G19" s="461">
        <v>300</v>
      </c>
    </row>
    <row r="20" spans="1:7">
      <c r="A20" s="458" t="s">
        <v>690</v>
      </c>
      <c r="B20" s="501">
        <v>0.06</v>
      </c>
      <c r="C20" s="566">
        <v>300</v>
      </c>
      <c r="D20" s="501">
        <v>0.06</v>
      </c>
      <c r="E20" s="720">
        <v>300</v>
      </c>
      <c r="F20" s="501">
        <v>0.3</v>
      </c>
      <c r="G20" s="461">
        <v>300</v>
      </c>
    </row>
    <row r="21" spans="1:7">
      <c r="A21" s="458" t="s">
        <v>691</v>
      </c>
      <c r="B21" s="501">
        <v>0.68</v>
      </c>
      <c r="C21" s="566">
        <v>300</v>
      </c>
      <c r="D21" s="501">
        <v>2.6</v>
      </c>
      <c r="E21" s="720">
        <v>300</v>
      </c>
      <c r="F21" s="501">
        <v>0.68</v>
      </c>
      <c r="G21" s="461">
        <v>300</v>
      </c>
    </row>
    <row r="22" spans="1:7">
      <c r="A22" s="458" t="s">
        <v>692</v>
      </c>
      <c r="B22" s="501">
        <v>0.44</v>
      </c>
      <c r="C22" s="566">
        <v>300</v>
      </c>
      <c r="D22" s="501">
        <v>0.44</v>
      </c>
      <c r="E22" s="720">
        <v>300</v>
      </c>
      <c r="F22" s="501">
        <v>0.44</v>
      </c>
      <c r="G22" s="461">
        <v>300</v>
      </c>
    </row>
    <row r="23" spans="1:7">
      <c r="A23" s="458" t="s">
        <v>693</v>
      </c>
      <c r="B23" s="501">
        <v>0.64</v>
      </c>
      <c r="C23" s="566">
        <v>300</v>
      </c>
      <c r="D23" s="501">
        <v>0.64</v>
      </c>
      <c r="E23" s="720">
        <v>300</v>
      </c>
      <c r="F23" s="501">
        <v>0.64</v>
      </c>
      <c r="G23" s="461">
        <v>300</v>
      </c>
    </row>
    <row r="24" spans="1:7">
      <c r="A24" s="458" t="s">
        <v>126</v>
      </c>
      <c r="B24" s="501">
        <v>0.66</v>
      </c>
      <c r="C24" s="566">
        <v>35</v>
      </c>
      <c r="D24" s="501">
        <v>11</v>
      </c>
      <c r="E24" s="720">
        <v>43</v>
      </c>
      <c r="F24" s="501">
        <v>0.66</v>
      </c>
      <c r="G24" s="461">
        <v>35</v>
      </c>
    </row>
    <row r="25" spans="1:7">
      <c r="A25" s="458" t="s">
        <v>233</v>
      </c>
      <c r="B25" s="501">
        <v>6.5</v>
      </c>
      <c r="C25" s="566">
        <v>26</v>
      </c>
      <c r="D25" s="501">
        <v>6.5</v>
      </c>
      <c r="E25" s="720">
        <v>26</v>
      </c>
      <c r="F25" s="501">
        <v>14</v>
      </c>
      <c r="G25" s="461">
        <v>26</v>
      </c>
    </row>
    <row r="26" spans="1:7">
      <c r="A26" s="458" t="s">
        <v>127</v>
      </c>
      <c r="B26" s="501">
        <v>2380</v>
      </c>
      <c r="C26" s="566">
        <v>23800</v>
      </c>
      <c r="D26" s="501">
        <v>2380</v>
      </c>
      <c r="E26" s="720">
        <v>23800</v>
      </c>
      <c r="F26" s="501">
        <v>2380</v>
      </c>
      <c r="G26" s="461">
        <v>23800</v>
      </c>
    </row>
    <row r="27" spans="1:7">
      <c r="A27" s="503" t="s">
        <v>1103</v>
      </c>
      <c r="B27" s="501">
        <v>0.35711381953846194</v>
      </c>
      <c r="C27" s="566">
        <v>0.35711381953846194</v>
      </c>
      <c r="D27" s="501">
        <v>0.35711381953846194</v>
      </c>
      <c r="E27" s="720">
        <v>0.35711381953846194</v>
      </c>
      <c r="F27" s="501">
        <v>0.35711381953846194</v>
      </c>
      <c r="G27" s="461">
        <v>0.35711381953846194</v>
      </c>
    </row>
    <row r="28" spans="1:7">
      <c r="A28" s="458" t="s">
        <v>128</v>
      </c>
      <c r="B28" s="501">
        <v>3</v>
      </c>
      <c r="C28" s="566">
        <v>27</v>
      </c>
      <c r="D28" s="501">
        <v>3</v>
      </c>
      <c r="E28" s="720">
        <v>27</v>
      </c>
      <c r="F28" s="501">
        <v>3</v>
      </c>
      <c r="G28" s="461">
        <v>27</v>
      </c>
    </row>
    <row r="29" spans="1:7">
      <c r="A29" s="458" t="s">
        <v>129</v>
      </c>
      <c r="B29" s="501">
        <v>1000</v>
      </c>
      <c r="C29" s="566">
        <v>34000</v>
      </c>
      <c r="D29" s="501">
        <v>7200</v>
      </c>
      <c r="E29" s="720">
        <v>34000</v>
      </c>
      <c r="F29" s="501">
        <v>1000</v>
      </c>
      <c r="G29" s="461">
        <v>34000</v>
      </c>
    </row>
    <row r="30" spans="1:7">
      <c r="A30" s="458" t="s">
        <v>130</v>
      </c>
      <c r="B30" s="501">
        <v>340</v>
      </c>
      <c r="C30" s="566">
        <v>3100</v>
      </c>
      <c r="D30" s="501">
        <v>340</v>
      </c>
      <c r="E30" s="720">
        <v>3100</v>
      </c>
      <c r="F30" s="501">
        <v>340</v>
      </c>
      <c r="G30" s="461">
        <v>3100</v>
      </c>
    </row>
    <row r="31" spans="1:7">
      <c r="A31" s="458" t="s">
        <v>131</v>
      </c>
      <c r="B31" s="501">
        <v>230</v>
      </c>
      <c r="C31" s="566">
        <v>1100</v>
      </c>
      <c r="D31" s="501">
        <v>230</v>
      </c>
      <c r="E31" s="720">
        <v>1100</v>
      </c>
      <c r="F31" s="501">
        <v>320</v>
      </c>
      <c r="G31" s="461">
        <v>2300</v>
      </c>
    </row>
    <row r="32" spans="1:7">
      <c r="A32" s="458" t="s">
        <v>132</v>
      </c>
      <c r="B32" s="501">
        <v>16</v>
      </c>
      <c r="C32" s="566">
        <v>38</v>
      </c>
      <c r="D32" s="501">
        <v>16</v>
      </c>
      <c r="E32" s="720">
        <v>38</v>
      </c>
      <c r="F32" s="501">
        <v>16</v>
      </c>
      <c r="G32" s="461">
        <v>38</v>
      </c>
    </row>
    <row r="33" spans="1:7">
      <c r="A33" s="458" t="s">
        <v>133</v>
      </c>
      <c r="B33" s="501">
        <v>3</v>
      </c>
      <c r="C33" s="566">
        <v>3</v>
      </c>
      <c r="D33" s="501">
        <v>3</v>
      </c>
      <c r="E33" s="720">
        <v>3</v>
      </c>
      <c r="F33" s="501">
        <v>9.3000000000000007</v>
      </c>
      <c r="G33" s="461">
        <v>43</v>
      </c>
    </row>
    <row r="34" spans="1:7">
      <c r="A34" s="458" t="s">
        <v>134</v>
      </c>
      <c r="B34" s="501">
        <v>9.8000000000000007</v>
      </c>
      <c r="C34" s="566">
        <v>12000</v>
      </c>
      <c r="D34" s="501">
        <v>77</v>
      </c>
      <c r="E34" s="720">
        <v>12000</v>
      </c>
      <c r="F34" s="501">
        <v>9.8000000000000007</v>
      </c>
      <c r="G34" s="461">
        <v>16000</v>
      </c>
    </row>
    <row r="35" spans="1:7">
      <c r="A35" s="458" t="s">
        <v>614</v>
      </c>
      <c r="B35" s="501">
        <v>4.0000000000000001E-3</v>
      </c>
      <c r="C35" s="566">
        <v>0.09</v>
      </c>
      <c r="D35" s="501">
        <v>4.3E-3</v>
      </c>
      <c r="E35" s="720">
        <v>2.4</v>
      </c>
      <c r="F35" s="501">
        <v>4.0000000000000001E-3</v>
      </c>
      <c r="G35" s="461">
        <v>0.09</v>
      </c>
    </row>
    <row r="36" spans="1:7">
      <c r="A36" s="458" t="s">
        <v>135</v>
      </c>
      <c r="B36" s="501">
        <v>19</v>
      </c>
      <c r="C36" s="566">
        <v>459</v>
      </c>
      <c r="D36" s="501">
        <v>19</v>
      </c>
      <c r="E36" s="720">
        <v>459</v>
      </c>
      <c r="F36" s="501">
        <v>19</v>
      </c>
      <c r="G36" s="461">
        <v>459</v>
      </c>
    </row>
    <row r="37" spans="1:7">
      <c r="A37" s="458" t="s">
        <v>136</v>
      </c>
      <c r="B37" s="501">
        <v>25</v>
      </c>
      <c r="C37" s="566">
        <v>220</v>
      </c>
      <c r="D37" s="501">
        <v>25</v>
      </c>
      <c r="E37" s="720">
        <v>220</v>
      </c>
      <c r="F37" s="501">
        <v>64</v>
      </c>
      <c r="G37" s="461">
        <v>1100</v>
      </c>
    </row>
    <row r="38" spans="1:7" ht="12.75" customHeight="1">
      <c r="A38" s="458" t="s">
        <v>781</v>
      </c>
      <c r="B38" s="501">
        <v>47673.469387755096</v>
      </c>
      <c r="C38" s="566">
        <v>47673.469387755096</v>
      </c>
      <c r="D38" s="501">
        <v>47673.469387755096</v>
      </c>
      <c r="E38" s="720">
        <v>47673.469387755096</v>
      </c>
      <c r="F38" s="501">
        <v>47673.469387755096</v>
      </c>
      <c r="G38" s="461">
        <v>47673.469387755096</v>
      </c>
    </row>
    <row r="39" spans="1:7" ht="12.75" customHeight="1">
      <c r="A39" s="458" t="s">
        <v>137</v>
      </c>
      <c r="B39" s="501">
        <v>28</v>
      </c>
      <c r="C39" s="566">
        <v>490</v>
      </c>
      <c r="D39" s="501">
        <v>140</v>
      </c>
      <c r="E39" s="720">
        <v>9600</v>
      </c>
      <c r="F39" s="501">
        <v>28</v>
      </c>
      <c r="G39" s="461">
        <v>490</v>
      </c>
    </row>
    <row r="40" spans="1:7" ht="12.75" customHeight="1">
      <c r="A40" s="458" t="s">
        <v>782</v>
      </c>
      <c r="B40" s="501">
        <v>1072.6530612244896</v>
      </c>
      <c r="C40" s="566">
        <v>1072.6530612244896</v>
      </c>
      <c r="D40" s="501">
        <v>1072.6530612244896</v>
      </c>
      <c r="E40" s="720">
        <v>1072.6530612244896</v>
      </c>
      <c r="F40" s="501">
        <v>1072.6530612244896</v>
      </c>
      <c r="G40" s="461">
        <v>1072.6530612244896</v>
      </c>
    </row>
    <row r="41" spans="1:7" ht="12.75" customHeight="1">
      <c r="A41" s="458" t="s">
        <v>138</v>
      </c>
      <c r="B41" s="501">
        <v>32</v>
      </c>
      <c r="C41" s="566">
        <v>400</v>
      </c>
      <c r="D41" s="501">
        <v>32</v>
      </c>
      <c r="E41" s="720">
        <v>1400</v>
      </c>
      <c r="F41" s="501">
        <v>400</v>
      </c>
      <c r="G41" s="461">
        <v>400</v>
      </c>
    </row>
    <row r="42" spans="1:7" ht="12.75" customHeight="1">
      <c r="A42" s="458" t="s">
        <v>612</v>
      </c>
      <c r="B42" s="501">
        <v>11</v>
      </c>
      <c r="C42" s="566">
        <v>16</v>
      </c>
      <c r="D42" s="501">
        <v>11</v>
      </c>
      <c r="E42" s="720">
        <v>16</v>
      </c>
      <c r="F42" s="501">
        <v>50</v>
      </c>
      <c r="G42" s="461">
        <v>1000</v>
      </c>
    </row>
    <row r="43" spans="1:7" ht="12.75" customHeight="1">
      <c r="A43" s="458" t="s">
        <v>779</v>
      </c>
      <c r="B43" s="501">
        <v>20</v>
      </c>
      <c r="C43" s="566">
        <v>570</v>
      </c>
      <c r="D43" s="501">
        <v>74</v>
      </c>
      <c r="E43" s="720">
        <v>570</v>
      </c>
      <c r="F43" s="501">
        <v>20</v>
      </c>
      <c r="G43" s="461">
        <v>570</v>
      </c>
    </row>
    <row r="44" spans="1:7" ht="12.75" customHeight="1">
      <c r="A44" s="458" t="s">
        <v>780</v>
      </c>
      <c r="B44" s="501">
        <v>11</v>
      </c>
      <c r="C44" s="566">
        <v>16</v>
      </c>
      <c r="D44" s="501">
        <v>11</v>
      </c>
      <c r="E44" s="720">
        <v>16</v>
      </c>
      <c r="F44" s="501">
        <v>50</v>
      </c>
      <c r="G44" s="461">
        <v>1100</v>
      </c>
    </row>
    <row r="45" spans="1:7" ht="12.75" customHeight="1">
      <c r="A45" s="458" t="s">
        <v>139</v>
      </c>
      <c r="B45" s="501">
        <v>2</v>
      </c>
      <c r="C45" s="566">
        <v>300</v>
      </c>
      <c r="D45" s="501">
        <v>4.7</v>
      </c>
      <c r="E45" s="720">
        <v>300</v>
      </c>
      <c r="F45" s="501">
        <v>2</v>
      </c>
      <c r="G45" s="461">
        <v>300</v>
      </c>
    </row>
    <row r="46" spans="1:7" ht="12.75" customHeight="1">
      <c r="A46" s="458" t="s">
        <v>140</v>
      </c>
      <c r="B46" s="501">
        <v>19</v>
      </c>
      <c r="C46" s="566">
        <v>120</v>
      </c>
      <c r="D46" s="501">
        <v>19</v>
      </c>
      <c r="E46" s="720">
        <v>120</v>
      </c>
      <c r="F46" s="501">
        <v>23</v>
      </c>
      <c r="G46" s="461">
        <v>1500</v>
      </c>
    </row>
    <row r="47" spans="1:7" ht="12.75" customHeight="1">
      <c r="A47" s="458" t="s">
        <v>141</v>
      </c>
      <c r="B47" s="501">
        <v>2.9</v>
      </c>
      <c r="C47" s="566">
        <v>2.9</v>
      </c>
      <c r="D47" s="501">
        <v>6</v>
      </c>
      <c r="E47" s="720">
        <v>6</v>
      </c>
      <c r="F47" s="501">
        <v>2.9</v>
      </c>
      <c r="G47" s="461">
        <v>2.9</v>
      </c>
    </row>
    <row r="48" spans="1:7" ht="12.75" customHeight="1">
      <c r="A48" s="458" t="s">
        <v>142</v>
      </c>
      <c r="B48" s="501">
        <v>1</v>
      </c>
      <c r="C48" s="566">
        <v>1</v>
      </c>
      <c r="D48" s="501">
        <v>5.2</v>
      </c>
      <c r="E48" s="720">
        <v>22</v>
      </c>
      <c r="F48" s="501">
        <v>1</v>
      </c>
      <c r="G48" s="461">
        <v>1</v>
      </c>
    </row>
    <row r="49" spans="1:7" ht="12.75" customHeight="1">
      <c r="A49" s="458" t="s">
        <v>96</v>
      </c>
      <c r="B49" s="501">
        <v>79</v>
      </c>
      <c r="C49" s="566">
        <v>520</v>
      </c>
      <c r="D49" s="501">
        <v>79</v>
      </c>
      <c r="E49" s="720">
        <v>520</v>
      </c>
      <c r="F49" s="501">
        <v>190</v>
      </c>
      <c r="G49" s="461">
        <v>700</v>
      </c>
    </row>
    <row r="50" spans="1:7" ht="12.75" customHeight="1">
      <c r="A50" s="458" t="s">
        <v>97</v>
      </c>
      <c r="B50" s="501">
        <v>300</v>
      </c>
      <c r="C50" s="566">
        <v>3000</v>
      </c>
      <c r="D50" s="501">
        <v>300</v>
      </c>
      <c r="E50" s="720">
        <v>3000</v>
      </c>
      <c r="F50" s="501">
        <v>300</v>
      </c>
      <c r="G50" s="461">
        <v>3000</v>
      </c>
    </row>
    <row r="51" spans="1:7" ht="12.75" customHeight="1">
      <c r="A51" s="458" t="s">
        <v>143</v>
      </c>
      <c r="B51" s="501">
        <v>0.8</v>
      </c>
      <c r="C51" s="566">
        <v>300</v>
      </c>
      <c r="D51" s="501">
        <v>0.8</v>
      </c>
      <c r="E51" s="720">
        <v>300</v>
      </c>
      <c r="F51" s="501">
        <v>7.1</v>
      </c>
      <c r="G51" s="461">
        <v>300</v>
      </c>
    </row>
    <row r="52" spans="1:7" ht="12.75" customHeight="1">
      <c r="A52" s="458" t="s">
        <v>381</v>
      </c>
      <c r="B52" s="501">
        <v>0.04</v>
      </c>
      <c r="C52" s="566">
        <v>0.04</v>
      </c>
      <c r="D52" s="501">
        <v>0.04</v>
      </c>
      <c r="E52" s="720">
        <v>0.04</v>
      </c>
      <c r="F52" s="501">
        <v>0.04</v>
      </c>
      <c r="G52" s="461">
        <v>0.04</v>
      </c>
    </row>
    <row r="53" spans="1:7" ht="12.75" customHeight="1">
      <c r="A53" s="458" t="s">
        <v>144</v>
      </c>
      <c r="B53" s="501">
        <v>34</v>
      </c>
      <c r="C53" s="566">
        <v>2900</v>
      </c>
      <c r="D53" s="501">
        <v>320</v>
      </c>
      <c r="E53" s="720">
        <v>2900</v>
      </c>
      <c r="F53" s="501">
        <v>34</v>
      </c>
      <c r="G53" s="461">
        <v>2900</v>
      </c>
    </row>
    <row r="54" spans="1:7" ht="12.75" customHeight="1">
      <c r="A54" s="458" t="s">
        <v>487</v>
      </c>
      <c r="B54" s="501">
        <v>1400</v>
      </c>
      <c r="C54" s="566">
        <v>1400</v>
      </c>
      <c r="D54" s="501">
        <v>1400</v>
      </c>
      <c r="E54" s="720">
        <v>1400</v>
      </c>
      <c r="F54" s="501">
        <v>1400</v>
      </c>
      <c r="G54" s="461">
        <v>1400</v>
      </c>
    </row>
    <row r="55" spans="1:7" ht="12.75" customHeight="1">
      <c r="A55" s="458" t="s">
        <v>145</v>
      </c>
      <c r="B55" s="501">
        <v>14</v>
      </c>
      <c r="C55" s="566">
        <v>370</v>
      </c>
      <c r="D55" s="501">
        <v>23</v>
      </c>
      <c r="E55" s="720">
        <v>370</v>
      </c>
      <c r="F55" s="501">
        <v>14</v>
      </c>
      <c r="G55" s="461">
        <v>660</v>
      </c>
    </row>
    <row r="56" spans="1:7" ht="12.75" customHeight="1">
      <c r="A56" s="458" t="s">
        <v>225</v>
      </c>
      <c r="B56" s="501">
        <v>22</v>
      </c>
      <c r="C56" s="566">
        <v>370</v>
      </c>
      <c r="D56" s="501">
        <v>22</v>
      </c>
      <c r="E56" s="720">
        <v>370</v>
      </c>
      <c r="F56" s="501">
        <v>71</v>
      </c>
      <c r="G56" s="461">
        <v>660</v>
      </c>
    </row>
    <row r="57" spans="1:7" ht="12.75" customHeight="1">
      <c r="A57" s="458" t="s">
        <v>226</v>
      </c>
      <c r="B57" s="501">
        <v>9.4</v>
      </c>
      <c r="C57" s="566">
        <v>370</v>
      </c>
      <c r="D57" s="501">
        <v>9.4</v>
      </c>
      <c r="E57" s="720">
        <v>370</v>
      </c>
      <c r="F57" s="501">
        <v>15</v>
      </c>
      <c r="G57" s="461">
        <v>660</v>
      </c>
    </row>
    <row r="58" spans="1:7" ht="12.75" customHeight="1">
      <c r="A58" s="458" t="s">
        <v>227</v>
      </c>
      <c r="B58" s="501">
        <v>4.5</v>
      </c>
      <c r="C58" s="566">
        <v>41</v>
      </c>
      <c r="D58" s="501">
        <v>4.5</v>
      </c>
      <c r="E58" s="720">
        <v>41</v>
      </c>
      <c r="F58" s="501">
        <v>4.5</v>
      </c>
      <c r="G58" s="461">
        <v>41</v>
      </c>
    </row>
    <row r="59" spans="1:7" ht="12.75" customHeight="1">
      <c r="A59" s="458" t="s">
        <v>361</v>
      </c>
      <c r="B59" s="501">
        <v>1.0999999999999999E-2</v>
      </c>
      <c r="C59" s="566">
        <v>0.19</v>
      </c>
      <c r="D59" s="501">
        <v>1.0999999999999999E-2</v>
      </c>
      <c r="E59" s="720">
        <v>0.19</v>
      </c>
      <c r="F59" s="501">
        <v>1.0999999999999999E-2</v>
      </c>
      <c r="G59" s="461">
        <v>0.19</v>
      </c>
    </row>
    <row r="60" spans="1:7" ht="12.75" customHeight="1">
      <c r="A60" s="458" t="s">
        <v>362</v>
      </c>
      <c r="B60" s="501">
        <v>0.41</v>
      </c>
      <c r="C60" s="566">
        <v>7</v>
      </c>
      <c r="D60" s="501">
        <v>0.41</v>
      </c>
      <c r="E60" s="720">
        <v>7</v>
      </c>
      <c r="F60" s="501">
        <v>0.41</v>
      </c>
      <c r="G60" s="461">
        <v>7</v>
      </c>
    </row>
    <row r="61" spans="1:7" ht="12.75" customHeight="1">
      <c r="A61" s="458" t="s">
        <v>363</v>
      </c>
      <c r="B61" s="501">
        <v>1E-3</v>
      </c>
      <c r="C61" s="566">
        <v>1.2999999999999999E-2</v>
      </c>
      <c r="D61" s="501">
        <v>1E-3</v>
      </c>
      <c r="E61" s="720">
        <v>1.1000000000000001</v>
      </c>
      <c r="F61" s="501">
        <v>1E-3</v>
      </c>
      <c r="G61" s="461">
        <v>1.2999999999999999E-2</v>
      </c>
    </row>
    <row r="62" spans="1:7" ht="12.75" customHeight="1">
      <c r="A62" s="458" t="s">
        <v>234</v>
      </c>
      <c r="B62" s="501">
        <v>47</v>
      </c>
      <c r="C62" s="566">
        <v>830</v>
      </c>
      <c r="D62" s="501">
        <v>410</v>
      </c>
      <c r="E62" s="720">
        <v>3700</v>
      </c>
      <c r="F62" s="501">
        <v>47</v>
      </c>
      <c r="G62" s="461">
        <v>830</v>
      </c>
    </row>
    <row r="63" spans="1:7" ht="12.75" customHeight="1">
      <c r="A63" s="458" t="s">
        <v>235</v>
      </c>
      <c r="B63" s="501">
        <v>910</v>
      </c>
      <c r="C63" s="566">
        <v>38000</v>
      </c>
      <c r="D63" s="501">
        <v>2000</v>
      </c>
      <c r="E63" s="720">
        <v>39000</v>
      </c>
      <c r="F63" s="501">
        <v>910</v>
      </c>
      <c r="G63" s="461">
        <v>38000</v>
      </c>
    </row>
    <row r="64" spans="1:7" ht="12.75" customHeight="1">
      <c r="A64" s="458" t="s">
        <v>294</v>
      </c>
      <c r="B64" s="501">
        <v>25</v>
      </c>
      <c r="C64" s="566">
        <v>3900</v>
      </c>
      <c r="D64" s="501">
        <v>130</v>
      </c>
      <c r="E64" s="720">
        <v>3900</v>
      </c>
      <c r="F64" s="501">
        <v>25</v>
      </c>
      <c r="G64" s="461">
        <v>75000</v>
      </c>
    </row>
    <row r="65" spans="1:7" ht="12.75" customHeight="1">
      <c r="A65" s="458" t="s">
        <v>295</v>
      </c>
      <c r="B65" s="501">
        <v>620</v>
      </c>
      <c r="C65" s="566">
        <v>5500</v>
      </c>
      <c r="D65" s="501">
        <v>620</v>
      </c>
      <c r="E65" s="720">
        <v>5500</v>
      </c>
      <c r="F65" s="501">
        <v>620</v>
      </c>
      <c r="G65" s="461">
        <v>5500</v>
      </c>
    </row>
    <row r="66" spans="1:7" ht="12.75" customHeight="1">
      <c r="A66" s="458" t="s">
        <v>228</v>
      </c>
      <c r="B66" s="501">
        <v>558</v>
      </c>
      <c r="C66" s="566">
        <v>10046</v>
      </c>
      <c r="D66" s="501">
        <v>558</v>
      </c>
      <c r="E66" s="720">
        <v>10046</v>
      </c>
      <c r="F66" s="501">
        <v>558</v>
      </c>
      <c r="G66" s="461">
        <v>10046</v>
      </c>
    </row>
    <row r="67" spans="1:7" ht="12.75" customHeight="1">
      <c r="A67" s="458" t="s">
        <v>942</v>
      </c>
      <c r="B67" s="501">
        <v>11</v>
      </c>
      <c r="C67" s="566">
        <v>670</v>
      </c>
      <c r="D67" s="501">
        <v>11</v>
      </c>
      <c r="E67" s="720">
        <v>670</v>
      </c>
      <c r="F67" s="501">
        <v>790</v>
      </c>
      <c r="G67" s="461">
        <v>790</v>
      </c>
    </row>
    <row r="68" spans="1:7" ht="12.75" customHeight="1">
      <c r="A68" s="458" t="s">
        <v>98</v>
      </c>
      <c r="B68" s="501">
        <v>70</v>
      </c>
      <c r="C68" s="566">
        <v>130</v>
      </c>
      <c r="D68" s="501">
        <v>79.2</v>
      </c>
      <c r="E68" s="720">
        <v>130</v>
      </c>
      <c r="F68" s="501">
        <v>70</v>
      </c>
      <c r="G68" s="461">
        <v>130</v>
      </c>
    </row>
    <row r="69" spans="1:7" ht="12.75" customHeight="1">
      <c r="A69" s="458" t="s">
        <v>943</v>
      </c>
      <c r="B69" s="501">
        <v>520</v>
      </c>
      <c r="C69" s="566">
        <v>3400</v>
      </c>
      <c r="D69" s="501">
        <v>520</v>
      </c>
      <c r="E69" s="720">
        <v>7700</v>
      </c>
      <c r="F69" s="501">
        <v>520</v>
      </c>
      <c r="G69" s="461">
        <v>3400</v>
      </c>
    </row>
    <row r="70" spans="1:7" ht="12.75" customHeight="1">
      <c r="A70" s="458" t="s">
        <v>296</v>
      </c>
      <c r="B70" s="501">
        <v>0.06</v>
      </c>
      <c r="C70" s="566">
        <v>260</v>
      </c>
      <c r="D70" s="501">
        <v>1.7</v>
      </c>
      <c r="E70" s="720">
        <v>2000</v>
      </c>
      <c r="F70" s="501">
        <v>0.06</v>
      </c>
      <c r="G70" s="461">
        <v>260</v>
      </c>
    </row>
    <row r="71" spans="1:7" ht="12.75" customHeight="1">
      <c r="A71" s="458" t="s">
        <v>944</v>
      </c>
      <c r="B71" s="501">
        <v>1.9E-3</v>
      </c>
      <c r="C71" s="566">
        <v>0.71</v>
      </c>
      <c r="D71" s="501">
        <v>1.9E-3</v>
      </c>
      <c r="E71" s="720">
        <v>2.5</v>
      </c>
      <c r="F71" s="501">
        <v>1.9E-3</v>
      </c>
      <c r="G71" s="461">
        <v>0.71</v>
      </c>
    </row>
    <row r="72" spans="1:7" ht="12.75" customHeight="1">
      <c r="A72" s="458" t="s">
        <v>945</v>
      </c>
      <c r="B72" s="501">
        <v>210</v>
      </c>
      <c r="C72" s="566">
        <v>980</v>
      </c>
      <c r="D72" s="501">
        <v>220</v>
      </c>
      <c r="E72" s="720">
        <v>980</v>
      </c>
      <c r="F72" s="501">
        <v>210</v>
      </c>
      <c r="G72" s="461">
        <v>1800</v>
      </c>
    </row>
    <row r="73" spans="1:7" ht="12.75" customHeight="1">
      <c r="A73" s="458" t="s">
        <v>947</v>
      </c>
      <c r="B73" s="501">
        <v>120</v>
      </c>
      <c r="C73" s="566">
        <v>700</v>
      </c>
      <c r="D73" s="501">
        <v>120</v>
      </c>
      <c r="E73" s="720">
        <v>700</v>
      </c>
      <c r="F73" s="501">
        <v>120</v>
      </c>
      <c r="G73" s="461">
        <v>1100</v>
      </c>
    </row>
    <row r="74" spans="1:7" ht="12.75" customHeight="1">
      <c r="A74" s="458" t="s">
        <v>946</v>
      </c>
      <c r="B74" s="501">
        <v>1100</v>
      </c>
      <c r="C74" s="566">
        <v>3200</v>
      </c>
      <c r="D74" s="501">
        <v>1100</v>
      </c>
      <c r="E74" s="720">
        <v>3200</v>
      </c>
      <c r="F74" s="501">
        <v>2900</v>
      </c>
      <c r="G74" s="461">
        <v>3200</v>
      </c>
    </row>
    <row r="75" spans="1:7" ht="12.75" customHeight="1">
      <c r="A75" s="458" t="s">
        <v>99</v>
      </c>
      <c r="B75" s="501">
        <v>10</v>
      </c>
      <c r="C75" s="566">
        <v>100</v>
      </c>
      <c r="D75" s="501">
        <v>22</v>
      </c>
      <c r="E75" s="720">
        <v>100</v>
      </c>
      <c r="F75" s="501">
        <v>10</v>
      </c>
      <c r="G75" s="461">
        <v>110</v>
      </c>
    </row>
    <row r="76" spans="1:7" ht="12.75" customHeight="1">
      <c r="A76" s="458" t="s">
        <v>297</v>
      </c>
      <c r="B76" s="501">
        <v>14.3</v>
      </c>
      <c r="C76" s="566">
        <v>379</v>
      </c>
      <c r="D76" s="501">
        <v>71</v>
      </c>
      <c r="E76" s="720">
        <v>379</v>
      </c>
      <c r="F76" s="501">
        <v>14.3</v>
      </c>
      <c r="G76" s="461">
        <v>379</v>
      </c>
    </row>
    <row r="77" spans="1:7" ht="12.75" customHeight="1">
      <c r="A77" s="458" t="s">
        <v>100</v>
      </c>
      <c r="B77" s="501">
        <v>9.1</v>
      </c>
      <c r="C77" s="566">
        <v>110</v>
      </c>
      <c r="D77" s="501">
        <v>44</v>
      </c>
      <c r="E77" s="720">
        <v>110</v>
      </c>
      <c r="F77" s="501">
        <v>9.1</v>
      </c>
      <c r="G77" s="461">
        <v>200</v>
      </c>
    </row>
    <row r="78" spans="1:7" ht="12.75" customHeight="1">
      <c r="A78" s="458" t="s">
        <v>101</v>
      </c>
      <c r="B78" s="501">
        <v>81</v>
      </c>
      <c r="C78" s="566">
        <v>110</v>
      </c>
      <c r="D78" s="501">
        <v>81</v>
      </c>
      <c r="E78" s="720">
        <v>110</v>
      </c>
      <c r="F78" s="501">
        <v>81</v>
      </c>
      <c r="G78" s="461">
        <v>200</v>
      </c>
    </row>
    <row r="79" spans="1:7" ht="12.75" customHeight="1">
      <c r="A79" s="458" t="s">
        <v>382</v>
      </c>
      <c r="B79" s="501">
        <v>335000</v>
      </c>
      <c r="C79" s="566">
        <v>3350000</v>
      </c>
      <c r="D79" s="501">
        <v>335000</v>
      </c>
      <c r="E79" s="720">
        <v>3350000</v>
      </c>
      <c r="F79" s="501">
        <v>500000</v>
      </c>
      <c r="G79" s="461">
        <v>5000000</v>
      </c>
    </row>
    <row r="80" spans="1:7" ht="12.75" customHeight="1">
      <c r="A80" s="458" t="s">
        <v>594</v>
      </c>
      <c r="B80" s="501">
        <v>3.1E-9</v>
      </c>
      <c r="C80" s="566">
        <v>3.0000000000000001E-3</v>
      </c>
      <c r="D80" s="501">
        <v>3.1E-9</v>
      </c>
      <c r="E80" s="720">
        <v>3.0000000000000001E-3</v>
      </c>
      <c r="F80" s="501">
        <v>3.1E-9</v>
      </c>
      <c r="G80" s="461">
        <v>3.0000000000000001E-3</v>
      </c>
    </row>
    <row r="81" spans="1:7" ht="12.75" customHeight="1">
      <c r="A81" s="458" t="s">
        <v>102</v>
      </c>
      <c r="B81" s="501">
        <v>60</v>
      </c>
      <c r="C81" s="566">
        <v>200</v>
      </c>
      <c r="D81" s="501">
        <v>60</v>
      </c>
      <c r="E81" s="720">
        <v>200</v>
      </c>
      <c r="F81" s="501">
        <v>60</v>
      </c>
      <c r="G81" s="461">
        <v>550</v>
      </c>
    </row>
    <row r="82" spans="1:7" ht="12.75" customHeight="1">
      <c r="A82" s="458" t="s">
        <v>370</v>
      </c>
      <c r="B82" s="501">
        <v>8.6999999999999994E-3</v>
      </c>
      <c r="C82" s="566">
        <v>3.4000000000000002E-2</v>
      </c>
      <c r="D82" s="501">
        <v>5.6000000000000001E-2</v>
      </c>
      <c r="E82" s="720">
        <v>0.22</v>
      </c>
      <c r="F82" s="501">
        <v>8.6999999999999994E-3</v>
      </c>
      <c r="G82" s="461">
        <v>3.4000000000000002E-2</v>
      </c>
    </row>
    <row r="83" spans="1:7" ht="12.75" customHeight="1">
      <c r="A83" s="458" t="s">
        <v>337</v>
      </c>
      <c r="B83" s="501">
        <v>2.3E-3</v>
      </c>
      <c r="C83" s="566">
        <v>3.6999999999999998E-2</v>
      </c>
      <c r="D83" s="501">
        <v>2.3E-3</v>
      </c>
      <c r="E83" s="720">
        <v>0.18</v>
      </c>
      <c r="F83" s="501">
        <v>2.3E-3</v>
      </c>
      <c r="G83" s="461">
        <v>3.6999999999999998E-2</v>
      </c>
    </row>
    <row r="84" spans="1:7" ht="12.75" customHeight="1">
      <c r="A84" s="458" t="s">
        <v>28</v>
      </c>
      <c r="B84" s="501">
        <v>0</v>
      </c>
      <c r="C84" s="566">
        <v>0</v>
      </c>
      <c r="D84" s="501">
        <v>0</v>
      </c>
      <c r="E84" s="720">
        <v>0</v>
      </c>
      <c r="F84" s="501">
        <v>0</v>
      </c>
      <c r="G84" s="461">
        <v>0</v>
      </c>
    </row>
    <row r="85" spans="1:7" ht="12.75" customHeight="1">
      <c r="A85" s="458" t="s">
        <v>338</v>
      </c>
      <c r="B85" s="501">
        <v>7.3</v>
      </c>
      <c r="C85" s="566">
        <v>140</v>
      </c>
      <c r="D85" s="501">
        <v>61</v>
      </c>
      <c r="E85" s="720">
        <v>11000</v>
      </c>
      <c r="F85" s="501">
        <v>7.3</v>
      </c>
      <c r="G85" s="461">
        <v>140</v>
      </c>
    </row>
    <row r="86" spans="1:7" ht="12.75" customHeight="1">
      <c r="A86" s="458" t="s">
        <v>339</v>
      </c>
      <c r="B86" s="501">
        <v>0.8</v>
      </c>
      <c r="C86" s="566">
        <v>13</v>
      </c>
      <c r="D86" s="501">
        <v>0.8</v>
      </c>
      <c r="E86" s="720">
        <v>1300</v>
      </c>
      <c r="F86" s="501">
        <v>7.1</v>
      </c>
      <c r="G86" s="461">
        <v>13</v>
      </c>
    </row>
    <row r="87" spans="1:7" ht="12.75" customHeight="1">
      <c r="A87" s="458" t="s">
        <v>340</v>
      </c>
      <c r="B87" s="501">
        <v>3.9</v>
      </c>
      <c r="C87" s="566">
        <v>300</v>
      </c>
      <c r="D87" s="501">
        <v>19</v>
      </c>
      <c r="E87" s="720">
        <v>300</v>
      </c>
      <c r="F87" s="501">
        <v>3.9</v>
      </c>
      <c r="G87" s="461">
        <v>300</v>
      </c>
    </row>
    <row r="88" spans="1:7" ht="12.75" customHeight="1">
      <c r="A88" s="458" t="s">
        <v>103</v>
      </c>
      <c r="B88" s="501">
        <v>1800</v>
      </c>
      <c r="C88" s="566">
        <v>21500</v>
      </c>
      <c r="D88" s="501">
        <v>1800</v>
      </c>
      <c r="E88" s="720">
        <v>21500</v>
      </c>
      <c r="F88" s="501">
        <v>1800</v>
      </c>
      <c r="G88" s="461">
        <v>21500</v>
      </c>
    </row>
    <row r="89" spans="1:7" ht="12.75" customHeight="1">
      <c r="A89" s="458" t="s">
        <v>341</v>
      </c>
      <c r="B89" s="501">
        <v>3.5999999999999999E-3</v>
      </c>
      <c r="C89" s="566">
        <v>5.2999999999999999E-2</v>
      </c>
      <c r="D89" s="501">
        <v>3.8E-3</v>
      </c>
      <c r="E89" s="720">
        <v>0.52</v>
      </c>
      <c r="F89" s="501">
        <v>3.5999999999999999E-3</v>
      </c>
      <c r="G89" s="461">
        <v>5.2999999999999999E-2</v>
      </c>
    </row>
    <row r="90" spans="1:7" ht="12.75" customHeight="1">
      <c r="A90" s="458" t="s">
        <v>342</v>
      </c>
      <c r="B90" s="501">
        <v>3.5999999999999999E-3</v>
      </c>
      <c r="C90" s="566">
        <v>5.2999999999999999E-2</v>
      </c>
      <c r="D90" s="501">
        <v>3.8E-3</v>
      </c>
      <c r="E90" s="720">
        <v>0.52</v>
      </c>
      <c r="F90" s="501">
        <v>3.5999999999999999E-3</v>
      </c>
      <c r="G90" s="461">
        <v>5.2999999999999999E-2</v>
      </c>
    </row>
    <row r="91" spans="1:7" ht="12.75" customHeight="1">
      <c r="A91" s="458" t="s">
        <v>371</v>
      </c>
      <c r="B91" s="501">
        <v>2.9999999999999997E-4</v>
      </c>
      <c r="C91" s="566">
        <v>2.9999999999999997E-4</v>
      </c>
      <c r="D91" s="501">
        <v>2.9999999999999997E-4</v>
      </c>
      <c r="E91" s="720">
        <v>2.9999999999999997E-4</v>
      </c>
      <c r="F91" s="501">
        <v>2.9999999999999997E-4</v>
      </c>
      <c r="G91" s="461">
        <v>2.9999999999999997E-4</v>
      </c>
    </row>
    <row r="92" spans="1:7" ht="12.75" customHeight="1">
      <c r="A92" s="458" t="s">
        <v>343</v>
      </c>
      <c r="B92" s="501">
        <v>0.3</v>
      </c>
      <c r="C92" s="566">
        <v>11</v>
      </c>
      <c r="D92" s="501">
        <v>1</v>
      </c>
      <c r="E92" s="720">
        <v>30</v>
      </c>
      <c r="F92" s="501">
        <v>0.3</v>
      </c>
      <c r="G92" s="461">
        <v>11</v>
      </c>
    </row>
    <row r="93" spans="1:7" ht="12.75" customHeight="1">
      <c r="A93" s="458" t="s">
        <v>364</v>
      </c>
      <c r="B93" s="501">
        <v>6.3E-2</v>
      </c>
      <c r="C93" s="566">
        <v>0.16</v>
      </c>
      <c r="D93" s="501">
        <v>0.08</v>
      </c>
      <c r="E93" s="720">
        <v>2</v>
      </c>
      <c r="F93" s="501">
        <v>6.3E-2</v>
      </c>
      <c r="G93" s="461">
        <v>0.16</v>
      </c>
    </row>
    <row r="94" spans="1:7" ht="12.75" customHeight="1">
      <c r="A94" s="458" t="s">
        <v>344</v>
      </c>
      <c r="B94" s="501">
        <v>12</v>
      </c>
      <c r="C94" s="566">
        <v>310</v>
      </c>
      <c r="D94" s="501">
        <v>12</v>
      </c>
      <c r="E94" s="720">
        <v>330</v>
      </c>
      <c r="F94" s="501">
        <v>12</v>
      </c>
      <c r="G94" s="461">
        <v>310</v>
      </c>
    </row>
    <row r="95" spans="1:7" ht="12.75" customHeight="1">
      <c r="A95" s="458" t="s">
        <v>104</v>
      </c>
      <c r="B95" s="501">
        <v>17000</v>
      </c>
      <c r="C95" s="566">
        <v>137000</v>
      </c>
      <c r="D95" s="501">
        <v>17000</v>
      </c>
      <c r="E95" s="720">
        <v>137000</v>
      </c>
      <c r="F95" s="501">
        <v>17000</v>
      </c>
      <c r="G95" s="461">
        <v>137000</v>
      </c>
    </row>
    <row r="96" spans="1:7" ht="12.75" customHeight="1">
      <c r="A96" s="458" t="s">
        <v>345</v>
      </c>
      <c r="B96" s="501">
        <v>0.28000000000000003</v>
      </c>
      <c r="C96" s="566">
        <v>300</v>
      </c>
      <c r="D96" s="501">
        <v>0.28000000000000003</v>
      </c>
      <c r="E96" s="720">
        <v>300</v>
      </c>
      <c r="F96" s="501">
        <v>0.28000000000000003</v>
      </c>
      <c r="G96" s="461">
        <v>300</v>
      </c>
    </row>
    <row r="97" spans="1:7" ht="12.75" customHeight="1">
      <c r="A97" s="458" t="s">
        <v>105</v>
      </c>
      <c r="B97" s="501">
        <v>920</v>
      </c>
      <c r="C97" s="566">
        <v>4300</v>
      </c>
      <c r="D97" s="501">
        <v>920</v>
      </c>
      <c r="E97" s="720">
        <v>39000</v>
      </c>
      <c r="F97" s="501">
        <v>920</v>
      </c>
      <c r="G97" s="461">
        <v>4300</v>
      </c>
    </row>
    <row r="98" spans="1:7" ht="12.75" customHeight="1">
      <c r="A98" s="458" t="s">
        <v>346</v>
      </c>
      <c r="B98" s="501">
        <v>5.6</v>
      </c>
      <c r="C98" s="566">
        <v>29</v>
      </c>
      <c r="D98" s="501">
        <v>29</v>
      </c>
      <c r="E98" s="720">
        <v>29</v>
      </c>
      <c r="F98" s="501">
        <v>5.6</v>
      </c>
      <c r="G98" s="461">
        <v>140</v>
      </c>
    </row>
    <row r="99" spans="1:7" ht="12.75" customHeight="1">
      <c r="A99" s="458" t="s">
        <v>347</v>
      </c>
      <c r="B99" s="501">
        <v>2.5000000000000001E-2</v>
      </c>
      <c r="C99" s="566">
        <v>2.1</v>
      </c>
      <c r="D99" s="501">
        <v>0.55000000000000004</v>
      </c>
      <c r="E99" s="720">
        <v>2.4</v>
      </c>
      <c r="F99" s="501">
        <v>2.5000000000000001E-2</v>
      </c>
      <c r="G99" s="461">
        <v>2.1</v>
      </c>
    </row>
    <row r="100" spans="1:7" ht="12.75" customHeight="1">
      <c r="A100" s="458" t="s">
        <v>348</v>
      </c>
      <c r="B100" s="501">
        <v>0.03</v>
      </c>
      <c r="C100" s="566">
        <v>0.7</v>
      </c>
      <c r="D100" s="501">
        <v>0.03</v>
      </c>
      <c r="E100" s="720">
        <v>0.7</v>
      </c>
      <c r="F100" s="501">
        <v>0.03</v>
      </c>
      <c r="G100" s="461">
        <v>0.7</v>
      </c>
    </row>
    <row r="101" spans="1:7" ht="12.75" customHeight="1">
      <c r="A101" s="458" t="s">
        <v>350</v>
      </c>
      <c r="B101" s="501">
        <v>14000</v>
      </c>
      <c r="C101" s="566">
        <v>200000</v>
      </c>
      <c r="D101" s="501">
        <v>22000</v>
      </c>
      <c r="E101" s="720">
        <v>200000</v>
      </c>
      <c r="F101" s="501">
        <v>14000</v>
      </c>
      <c r="G101" s="461">
        <v>240000</v>
      </c>
    </row>
    <row r="102" spans="1:7" ht="12.75" customHeight="1">
      <c r="A102" s="458" t="s">
        <v>351</v>
      </c>
      <c r="B102" s="501">
        <v>170</v>
      </c>
      <c r="C102" s="566">
        <v>2200</v>
      </c>
      <c r="D102" s="501">
        <v>170</v>
      </c>
      <c r="E102" s="720">
        <v>2200</v>
      </c>
      <c r="F102" s="501">
        <v>170</v>
      </c>
      <c r="G102" s="461">
        <v>2200</v>
      </c>
    </row>
    <row r="103" spans="1:7" ht="12.75" customHeight="1">
      <c r="A103" s="458" t="s">
        <v>352</v>
      </c>
      <c r="B103" s="501">
        <v>2.8E-3</v>
      </c>
      <c r="C103" s="566">
        <v>9.9000000000000005E-2</v>
      </c>
      <c r="D103" s="501">
        <v>2.8E-3</v>
      </c>
      <c r="E103" s="720">
        <v>9.9000000000000005E-2</v>
      </c>
      <c r="F103" s="501">
        <v>2.8E-3</v>
      </c>
      <c r="G103" s="461">
        <v>9.9000000000000005E-2</v>
      </c>
    </row>
    <row r="104" spans="1:7" ht="12.75" customHeight="1">
      <c r="A104" s="458" t="s">
        <v>353</v>
      </c>
      <c r="B104" s="501">
        <v>730</v>
      </c>
      <c r="C104" s="566">
        <v>6500</v>
      </c>
      <c r="D104" s="501">
        <v>730</v>
      </c>
      <c r="E104" s="720">
        <v>6500</v>
      </c>
      <c r="F104" s="501">
        <v>18000</v>
      </c>
      <c r="G104" s="461">
        <v>53000</v>
      </c>
    </row>
    <row r="105" spans="1:7" ht="12.75" customHeight="1">
      <c r="A105" s="458" t="s">
        <v>349</v>
      </c>
      <c r="B105" s="501">
        <v>1500</v>
      </c>
      <c r="C105" s="566">
        <v>8500</v>
      </c>
      <c r="D105" s="501">
        <v>1500</v>
      </c>
      <c r="E105" s="720">
        <v>8500</v>
      </c>
      <c r="F105" s="501">
        <v>2200</v>
      </c>
      <c r="G105" s="461">
        <v>26000</v>
      </c>
    </row>
    <row r="106" spans="1:7" ht="12.75" customHeight="1">
      <c r="A106" s="458" t="s">
        <v>590</v>
      </c>
      <c r="B106" s="501">
        <v>2.1</v>
      </c>
      <c r="C106" s="566">
        <v>37</v>
      </c>
      <c r="D106" s="501">
        <v>2.1</v>
      </c>
      <c r="E106" s="720">
        <v>37</v>
      </c>
      <c r="F106" s="501">
        <v>2.1</v>
      </c>
      <c r="G106" s="461">
        <v>37</v>
      </c>
    </row>
    <row r="107" spans="1:7" ht="12.75" customHeight="1">
      <c r="A107" s="458" t="s">
        <v>591</v>
      </c>
      <c r="B107" s="501">
        <v>4.7</v>
      </c>
      <c r="C107" s="566">
        <v>42</v>
      </c>
      <c r="D107" s="501">
        <v>4.7</v>
      </c>
      <c r="E107" s="720">
        <v>42</v>
      </c>
      <c r="F107" s="501">
        <v>72</v>
      </c>
      <c r="G107" s="461">
        <v>86</v>
      </c>
    </row>
    <row r="108" spans="1:7" ht="12.75" customHeight="1">
      <c r="A108" s="458" t="s">
        <v>465</v>
      </c>
      <c r="B108" s="501">
        <v>370</v>
      </c>
      <c r="C108" s="566">
        <v>7200</v>
      </c>
      <c r="D108" s="501">
        <v>800</v>
      </c>
      <c r="E108" s="720">
        <v>7200</v>
      </c>
      <c r="F108" s="501">
        <v>370</v>
      </c>
      <c r="G108" s="461">
        <v>16000</v>
      </c>
    </row>
    <row r="109" spans="1:7" ht="12.75" customHeight="1">
      <c r="A109" s="458" t="s">
        <v>466</v>
      </c>
      <c r="B109" s="501">
        <v>12</v>
      </c>
      <c r="C109" s="566">
        <v>770</v>
      </c>
      <c r="D109" s="501">
        <v>21</v>
      </c>
      <c r="E109" s="720">
        <v>770</v>
      </c>
      <c r="F109" s="501">
        <v>12</v>
      </c>
      <c r="G109" s="461">
        <v>780</v>
      </c>
    </row>
    <row r="110" spans="1:7" ht="12.75" customHeight="1">
      <c r="A110" s="458" t="s">
        <v>812</v>
      </c>
      <c r="B110" s="501">
        <v>5</v>
      </c>
      <c r="C110" s="566">
        <v>5</v>
      </c>
      <c r="D110" s="501">
        <v>5</v>
      </c>
      <c r="E110" s="720">
        <v>5</v>
      </c>
      <c r="F110" s="501">
        <v>8.3000000000000007</v>
      </c>
      <c r="G110" s="461">
        <v>75</v>
      </c>
    </row>
    <row r="111" spans="1:7" ht="12.75" customHeight="1">
      <c r="A111" s="458" t="s">
        <v>106</v>
      </c>
      <c r="B111" s="501">
        <v>380</v>
      </c>
      <c r="C111" s="566">
        <v>2000</v>
      </c>
      <c r="D111" s="501">
        <v>380</v>
      </c>
      <c r="E111" s="720">
        <v>9000</v>
      </c>
      <c r="F111" s="501">
        <v>380</v>
      </c>
      <c r="G111" s="461">
        <v>2000</v>
      </c>
    </row>
    <row r="112" spans="1:7" ht="12.75" customHeight="1">
      <c r="A112" s="458" t="s">
        <v>107</v>
      </c>
      <c r="B112" s="501">
        <v>18</v>
      </c>
      <c r="C112" s="566">
        <v>160</v>
      </c>
      <c r="D112" s="501">
        <v>18</v>
      </c>
      <c r="E112" s="720">
        <v>160</v>
      </c>
      <c r="F112" s="501">
        <v>18</v>
      </c>
      <c r="G112" s="461">
        <v>160</v>
      </c>
    </row>
    <row r="113" spans="1:7" ht="12.75" customHeight="1">
      <c r="A113" s="458" t="s">
        <v>108</v>
      </c>
      <c r="B113" s="501">
        <v>71</v>
      </c>
      <c r="C113" s="566">
        <v>640</v>
      </c>
      <c r="D113" s="501">
        <v>71</v>
      </c>
      <c r="E113" s="720">
        <v>640</v>
      </c>
      <c r="F113" s="501">
        <v>71</v>
      </c>
      <c r="G113" s="461">
        <v>640</v>
      </c>
    </row>
    <row r="114" spans="1:7" ht="12.75" customHeight="1">
      <c r="A114" s="458" t="s">
        <v>109</v>
      </c>
      <c r="B114" s="501">
        <v>42</v>
      </c>
      <c r="C114" s="566">
        <v>380</v>
      </c>
      <c r="D114" s="501">
        <v>42</v>
      </c>
      <c r="E114" s="720">
        <v>380</v>
      </c>
      <c r="F114" s="501">
        <v>42</v>
      </c>
      <c r="G114" s="461">
        <v>380</v>
      </c>
    </row>
    <row r="115" spans="1:7" ht="12.75" customHeight="1">
      <c r="A115" s="458" t="s">
        <v>110</v>
      </c>
      <c r="B115" s="501">
        <v>46</v>
      </c>
      <c r="C115" s="566">
        <v>410</v>
      </c>
      <c r="D115" s="501">
        <v>46</v>
      </c>
      <c r="E115" s="720">
        <v>410</v>
      </c>
      <c r="F115" s="501">
        <v>46</v>
      </c>
      <c r="G115" s="461">
        <v>410</v>
      </c>
    </row>
    <row r="116" spans="1:7" ht="12.75" customHeight="1">
      <c r="A116" s="458" t="s">
        <v>467</v>
      </c>
      <c r="B116" s="501">
        <v>7.9</v>
      </c>
      <c r="C116" s="566">
        <v>13</v>
      </c>
      <c r="D116" s="501">
        <v>13</v>
      </c>
      <c r="E116" s="720">
        <v>20</v>
      </c>
      <c r="F116" s="501">
        <v>7.9</v>
      </c>
      <c r="G116" s="461">
        <v>13</v>
      </c>
    </row>
    <row r="117" spans="1:7" ht="12.75" customHeight="1">
      <c r="A117" s="458" t="s">
        <v>111</v>
      </c>
      <c r="B117" s="501">
        <v>850000</v>
      </c>
      <c r="C117" s="566">
        <v>850000</v>
      </c>
      <c r="D117" s="501">
        <v>850000</v>
      </c>
      <c r="E117" s="720">
        <v>850000</v>
      </c>
      <c r="F117" s="501">
        <v>850000</v>
      </c>
      <c r="G117" s="461">
        <v>850000</v>
      </c>
    </row>
    <row r="118" spans="1:7" ht="12.75" customHeight="1">
      <c r="A118" s="458" t="s">
        <v>231</v>
      </c>
      <c r="B118" s="501">
        <v>600</v>
      </c>
      <c r="C118" s="566">
        <v>5000</v>
      </c>
      <c r="D118" s="501">
        <v>600</v>
      </c>
      <c r="E118" s="720">
        <v>5000</v>
      </c>
      <c r="F118" s="501">
        <v>600</v>
      </c>
      <c r="G118" s="461">
        <v>5000</v>
      </c>
    </row>
    <row r="119" spans="1:7" ht="12.75" customHeight="1">
      <c r="A119" s="458" t="s">
        <v>468</v>
      </c>
      <c r="B119" s="501">
        <v>2.2999999999999998</v>
      </c>
      <c r="C119" s="566">
        <v>300</v>
      </c>
      <c r="D119" s="501">
        <v>2.2999999999999998</v>
      </c>
      <c r="E119" s="720">
        <v>300</v>
      </c>
      <c r="F119" s="501">
        <v>4.5999999999999996</v>
      </c>
      <c r="G119" s="461">
        <v>300</v>
      </c>
    </row>
    <row r="120" spans="1:7" ht="12.75" customHeight="1">
      <c r="A120" s="458" t="s">
        <v>469</v>
      </c>
      <c r="B120" s="501">
        <v>58</v>
      </c>
      <c r="C120" s="566">
        <v>300</v>
      </c>
      <c r="D120" s="501">
        <v>160</v>
      </c>
      <c r="E120" s="720">
        <v>4700</v>
      </c>
      <c r="F120" s="501">
        <v>58</v>
      </c>
      <c r="G120" s="461">
        <v>300</v>
      </c>
    </row>
    <row r="121" spans="1:7" ht="12.75" customHeight="1">
      <c r="A121" s="458" t="s">
        <v>365</v>
      </c>
      <c r="B121" s="501">
        <v>1.4E-2</v>
      </c>
      <c r="C121" s="566">
        <v>2</v>
      </c>
      <c r="D121" s="501">
        <v>1.4E-2</v>
      </c>
      <c r="E121" s="720">
        <v>2</v>
      </c>
      <c r="F121" s="501">
        <v>0.03</v>
      </c>
      <c r="G121" s="461">
        <v>10</v>
      </c>
    </row>
    <row r="122" spans="1:7" ht="12.75" customHeight="1">
      <c r="A122" s="458" t="s">
        <v>112</v>
      </c>
      <c r="B122" s="501">
        <v>95</v>
      </c>
      <c r="C122" s="566">
        <v>425</v>
      </c>
      <c r="D122" s="501">
        <v>95</v>
      </c>
      <c r="E122" s="720">
        <v>425</v>
      </c>
      <c r="F122" s="501">
        <v>95</v>
      </c>
      <c r="G122" s="461">
        <v>425</v>
      </c>
    </row>
    <row r="123" spans="1:7" ht="12.75" customHeight="1">
      <c r="A123" s="458" t="s">
        <v>470</v>
      </c>
      <c r="B123" s="501">
        <v>4.5999999999999996</v>
      </c>
      <c r="C123" s="566">
        <v>300</v>
      </c>
      <c r="D123" s="501">
        <v>4.5999999999999996</v>
      </c>
      <c r="E123" s="720">
        <v>300</v>
      </c>
      <c r="F123" s="501">
        <v>10</v>
      </c>
      <c r="G123" s="461">
        <v>300</v>
      </c>
    </row>
    <row r="124" spans="1:7" ht="12.75" customHeight="1">
      <c r="A124" s="458" t="s">
        <v>471</v>
      </c>
      <c r="B124" s="501">
        <v>5</v>
      </c>
      <c r="C124" s="566">
        <v>20</v>
      </c>
      <c r="D124" s="501">
        <v>5</v>
      </c>
      <c r="E124" s="720">
        <v>20</v>
      </c>
      <c r="F124" s="501">
        <v>71</v>
      </c>
      <c r="G124" s="461">
        <v>300</v>
      </c>
    </row>
    <row r="125" spans="1:7" ht="12.75" customHeight="1">
      <c r="A125" s="458" t="s">
        <v>813</v>
      </c>
      <c r="B125" s="501">
        <v>0.1</v>
      </c>
      <c r="C125" s="566">
        <v>1</v>
      </c>
      <c r="D125" s="501">
        <v>1</v>
      </c>
      <c r="E125" s="720">
        <v>1</v>
      </c>
      <c r="F125" s="501">
        <v>0.1</v>
      </c>
      <c r="G125" s="461">
        <v>2.2999999999999998</v>
      </c>
    </row>
    <row r="126" spans="1:7" ht="12.75" customHeight="1">
      <c r="A126" s="458" t="s">
        <v>113</v>
      </c>
      <c r="B126" s="501">
        <v>9</v>
      </c>
      <c r="C126" s="566">
        <v>80</v>
      </c>
      <c r="D126" s="501">
        <v>9</v>
      </c>
      <c r="E126" s="720">
        <v>80</v>
      </c>
      <c r="F126" s="501">
        <v>9</v>
      </c>
      <c r="G126" s="461">
        <v>80</v>
      </c>
    </row>
    <row r="127" spans="1:7" ht="12.75" customHeight="1">
      <c r="A127" s="458" t="s">
        <v>472</v>
      </c>
      <c r="B127" s="501">
        <v>32</v>
      </c>
      <c r="C127" s="566">
        <v>290</v>
      </c>
      <c r="D127" s="501">
        <v>32</v>
      </c>
      <c r="E127" s="720">
        <v>290</v>
      </c>
      <c r="F127" s="501">
        <v>32</v>
      </c>
      <c r="G127" s="461">
        <v>290</v>
      </c>
    </row>
    <row r="128" spans="1:7" ht="12.75" customHeight="1">
      <c r="A128" s="458" t="s">
        <v>114</v>
      </c>
      <c r="B128" s="501">
        <v>251.31929956026045</v>
      </c>
      <c r="C128" s="566">
        <v>251.31929956026045</v>
      </c>
      <c r="D128" s="501">
        <v>1200</v>
      </c>
      <c r="E128" s="720">
        <v>23100</v>
      </c>
      <c r="F128" s="501">
        <v>251.31929956026045</v>
      </c>
      <c r="G128" s="461">
        <v>251.31929956026045</v>
      </c>
    </row>
    <row r="129" spans="1:7" ht="12.75" customHeight="1">
      <c r="A129" s="458" t="s">
        <v>19</v>
      </c>
      <c r="B129" s="501">
        <v>18000</v>
      </c>
      <c r="C129" s="566">
        <v>180000</v>
      </c>
      <c r="D129" s="501">
        <v>18000</v>
      </c>
      <c r="E129" s="720">
        <v>180000</v>
      </c>
      <c r="F129" s="501">
        <v>18000</v>
      </c>
      <c r="G129" s="461">
        <v>180000</v>
      </c>
    </row>
    <row r="130" spans="1:7" ht="12.75" customHeight="1">
      <c r="A130" s="458" t="s">
        <v>473</v>
      </c>
      <c r="B130" s="501">
        <v>10.8</v>
      </c>
      <c r="C130" s="566">
        <v>770</v>
      </c>
      <c r="D130" s="501">
        <v>85</v>
      </c>
      <c r="E130" s="720">
        <v>3100</v>
      </c>
      <c r="F130" s="501">
        <v>10.8</v>
      </c>
      <c r="G130" s="461">
        <v>770</v>
      </c>
    </row>
    <row r="131" spans="1:7" ht="12.75" customHeight="1">
      <c r="A131" s="458" t="s">
        <v>474</v>
      </c>
      <c r="B131" s="501">
        <v>200</v>
      </c>
      <c r="C131" s="566">
        <v>910</v>
      </c>
      <c r="D131" s="501">
        <v>200</v>
      </c>
      <c r="E131" s="720">
        <v>910</v>
      </c>
      <c r="F131" s="501">
        <v>610</v>
      </c>
      <c r="G131" s="461">
        <v>3000</v>
      </c>
    </row>
    <row r="132" spans="1:7" ht="12.75" customHeight="1">
      <c r="A132" s="458" t="s">
        <v>475</v>
      </c>
      <c r="B132" s="501">
        <v>53</v>
      </c>
      <c r="C132" s="566">
        <v>1800</v>
      </c>
      <c r="D132" s="501">
        <v>53</v>
      </c>
      <c r="E132" s="720">
        <v>1800</v>
      </c>
      <c r="F132" s="501">
        <v>145</v>
      </c>
      <c r="G132" s="461">
        <v>3400</v>
      </c>
    </row>
    <row r="133" spans="1:7" ht="12.75" customHeight="1">
      <c r="A133" s="458" t="s">
        <v>115</v>
      </c>
      <c r="B133" s="501">
        <v>1.2</v>
      </c>
      <c r="C133" s="566">
        <v>11</v>
      </c>
      <c r="D133" s="501">
        <v>1.2</v>
      </c>
      <c r="E133" s="720">
        <v>11</v>
      </c>
      <c r="F133" s="501">
        <v>1.2</v>
      </c>
      <c r="G133" s="461">
        <v>11</v>
      </c>
    </row>
    <row r="134" spans="1:7" ht="12.75" customHeight="1">
      <c r="A134" s="458" t="s">
        <v>116</v>
      </c>
      <c r="B134" s="501">
        <v>220</v>
      </c>
      <c r="C134" s="566">
        <v>1200</v>
      </c>
      <c r="D134" s="501">
        <v>220</v>
      </c>
      <c r="E134" s="720">
        <v>1200</v>
      </c>
      <c r="F134" s="501">
        <v>330</v>
      </c>
      <c r="G134" s="461">
        <v>1880</v>
      </c>
    </row>
    <row r="135" spans="1:7" ht="12.75" customHeight="1">
      <c r="A135" s="458" t="s">
        <v>476</v>
      </c>
      <c r="B135" s="501">
        <v>6</v>
      </c>
      <c r="C135" s="566">
        <v>470</v>
      </c>
      <c r="D135" s="501">
        <v>6</v>
      </c>
      <c r="E135" s="720">
        <v>470</v>
      </c>
      <c r="F135" s="501">
        <v>12</v>
      </c>
      <c r="G135" s="461">
        <v>710</v>
      </c>
    </row>
    <row r="136" spans="1:7" ht="12.75" customHeight="1">
      <c r="A136" s="458" t="s">
        <v>366</v>
      </c>
      <c r="B136" s="501">
        <v>9.8000000000000007</v>
      </c>
      <c r="C136" s="566">
        <v>2100</v>
      </c>
      <c r="D136" s="501">
        <v>62</v>
      </c>
      <c r="E136" s="720">
        <v>5800</v>
      </c>
      <c r="F136" s="501">
        <v>9.8000000000000007</v>
      </c>
      <c r="G136" s="461">
        <v>2100</v>
      </c>
    </row>
    <row r="137" spans="1:7" ht="12.75" customHeight="1">
      <c r="A137" s="458" t="s">
        <v>20</v>
      </c>
      <c r="B137" s="501">
        <v>2.0000000000000001E-4</v>
      </c>
      <c r="C137" s="566">
        <v>0.21</v>
      </c>
      <c r="D137" s="501">
        <v>2.0000000000000001E-4</v>
      </c>
      <c r="E137" s="720">
        <v>0.73</v>
      </c>
      <c r="F137" s="501">
        <v>2.0000000000000001E-4</v>
      </c>
      <c r="G137" s="461">
        <v>0.21</v>
      </c>
    </row>
    <row r="138" spans="1:7" ht="12.75" customHeight="1">
      <c r="A138" s="458" t="s">
        <v>57</v>
      </c>
      <c r="B138" s="501">
        <v>500</v>
      </c>
      <c r="C138" s="566">
        <v>5000</v>
      </c>
      <c r="D138" s="501">
        <v>500</v>
      </c>
      <c r="E138" s="720">
        <v>5000</v>
      </c>
      <c r="F138" s="501">
        <v>3700</v>
      </c>
      <c r="G138" s="461">
        <v>5000</v>
      </c>
    </row>
    <row r="139" spans="1:7" ht="12.75" customHeight="1">
      <c r="A139" s="458" t="s">
        <v>56</v>
      </c>
      <c r="B139" s="501">
        <v>640</v>
      </c>
      <c r="C139" s="566">
        <v>2500</v>
      </c>
      <c r="D139" s="501">
        <v>640</v>
      </c>
      <c r="E139" s="720">
        <v>2500</v>
      </c>
      <c r="F139" s="501">
        <v>640</v>
      </c>
      <c r="G139" s="461">
        <v>2500</v>
      </c>
    </row>
    <row r="140" spans="1:7" ht="12.75" customHeight="1">
      <c r="A140" s="458" t="s">
        <v>777</v>
      </c>
      <c r="B140" s="501">
        <v>640</v>
      </c>
      <c r="C140" s="566">
        <v>2500</v>
      </c>
      <c r="D140" s="501">
        <v>640</v>
      </c>
      <c r="E140" s="720">
        <v>2500</v>
      </c>
      <c r="F140" s="501">
        <v>640</v>
      </c>
      <c r="G140" s="461">
        <v>2500</v>
      </c>
    </row>
    <row r="141" spans="1:7" ht="12.75" customHeight="1">
      <c r="A141" s="458" t="s">
        <v>814</v>
      </c>
      <c r="B141" s="501">
        <v>110</v>
      </c>
      <c r="C141" s="566">
        <v>420</v>
      </c>
      <c r="D141" s="501">
        <v>130</v>
      </c>
      <c r="E141" s="720">
        <v>420</v>
      </c>
      <c r="F141" s="501">
        <v>110</v>
      </c>
      <c r="G141" s="461">
        <v>700</v>
      </c>
    </row>
    <row r="142" spans="1:7" ht="12.75" customHeight="1">
      <c r="A142" s="458" t="s">
        <v>815</v>
      </c>
      <c r="B142" s="501">
        <v>11</v>
      </c>
      <c r="C142" s="566">
        <v>6000</v>
      </c>
      <c r="D142" s="501">
        <v>76</v>
      </c>
      <c r="E142" s="720">
        <v>6000</v>
      </c>
      <c r="F142" s="501">
        <v>11</v>
      </c>
      <c r="G142" s="461">
        <v>10400</v>
      </c>
    </row>
    <row r="143" spans="1:7" ht="12.75" customHeight="1">
      <c r="A143" s="458" t="s">
        <v>477</v>
      </c>
      <c r="B143" s="501">
        <v>730</v>
      </c>
      <c r="C143" s="566">
        <v>5200</v>
      </c>
      <c r="D143" s="501">
        <v>730</v>
      </c>
      <c r="E143" s="720">
        <v>6000</v>
      </c>
      <c r="F143" s="501">
        <v>1200</v>
      </c>
      <c r="G143" s="461">
        <v>5200</v>
      </c>
    </row>
    <row r="144" spans="1:7" ht="12.75" customHeight="1">
      <c r="A144" s="458" t="s">
        <v>478</v>
      </c>
      <c r="B144" s="501">
        <v>47</v>
      </c>
      <c r="C144" s="566">
        <v>700</v>
      </c>
      <c r="D144" s="501">
        <v>200</v>
      </c>
      <c r="E144" s="720">
        <v>15000</v>
      </c>
      <c r="F144" s="501">
        <v>47</v>
      </c>
      <c r="G144" s="461">
        <v>700</v>
      </c>
    </row>
    <row r="145" spans="1:7" ht="12.75" customHeight="1">
      <c r="A145" s="458" t="s">
        <v>479</v>
      </c>
      <c r="B145" s="501">
        <v>1.9</v>
      </c>
      <c r="C145" s="566">
        <v>17</v>
      </c>
      <c r="D145" s="501">
        <v>1.9</v>
      </c>
      <c r="E145" s="720">
        <v>17</v>
      </c>
      <c r="F145" s="501">
        <v>12</v>
      </c>
      <c r="G145" s="461">
        <v>259</v>
      </c>
    </row>
    <row r="146" spans="1:7" ht="12.75" customHeight="1">
      <c r="A146" s="458" t="s">
        <v>480</v>
      </c>
      <c r="B146" s="501">
        <v>4.9000000000000004</v>
      </c>
      <c r="C146" s="566">
        <v>39</v>
      </c>
      <c r="D146" s="501">
        <v>4.9000000000000004</v>
      </c>
      <c r="E146" s="720">
        <v>39</v>
      </c>
      <c r="F146" s="501">
        <v>6.5</v>
      </c>
      <c r="G146" s="461">
        <v>39</v>
      </c>
    </row>
    <row r="147" spans="1:7" ht="12.75" customHeight="1">
      <c r="A147" s="462" t="s">
        <v>117</v>
      </c>
      <c r="B147" s="501">
        <v>686</v>
      </c>
      <c r="C147" s="566">
        <v>686</v>
      </c>
      <c r="D147" s="501">
        <v>686</v>
      </c>
      <c r="E147" s="720">
        <v>686</v>
      </c>
      <c r="F147" s="501">
        <v>686</v>
      </c>
      <c r="G147" s="461">
        <v>686</v>
      </c>
    </row>
    <row r="148" spans="1:7" ht="12.75" customHeight="1">
      <c r="A148" s="458" t="s">
        <v>118</v>
      </c>
      <c r="B148" s="501">
        <v>30</v>
      </c>
      <c r="C148" s="566">
        <v>270</v>
      </c>
      <c r="D148" s="501">
        <v>30</v>
      </c>
      <c r="E148" s="720">
        <v>270</v>
      </c>
      <c r="F148" s="501">
        <v>50</v>
      </c>
      <c r="G148" s="461">
        <v>270</v>
      </c>
    </row>
    <row r="149" spans="1:7" ht="12.75" customHeight="1">
      <c r="A149" s="458" t="s">
        <v>119</v>
      </c>
      <c r="B149" s="501">
        <v>14</v>
      </c>
      <c r="C149" s="566">
        <v>140</v>
      </c>
      <c r="D149" s="501">
        <v>14</v>
      </c>
      <c r="E149" s="720">
        <v>140</v>
      </c>
      <c r="F149" s="501">
        <v>14</v>
      </c>
      <c r="G149" s="461">
        <v>140</v>
      </c>
    </row>
    <row r="150" spans="1:7" ht="12.75" customHeight="1">
      <c r="A150" s="458" t="s">
        <v>120</v>
      </c>
      <c r="B150" s="501">
        <v>3.3315808860737541</v>
      </c>
      <c r="C150" s="566">
        <v>3.3315808860737541</v>
      </c>
      <c r="D150" s="501">
        <v>3.3315808860737541</v>
      </c>
      <c r="E150" s="720">
        <v>3.3315808860737541</v>
      </c>
      <c r="F150" s="501">
        <v>3.3315808860737541</v>
      </c>
      <c r="G150" s="461">
        <v>3.3315808860737541</v>
      </c>
    </row>
    <row r="151" spans="1:7" ht="12.75" customHeight="1">
      <c r="A151" s="458" t="s">
        <v>602</v>
      </c>
      <c r="B151" s="501">
        <v>1.1399999999999999</v>
      </c>
      <c r="C151" s="566">
        <v>20.5</v>
      </c>
      <c r="D151" s="501">
        <v>1.1399999999999999</v>
      </c>
      <c r="E151" s="720">
        <v>20.5</v>
      </c>
      <c r="F151" s="501">
        <v>1.1399999999999999</v>
      </c>
      <c r="G151" s="461">
        <v>20.5</v>
      </c>
    </row>
    <row r="152" spans="1:7" ht="12.75" customHeight="1">
      <c r="A152" s="458" t="s">
        <v>939</v>
      </c>
      <c r="B152" s="501">
        <v>10</v>
      </c>
      <c r="C152" s="566">
        <v>27</v>
      </c>
      <c r="D152" s="501">
        <v>11</v>
      </c>
      <c r="E152" s="720">
        <v>27</v>
      </c>
      <c r="F152" s="501">
        <v>10</v>
      </c>
      <c r="G152" s="461">
        <v>30</v>
      </c>
    </row>
    <row r="153" spans="1:7" ht="12.75" customHeight="1">
      <c r="A153" s="458" t="s">
        <v>603</v>
      </c>
      <c r="B153" s="501">
        <v>39.469382156875795</v>
      </c>
      <c r="C153" s="566">
        <v>39.469382156875795</v>
      </c>
      <c r="D153" s="501">
        <v>39.469382156875795</v>
      </c>
      <c r="E153" s="720">
        <v>39.469382156875795</v>
      </c>
      <c r="F153" s="501">
        <v>39.469382156875795</v>
      </c>
      <c r="G153" s="461">
        <v>39.469382156875795</v>
      </c>
    </row>
    <row r="154" spans="1:7" ht="12.75" customHeight="1">
      <c r="A154" s="458" t="s">
        <v>605</v>
      </c>
      <c r="B154" s="501">
        <v>13</v>
      </c>
      <c r="C154" s="566">
        <v>210</v>
      </c>
      <c r="D154" s="501">
        <v>13</v>
      </c>
      <c r="E154" s="720">
        <v>210</v>
      </c>
      <c r="F154" s="501">
        <v>90</v>
      </c>
      <c r="G154" s="461">
        <v>570</v>
      </c>
    </row>
    <row r="155" spans="1:7" ht="12.75" customHeight="1">
      <c r="A155" s="458" t="s">
        <v>481</v>
      </c>
      <c r="B155" s="501">
        <v>27</v>
      </c>
      <c r="C155" s="566">
        <v>90</v>
      </c>
      <c r="D155" s="501">
        <v>27</v>
      </c>
      <c r="E155" s="720">
        <v>120</v>
      </c>
      <c r="F155" s="501">
        <v>81</v>
      </c>
      <c r="G155" s="461">
        <v>90</v>
      </c>
    </row>
    <row r="156" spans="1:7" ht="12.75" customHeight="1">
      <c r="A156" s="458" t="s">
        <v>482</v>
      </c>
      <c r="B156" s="501">
        <v>930</v>
      </c>
      <c r="C156" s="566">
        <v>8400</v>
      </c>
      <c r="D156" s="501">
        <v>930</v>
      </c>
      <c r="E156" s="720">
        <v>8400</v>
      </c>
      <c r="F156" s="501">
        <v>930</v>
      </c>
      <c r="G156" s="461">
        <v>8400</v>
      </c>
    </row>
    <row r="157" spans="1:7" ht="12.75" customHeight="1">
      <c r="A157" s="458" t="s">
        <v>483</v>
      </c>
      <c r="B157" s="501">
        <v>13</v>
      </c>
      <c r="C157" s="566">
        <v>230</v>
      </c>
      <c r="D157" s="501">
        <v>27</v>
      </c>
      <c r="E157" s="720">
        <v>240</v>
      </c>
      <c r="F157" s="501">
        <v>13</v>
      </c>
      <c r="G157" s="461">
        <v>230</v>
      </c>
    </row>
    <row r="158" spans="1:7" ht="12.75" customHeight="1" thickBot="1">
      <c r="A158" s="466" t="s">
        <v>484</v>
      </c>
      <c r="B158" s="501">
        <v>22</v>
      </c>
      <c r="C158" s="566">
        <v>22</v>
      </c>
      <c r="D158" s="501">
        <v>22</v>
      </c>
      <c r="E158" s="720">
        <v>22</v>
      </c>
      <c r="F158" s="501">
        <v>86</v>
      </c>
      <c r="G158" s="461">
        <v>95</v>
      </c>
    </row>
    <row r="159" spans="1:7" ht="13.15" thickTop="1">
      <c r="A159" s="474" t="s">
        <v>488</v>
      </c>
      <c r="B159" s="472"/>
      <c r="C159" s="472"/>
      <c r="D159" s="472"/>
      <c r="E159" s="472"/>
      <c r="F159" s="472"/>
      <c r="G159" s="473"/>
    </row>
    <row r="160" spans="1:7">
      <c r="A160" s="482" t="s">
        <v>398</v>
      </c>
      <c r="B160" s="595"/>
      <c r="C160" s="595"/>
      <c r="G160" s="483"/>
    </row>
    <row r="161" spans="1:7" ht="13.15" thickBot="1">
      <c r="A161" s="706" t="s">
        <v>516</v>
      </c>
      <c r="B161" s="663"/>
      <c r="C161" s="663"/>
      <c r="D161" s="612"/>
      <c r="E161" s="612"/>
      <c r="F161" s="612"/>
      <c r="G161" s="723"/>
    </row>
    <row r="162" spans="1:7" ht="13.15" thickTop="1"/>
  </sheetData>
  <sheetProtection algorithmName="SHA-512" hashValue="uQUJFSTwddn4V/CU+UaDFbpDqodpS3OWXhQ+2kRq+dP700CZ3qXTudz8YMqPiYTpt7JXU3x4kiGYrl+RV9wpdA==" saltValue="iROzKOGoDhjH3+u9BfWOAA==" spinCount="100000" sheet="1" objects="1" scenarios="1"/>
  <phoneticPr fontId="18" type="noConversion"/>
  <printOptions horizontalCentered="1"/>
  <pageMargins left="0.75" right="0.75" top="0.62" bottom="1" header="0.5" footer="0.5"/>
  <pageSetup scale="82" fitToHeight="4" orientation="landscape" horizontalDpi="4294967293" r:id="rId1"/>
  <headerFooter alignWithMargins="0">
    <oddFooter>&amp;LHawai'i DOH
Spring 2024&amp;CPage &amp;P of &amp;N&amp;R&amp;A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29"/>
  </sheetPr>
  <dimension ref="A1:G163"/>
  <sheetViews>
    <sheetView zoomScaleNormal="100" workbookViewId="0">
      <pane ySplit="2640" topLeftCell="A5" activePane="bottomLeft"/>
      <selection activeCell="B7" sqref="B7"/>
      <selection pane="bottomLeft" activeCell="B7" sqref="B7"/>
    </sheetView>
  </sheetViews>
  <sheetFormatPr defaultColWidth="9.1328125" defaultRowHeight="10.15"/>
  <cols>
    <col min="1" max="1" width="40.86328125" style="1" customWidth="1"/>
    <col min="2" max="2" width="12.73046875" style="475" customWidth="1"/>
    <col min="3" max="3" width="22.73046875" style="3" customWidth="1"/>
    <col min="4" max="4" width="12.73046875" style="475" customWidth="1"/>
    <col min="5" max="5" width="22.73046875" style="610" customWidth="1"/>
    <col min="6" max="6" width="12.73046875" style="475" customWidth="1"/>
    <col min="7" max="7" width="22.73046875" style="610" customWidth="1"/>
    <col min="8" max="16384" width="9.1328125" style="1"/>
  </cols>
  <sheetData>
    <row r="1" spans="1:7" s="510" customFormat="1" ht="15">
      <c r="A1" s="751" t="s">
        <v>401</v>
      </c>
      <c r="B1" s="530"/>
      <c r="C1" s="531"/>
      <c r="D1" s="530"/>
      <c r="E1" s="531"/>
      <c r="F1" s="530"/>
      <c r="G1" s="531"/>
    </row>
    <row r="2" spans="1:7" s="510" customFormat="1" ht="10.5" thickBot="1">
      <c r="A2" s="694"/>
      <c r="B2" s="530"/>
      <c r="C2" s="531"/>
      <c r="D2" s="595"/>
      <c r="E2" s="756"/>
      <c r="F2" s="595"/>
      <c r="G2" s="756"/>
    </row>
    <row r="3" spans="1:7" s="510" customFormat="1" ht="23.25" customHeight="1" thickTop="1" thickBot="1">
      <c r="A3" s="526"/>
      <c r="B3" s="771" t="s">
        <v>442</v>
      </c>
      <c r="C3" s="772"/>
      <c r="D3" s="773"/>
      <c r="E3" s="772"/>
      <c r="F3" s="774"/>
      <c r="G3" s="775"/>
    </row>
    <row r="4" spans="1:7" s="510" customFormat="1" ht="68.25" customHeight="1" thickBot="1">
      <c r="A4" s="713" t="s">
        <v>232</v>
      </c>
      <c r="B4" s="492" t="s">
        <v>742</v>
      </c>
      <c r="C4" s="776" t="s">
        <v>485</v>
      </c>
      <c r="D4" s="777" t="s">
        <v>743</v>
      </c>
      <c r="E4" s="778" t="s">
        <v>485</v>
      </c>
      <c r="F4" s="769" t="s">
        <v>744</v>
      </c>
      <c r="G4" s="779" t="s">
        <v>485</v>
      </c>
    </row>
    <row r="5" spans="1:7" s="510" customFormat="1" ht="11.25" customHeight="1">
      <c r="A5" s="454" t="s">
        <v>548</v>
      </c>
      <c r="B5" s="497">
        <v>15</v>
      </c>
      <c r="C5" s="780" t="s">
        <v>1416</v>
      </c>
      <c r="D5" s="497">
        <v>15</v>
      </c>
      <c r="E5" s="734" t="s">
        <v>1416</v>
      </c>
      <c r="F5" s="497">
        <v>20</v>
      </c>
      <c r="G5" s="781" t="s">
        <v>1417</v>
      </c>
    </row>
    <row r="6" spans="1:7" s="510" customFormat="1" ht="11.25" customHeight="1">
      <c r="A6" s="458" t="s">
        <v>549</v>
      </c>
      <c r="B6" s="501">
        <v>13</v>
      </c>
      <c r="C6" s="782" t="s">
        <v>1416</v>
      </c>
      <c r="D6" s="501">
        <v>13</v>
      </c>
      <c r="E6" s="737" t="s">
        <v>1416</v>
      </c>
      <c r="F6" s="501">
        <v>307</v>
      </c>
      <c r="G6" s="783" t="s">
        <v>1417</v>
      </c>
    </row>
    <row r="7" spans="1:7" s="510" customFormat="1" ht="11.25" customHeight="1">
      <c r="A7" s="458" t="s">
        <v>550</v>
      </c>
      <c r="B7" s="501">
        <v>1500</v>
      </c>
      <c r="C7" s="782" t="s">
        <v>1417</v>
      </c>
      <c r="D7" s="501">
        <v>1700</v>
      </c>
      <c r="E7" s="737" t="s">
        <v>1416</v>
      </c>
      <c r="F7" s="501">
        <v>1500</v>
      </c>
      <c r="G7" s="783" t="s">
        <v>1417</v>
      </c>
    </row>
    <row r="8" spans="1:7" s="510" customFormat="1" ht="11.25" customHeight="1">
      <c r="A8" s="458" t="s">
        <v>551</v>
      </c>
      <c r="B8" s="501">
        <v>1.3999999999999999E-4</v>
      </c>
      <c r="C8" s="782" t="s">
        <v>1417</v>
      </c>
      <c r="D8" s="501">
        <v>3.5000000000000003E-2</v>
      </c>
      <c r="E8" s="737" t="s">
        <v>1416</v>
      </c>
      <c r="F8" s="501">
        <v>1.3999999999999999E-4</v>
      </c>
      <c r="G8" s="783" t="s">
        <v>1417</v>
      </c>
    </row>
    <row r="9" spans="1:7" s="510" customFormat="1" ht="11.25" customHeight="1">
      <c r="A9" s="458" t="s">
        <v>161</v>
      </c>
      <c r="B9" s="501">
        <v>700</v>
      </c>
      <c r="C9" s="782" t="s">
        <v>1097</v>
      </c>
      <c r="D9" s="501">
        <v>700</v>
      </c>
      <c r="E9" s="737" t="s">
        <v>1096</v>
      </c>
      <c r="F9" s="501">
        <v>700</v>
      </c>
      <c r="G9" s="783" t="s">
        <v>1097</v>
      </c>
    </row>
    <row r="10" spans="1:7" s="510" customFormat="1" ht="11.25" customHeight="1">
      <c r="A10" s="462" t="s">
        <v>162</v>
      </c>
      <c r="B10" s="501">
        <v>18</v>
      </c>
      <c r="C10" s="782" t="s">
        <v>1416</v>
      </c>
      <c r="D10" s="501">
        <v>18</v>
      </c>
      <c r="E10" s="737" t="s">
        <v>1416</v>
      </c>
      <c r="F10" s="501">
        <v>20</v>
      </c>
      <c r="G10" s="783" t="s">
        <v>1417</v>
      </c>
    </row>
    <row r="11" spans="1:7" s="510" customFormat="1" ht="11.25" customHeight="1">
      <c r="A11" s="462" t="s">
        <v>94</v>
      </c>
      <c r="B11" s="501">
        <v>11</v>
      </c>
      <c r="C11" s="782" t="s">
        <v>1091</v>
      </c>
      <c r="D11" s="501">
        <v>11</v>
      </c>
      <c r="E11" s="737" t="s">
        <v>1416</v>
      </c>
      <c r="F11" s="501">
        <v>11</v>
      </c>
      <c r="G11" s="783" t="s">
        <v>1091</v>
      </c>
    </row>
    <row r="12" spans="1:7" s="510" customFormat="1" ht="11.25" customHeight="1">
      <c r="A12" s="458" t="s">
        <v>552</v>
      </c>
      <c r="B12" s="501">
        <v>0.02</v>
      </c>
      <c r="C12" s="782" t="s">
        <v>1416</v>
      </c>
      <c r="D12" s="501">
        <v>0.02</v>
      </c>
      <c r="E12" s="737" t="s">
        <v>1416</v>
      </c>
      <c r="F12" s="501">
        <v>0.73</v>
      </c>
      <c r="G12" s="783" t="s">
        <v>1417</v>
      </c>
    </row>
    <row r="13" spans="1:7" s="510" customFormat="1" ht="11.25" customHeight="1">
      <c r="A13" s="458" t="s">
        <v>553</v>
      </c>
      <c r="B13" s="501">
        <v>30</v>
      </c>
      <c r="C13" s="782" t="s">
        <v>1417</v>
      </c>
      <c r="D13" s="501">
        <v>130</v>
      </c>
      <c r="E13" s="737" t="s">
        <v>1416</v>
      </c>
      <c r="F13" s="501">
        <v>30</v>
      </c>
      <c r="G13" s="783" t="s">
        <v>1417</v>
      </c>
    </row>
    <row r="14" spans="1:7" s="510" customFormat="1" ht="11.25" customHeight="1">
      <c r="A14" s="458" t="s">
        <v>686</v>
      </c>
      <c r="B14" s="501">
        <v>36</v>
      </c>
      <c r="C14" s="782" t="s">
        <v>1418</v>
      </c>
      <c r="D14" s="501">
        <v>190</v>
      </c>
      <c r="E14" s="737" t="s">
        <v>1419</v>
      </c>
      <c r="F14" s="501">
        <v>36</v>
      </c>
      <c r="G14" s="783" t="s">
        <v>1418</v>
      </c>
    </row>
    <row r="15" spans="1:7" s="510" customFormat="1" ht="11.25" customHeight="1">
      <c r="A15" s="458" t="s">
        <v>95</v>
      </c>
      <c r="B15" s="501">
        <v>12</v>
      </c>
      <c r="C15" s="782" t="s">
        <v>1091</v>
      </c>
      <c r="D15" s="501">
        <v>12</v>
      </c>
      <c r="E15" s="737" t="s">
        <v>1416</v>
      </c>
      <c r="F15" s="501">
        <v>12</v>
      </c>
      <c r="G15" s="783" t="s">
        <v>1091</v>
      </c>
    </row>
    <row r="16" spans="1:7" s="510" customFormat="1" ht="11.25" customHeight="1">
      <c r="A16" s="458" t="s">
        <v>687</v>
      </c>
      <c r="B16" s="501">
        <v>220</v>
      </c>
      <c r="C16" s="782" t="s">
        <v>1417</v>
      </c>
      <c r="D16" s="501">
        <v>220</v>
      </c>
      <c r="E16" s="737" t="s">
        <v>1416</v>
      </c>
      <c r="F16" s="501">
        <v>220</v>
      </c>
      <c r="G16" s="783" t="s">
        <v>1417</v>
      </c>
    </row>
    <row r="17" spans="1:7" s="510" customFormat="1" ht="11.25" customHeight="1">
      <c r="A17" s="458" t="s">
        <v>1156</v>
      </c>
      <c r="B17" s="501">
        <v>0.14000000000000001</v>
      </c>
      <c r="C17" s="782" t="s">
        <v>1159</v>
      </c>
      <c r="D17" s="501">
        <v>0.14000000000000001</v>
      </c>
      <c r="E17" s="737" t="s">
        <v>1158</v>
      </c>
      <c r="F17" s="501">
        <v>0.14000000000000001</v>
      </c>
      <c r="G17" s="783" t="s">
        <v>1159</v>
      </c>
    </row>
    <row r="18" spans="1:7" s="510" customFormat="1" ht="11.25" customHeight="1">
      <c r="A18" s="458" t="s">
        <v>688</v>
      </c>
      <c r="B18" s="501">
        <v>71.3</v>
      </c>
      <c r="C18" s="782" t="s">
        <v>1417</v>
      </c>
      <c r="D18" s="501">
        <v>160</v>
      </c>
      <c r="E18" s="737" t="s">
        <v>1416</v>
      </c>
      <c r="F18" s="501">
        <v>71.3</v>
      </c>
      <c r="G18" s="783" t="s">
        <v>1417</v>
      </c>
    </row>
    <row r="19" spans="1:7" s="510" customFormat="1" ht="11.25" customHeight="1">
      <c r="A19" s="458" t="s">
        <v>689</v>
      </c>
      <c r="B19" s="501">
        <v>2.7E-2</v>
      </c>
      <c r="C19" s="782" t="s">
        <v>1417</v>
      </c>
      <c r="D19" s="501">
        <v>4.7</v>
      </c>
      <c r="E19" s="737" t="s">
        <v>1416</v>
      </c>
      <c r="F19" s="501">
        <v>2.7E-2</v>
      </c>
      <c r="G19" s="783" t="s">
        <v>1417</v>
      </c>
    </row>
    <row r="20" spans="1:7" s="510" customFormat="1" ht="11.25" customHeight="1">
      <c r="A20" s="458" t="s">
        <v>690</v>
      </c>
      <c r="B20" s="501">
        <v>0.06</v>
      </c>
      <c r="C20" s="782" t="s">
        <v>1416</v>
      </c>
      <c r="D20" s="501">
        <v>0.06</v>
      </c>
      <c r="E20" s="737" t="s">
        <v>1416</v>
      </c>
      <c r="F20" s="501">
        <v>0.3</v>
      </c>
      <c r="G20" s="783" t="s">
        <v>1417</v>
      </c>
    </row>
    <row r="21" spans="1:7" s="510" customFormat="1" ht="11.25" customHeight="1">
      <c r="A21" s="458" t="s">
        <v>691</v>
      </c>
      <c r="B21" s="501">
        <v>0.68</v>
      </c>
      <c r="C21" s="782" t="s">
        <v>1417</v>
      </c>
      <c r="D21" s="501">
        <v>2.6</v>
      </c>
      <c r="E21" s="737" t="s">
        <v>1416</v>
      </c>
      <c r="F21" s="501">
        <v>0.68</v>
      </c>
      <c r="G21" s="783" t="s">
        <v>1417</v>
      </c>
    </row>
    <row r="22" spans="1:7" s="510" customFormat="1" ht="11.25" customHeight="1">
      <c r="A22" s="458" t="s">
        <v>692</v>
      </c>
      <c r="B22" s="501">
        <v>0.44</v>
      </c>
      <c r="C22" s="782" t="s">
        <v>1417</v>
      </c>
      <c r="D22" s="501">
        <v>0.44</v>
      </c>
      <c r="E22" s="737" t="s">
        <v>1416</v>
      </c>
      <c r="F22" s="501">
        <v>0.44</v>
      </c>
      <c r="G22" s="783" t="s">
        <v>1417</v>
      </c>
    </row>
    <row r="23" spans="1:7" s="510" customFormat="1" ht="11.25" customHeight="1">
      <c r="A23" s="458" t="s">
        <v>693</v>
      </c>
      <c r="B23" s="501">
        <v>0.64</v>
      </c>
      <c r="C23" s="782" t="s">
        <v>1417</v>
      </c>
      <c r="D23" s="501">
        <v>0.64</v>
      </c>
      <c r="E23" s="737" t="s">
        <v>1416</v>
      </c>
      <c r="F23" s="501">
        <v>0.64</v>
      </c>
      <c r="G23" s="783" t="s">
        <v>1417</v>
      </c>
    </row>
    <row r="24" spans="1:7" s="510" customFormat="1" ht="11.25" customHeight="1">
      <c r="A24" s="458" t="s">
        <v>126</v>
      </c>
      <c r="B24" s="501">
        <v>0.66</v>
      </c>
      <c r="C24" s="782" t="s">
        <v>1417</v>
      </c>
      <c r="D24" s="501">
        <v>11</v>
      </c>
      <c r="E24" s="737" t="s">
        <v>1416</v>
      </c>
      <c r="F24" s="501">
        <v>0.66</v>
      </c>
      <c r="G24" s="783" t="s">
        <v>1417</v>
      </c>
    </row>
    <row r="25" spans="1:7" s="510" customFormat="1" ht="11.25" customHeight="1">
      <c r="A25" s="458" t="s">
        <v>233</v>
      </c>
      <c r="B25" s="501">
        <v>6.5</v>
      </c>
      <c r="C25" s="782" t="s">
        <v>1416</v>
      </c>
      <c r="D25" s="501">
        <v>6.5</v>
      </c>
      <c r="E25" s="737" t="s">
        <v>1416</v>
      </c>
      <c r="F25" s="501">
        <v>14</v>
      </c>
      <c r="G25" s="783" t="s">
        <v>1417</v>
      </c>
    </row>
    <row r="26" spans="1:7" s="510" customFormat="1" ht="11.25" customHeight="1">
      <c r="A26" s="458" t="s">
        <v>127</v>
      </c>
      <c r="B26" s="501">
        <v>2380</v>
      </c>
      <c r="C26" s="782" t="s">
        <v>1128</v>
      </c>
      <c r="D26" s="501">
        <v>2380</v>
      </c>
      <c r="E26" s="737" t="s">
        <v>1126</v>
      </c>
      <c r="F26" s="501">
        <v>2380</v>
      </c>
      <c r="G26" s="783" t="s">
        <v>1128</v>
      </c>
    </row>
    <row r="27" spans="1:7" s="510" customFormat="1" ht="11.25" customHeight="1">
      <c r="A27" s="503" t="s">
        <v>1103</v>
      </c>
      <c r="B27" s="501">
        <v>0.35711381953846194</v>
      </c>
      <c r="C27" s="782" t="s">
        <v>1420</v>
      </c>
      <c r="D27" s="501">
        <v>0.35711381953846194</v>
      </c>
      <c r="E27" s="737" t="s">
        <v>1421</v>
      </c>
      <c r="F27" s="501">
        <v>0.35711381953846194</v>
      </c>
      <c r="G27" s="783" t="s">
        <v>1420</v>
      </c>
    </row>
    <row r="28" spans="1:7" s="510" customFormat="1" ht="11.25" customHeight="1">
      <c r="A28" s="458" t="s">
        <v>128</v>
      </c>
      <c r="B28" s="501">
        <v>3</v>
      </c>
      <c r="C28" s="782" t="s">
        <v>1417</v>
      </c>
      <c r="D28" s="501">
        <v>3</v>
      </c>
      <c r="E28" s="737" t="s">
        <v>1416</v>
      </c>
      <c r="F28" s="501">
        <v>3</v>
      </c>
      <c r="G28" s="783" t="s">
        <v>1417</v>
      </c>
    </row>
    <row r="29" spans="1:7" s="510" customFormat="1" ht="11.25" customHeight="1">
      <c r="A29" s="458" t="s">
        <v>129</v>
      </c>
      <c r="B29" s="501">
        <v>1000</v>
      </c>
      <c r="C29" s="782" t="s">
        <v>1417</v>
      </c>
      <c r="D29" s="501">
        <v>7200</v>
      </c>
      <c r="E29" s="737" t="s">
        <v>1416</v>
      </c>
      <c r="F29" s="501">
        <v>1000</v>
      </c>
      <c r="G29" s="783" t="s">
        <v>1417</v>
      </c>
    </row>
    <row r="30" spans="1:7" s="510" customFormat="1" ht="11.25" customHeight="1">
      <c r="A30" s="458" t="s">
        <v>130</v>
      </c>
      <c r="B30" s="501">
        <v>340</v>
      </c>
      <c r="C30" s="782" t="s">
        <v>1091</v>
      </c>
      <c r="D30" s="501">
        <v>340</v>
      </c>
      <c r="E30" s="737" t="s">
        <v>1416</v>
      </c>
      <c r="F30" s="501">
        <v>340</v>
      </c>
      <c r="G30" s="783" t="s">
        <v>1091</v>
      </c>
    </row>
    <row r="31" spans="1:7" s="510" customFormat="1" ht="11.25" customHeight="1">
      <c r="A31" s="458" t="s">
        <v>131</v>
      </c>
      <c r="B31" s="501">
        <v>230</v>
      </c>
      <c r="C31" s="782" t="s">
        <v>1416</v>
      </c>
      <c r="D31" s="501">
        <v>230</v>
      </c>
      <c r="E31" s="737" t="s">
        <v>1416</v>
      </c>
      <c r="F31" s="501">
        <v>320</v>
      </c>
      <c r="G31" s="783" t="s">
        <v>1417</v>
      </c>
    </row>
    <row r="32" spans="1:7" s="510" customFormat="1" ht="11.25" customHeight="1">
      <c r="A32" s="458" t="s">
        <v>132</v>
      </c>
      <c r="B32" s="501">
        <v>16</v>
      </c>
      <c r="C32" s="782" t="s">
        <v>1091</v>
      </c>
      <c r="D32" s="501">
        <v>16</v>
      </c>
      <c r="E32" s="737" t="s">
        <v>1416</v>
      </c>
      <c r="F32" s="501">
        <v>16</v>
      </c>
      <c r="G32" s="783" t="s">
        <v>1091</v>
      </c>
    </row>
    <row r="33" spans="1:7" s="510" customFormat="1" ht="11.25" customHeight="1">
      <c r="A33" s="458" t="s">
        <v>133</v>
      </c>
      <c r="B33" s="501">
        <v>3</v>
      </c>
      <c r="C33" s="782" t="s">
        <v>1419</v>
      </c>
      <c r="D33" s="501">
        <v>3</v>
      </c>
      <c r="E33" s="737" t="s">
        <v>1419</v>
      </c>
      <c r="F33" s="501">
        <v>9.3000000000000007</v>
      </c>
      <c r="G33" s="783" t="s">
        <v>1418</v>
      </c>
    </row>
    <row r="34" spans="1:7" s="510" customFormat="1" ht="11.25" customHeight="1">
      <c r="A34" s="458" t="s">
        <v>134</v>
      </c>
      <c r="B34" s="501">
        <v>9.8000000000000007</v>
      </c>
      <c r="C34" s="782" t="s">
        <v>1417</v>
      </c>
      <c r="D34" s="501">
        <v>77</v>
      </c>
      <c r="E34" s="737" t="s">
        <v>1416</v>
      </c>
      <c r="F34" s="501">
        <v>9.8000000000000007</v>
      </c>
      <c r="G34" s="783" t="s">
        <v>1417</v>
      </c>
    </row>
    <row r="35" spans="1:7" s="510" customFormat="1" ht="11.25" customHeight="1">
      <c r="A35" s="458" t="s">
        <v>614</v>
      </c>
      <c r="B35" s="501">
        <v>4.0000000000000001E-3</v>
      </c>
      <c r="C35" s="782" t="s">
        <v>1418</v>
      </c>
      <c r="D35" s="501">
        <v>4.3E-3</v>
      </c>
      <c r="E35" s="737" t="s">
        <v>1419</v>
      </c>
      <c r="F35" s="501">
        <v>4.0000000000000001E-3</v>
      </c>
      <c r="G35" s="783" t="s">
        <v>1418</v>
      </c>
    </row>
    <row r="36" spans="1:7" s="510" customFormat="1" ht="11.25" customHeight="1">
      <c r="A36" s="458" t="s">
        <v>135</v>
      </c>
      <c r="B36" s="501">
        <v>19</v>
      </c>
      <c r="C36" s="782" t="s">
        <v>1091</v>
      </c>
      <c r="D36" s="501">
        <v>19</v>
      </c>
      <c r="E36" s="737" t="s">
        <v>1416</v>
      </c>
      <c r="F36" s="501">
        <v>19</v>
      </c>
      <c r="G36" s="783" t="s">
        <v>1091</v>
      </c>
    </row>
    <row r="37" spans="1:7" s="510" customFormat="1" ht="11.25" customHeight="1">
      <c r="A37" s="458" t="s">
        <v>136</v>
      </c>
      <c r="B37" s="501">
        <v>25</v>
      </c>
      <c r="C37" s="782" t="s">
        <v>1416</v>
      </c>
      <c r="D37" s="501">
        <v>25</v>
      </c>
      <c r="E37" s="737" t="s">
        <v>1416</v>
      </c>
      <c r="F37" s="501">
        <v>64</v>
      </c>
      <c r="G37" s="783" t="s">
        <v>1417</v>
      </c>
    </row>
    <row r="38" spans="1:7" s="510" customFormat="1" ht="11.25" customHeight="1">
      <c r="A38" s="458" t="s">
        <v>781</v>
      </c>
      <c r="B38" s="501">
        <v>47673.469387755096</v>
      </c>
      <c r="C38" s="782" t="s">
        <v>1420</v>
      </c>
      <c r="D38" s="501">
        <v>47673.469387755096</v>
      </c>
      <c r="E38" s="737" t="s">
        <v>1421</v>
      </c>
      <c r="F38" s="501">
        <v>47673.469387755096</v>
      </c>
      <c r="G38" s="783" t="s">
        <v>1420</v>
      </c>
    </row>
    <row r="39" spans="1:7" ht="11.25" customHeight="1">
      <c r="A39" s="464" t="s">
        <v>137</v>
      </c>
      <c r="B39" s="501">
        <v>28</v>
      </c>
      <c r="C39" s="782" t="s">
        <v>1417</v>
      </c>
      <c r="D39" s="501">
        <v>140</v>
      </c>
      <c r="E39" s="737" t="s">
        <v>1416</v>
      </c>
      <c r="F39" s="501">
        <v>28</v>
      </c>
      <c r="G39" s="783" t="s">
        <v>1417</v>
      </c>
    </row>
    <row r="40" spans="1:7" ht="11.25" customHeight="1">
      <c r="A40" s="458" t="s">
        <v>782</v>
      </c>
      <c r="B40" s="501">
        <v>1072.6530612244896</v>
      </c>
      <c r="C40" s="782" t="s">
        <v>1420</v>
      </c>
      <c r="D40" s="501">
        <v>1072.6530612244896</v>
      </c>
      <c r="E40" s="737" t="s">
        <v>1421</v>
      </c>
      <c r="F40" s="501">
        <v>1072.6530612244896</v>
      </c>
      <c r="G40" s="783" t="s">
        <v>1420</v>
      </c>
    </row>
    <row r="41" spans="1:7" ht="11.25" customHeight="1">
      <c r="A41" s="458" t="s">
        <v>138</v>
      </c>
      <c r="B41" s="501">
        <v>32</v>
      </c>
      <c r="C41" s="782" t="s">
        <v>1416</v>
      </c>
      <c r="D41" s="501">
        <v>32</v>
      </c>
      <c r="E41" s="737" t="s">
        <v>1416</v>
      </c>
      <c r="F41" s="501">
        <v>400</v>
      </c>
      <c r="G41" s="783" t="s">
        <v>1417</v>
      </c>
    </row>
    <row r="42" spans="1:7" ht="11.25" customHeight="1">
      <c r="A42" s="458" t="s">
        <v>612</v>
      </c>
      <c r="B42" s="501">
        <v>11</v>
      </c>
      <c r="C42" s="782" t="s">
        <v>1094</v>
      </c>
      <c r="D42" s="501">
        <v>11</v>
      </c>
      <c r="E42" s="737" t="s">
        <v>1094</v>
      </c>
      <c r="F42" s="501">
        <v>50</v>
      </c>
      <c r="G42" s="783" t="s">
        <v>1094</v>
      </c>
    </row>
    <row r="43" spans="1:7" ht="11.25" customHeight="1">
      <c r="A43" s="458" t="s">
        <v>779</v>
      </c>
      <c r="B43" s="501">
        <v>20</v>
      </c>
      <c r="C43" s="782" t="s">
        <v>1417</v>
      </c>
      <c r="D43" s="501">
        <v>74</v>
      </c>
      <c r="E43" s="737" t="s">
        <v>1416</v>
      </c>
      <c r="F43" s="501">
        <v>20</v>
      </c>
      <c r="G43" s="783" t="s">
        <v>1417</v>
      </c>
    </row>
    <row r="44" spans="1:7" ht="11.25" customHeight="1">
      <c r="A44" s="458" t="s">
        <v>780</v>
      </c>
      <c r="B44" s="501">
        <v>11</v>
      </c>
      <c r="C44" s="782" t="s">
        <v>1419</v>
      </c>
      <c r="D44" s="501">
        <v>11</v>
      </c>
      <c r="E44" s="737" t="s">
        <v>1419</v>
      </c>
      <c r="F44" s="501">
        <v>50</v>
      </c>
      <c r="G44" s="783" t="s">
        <v>1418</v>
      </c>
    </row>
    <row r="45" spans="1:7" ht="11.25" customHeight="1">
      <c r="A45" s="458" t="s">
        <v>139</v>
      </c>
      <c r="B45" s="501">
        <v>2</v>
      </c>
      <c r="C45" s="782" t="s">
        <v>1417</v>
      </c>
      <c r="D45" s="501">
        <v>4.7</v>
      </c>
      <c r="E45" s="737" t="s">
        <v>1416</v>
      </c>
      <c r="F45" s="501">
        <v>2</v>
      </c>
      <c r="G45" s="783" t="s">
        <v>1417</v>
      </c>
    </row>
    <row r="46" spans="1:7" ht="11.25" customHeight="1">
      <c r="A46" s="458" t="s">
        <v>140</v>
      </c>
      <c r="B46" s="501">
        <v>19</v>
      </c>
      <c r="C46" s="782" t="s">
        <v>1416</v>
      </c>
      <c r="D46" s="501">
        <v>19</v>
      </c>
      <c r="E46" s="737" t="s">
        <v>1416</v>
      </c>
      <c r="F46" s="501">
        <v>23</v>
      </c>
      <c r="G46" s="783" t="s">
        <v>1417</v>
      </c>
    </row>
    <row r="47" spans="1:7" ht="11.25" customHeight="1">
      <c r="A47" s="458" t="s">
        <v>141</v>
      </c>
      <c r="B47" s="501">
        <v>2.9</v>
      </c>
      <c r="C47" s="782" t="s">
        <v>1418</v>
      </c>
      <c r="D47" s="501">
        <v>6</v>
      </c>
      <c r="E47" s="737" t="s">
        <v>1419</v>
      </c>
      <c r="F47" s="501">
        <v>2.9</v>
      </c>
      <c r="G47" s="783" t="s">
        <v>1418</v>
      </c>
    </row>
    <row r="48" spans="1:7" ht="11.25" customHeight="1">
      <c r="A48" s="458" t="s">
        <v>142</v>
      </c>
      <c r="B48" s="501">
        <v>1</v>
      </c>
      <c r="C48" s="782" t="s">
        <v>1418</v>
      </c>
      <c r="D48" s="501">
        <v>5.2</v>
      </c>
      <c r="E48" s="737" t="s">
        <v>1419</v>
      </c>
      <c r="F48" s="501">
        <v>1</v>
      </c>
      <c r="G48" s="783" t="s">
        <v>1418</v>
      </c>
    </row>
    <row r="49" spans="1:7" ht="11.25" customHeight="1">
      <c r="A49" s="462" t="s">
        <v>96</v>
      </c>
      <c r="B49" s="501">
        <v>79</v>
      </c>
      <c r="C49" s="782" t="s">
        <v>1416</v>
      </c>
      <c r="D49" s="501">
        <v>79</v>
      </c>
      <c r="E49" s="737" t="s">
        <v>1416</v>
      </c>
      <c r="F49" s="501">
        <v>190</v>
      </c>
      <c r="G49" s="783" t="s">
        <v>1417</v>
      </c>
    </row>
    <row r="50" spans="1:7" ht="11.25" customHeight="1">
      <c r="A50" s="458" t="s">
        <v>97</v>
      </c>
      <c r="B50" s="501">
        <v>300</v>
      </c>
      <c r="C50" s="782" t="s">
        <v>1116</v>
      </c>
      <c r="D50" s="501">
        <v>300</v>
      </c>
      <c r="E50" s="737" t="s">
        <v>1104</v>
      </c>
      <c r="F50" s="501">
        <v>300</v>
      </c>
      <c r="G50" s="783" t="s">
        <v>1116</v>
      </c>
    </row>
    <row r="51" spans="1:7" ht="11.25" customHeight="1">
      <c r="A51" s="458" t="s">
        <v>143</v>
      </c>
      <c r="B51" s="501">
        <v>0.8</v>
      </c>
      <c r="C51" s="782" t="s">
        <v>1416</v>
      </c>
      <c r="D51" s="501">
        <v>0.8</v>
      </c>
      <c r="E51" s="737" t="s">
        <v>1416</v>
      </c>
      <c r="F51" s="501">
        <v>7.1</v>
      </c>
      <c r="G51" s="783" t="s">
        <v>1417</v>
      </c>
    </row>
    <row r="52" spans="1:7" ht="11.25" customHeight="1">
      <c r="A52" s="458" t="s">
        <v>381</v>
      </c>
      <c r="B52" s="501">
        <v>0.04</v>
      </c>
      <c r="C52" s="782" t="s">
        <v>1420</v>
      </c>
      <c r="D52" s="501">
        <v>0.04</v>
      </c>
      <c r="E52" s="737" t="s">
        <v>1421</v>
      </c>
      <c r="F52" s="501">
        <v>0.04</v>
      </c>
      <c r="G52" s="783" t="s">
        <v>1420</v>
      </c>
    </row>
    <row r="53" spans="1:7" ht="11.25" customHeight="1">
      <c r="A53" s="458" t="s">
        <v>144</v>
      </c>
      <c r="B53" s="501">
        <v>34</v>
      </c>
      <c r="C53" s="782" t="s">
        <v>1417</v>
      </c>
      <c r="D53" s="501">
        <v>320</v>
      </c>
      <c r="E53" s="737" t="s">
        <v>1416</v>
      </c>
      <c r="F53" s="501">
        <v>34</v>
      </c>
      <c r="G53" s="783" t="s">
        <v>1417</v>
      </c>
    </row>
    <row r="54" spans="1:7" ht="11.25" customHeight="1">
      <c r="A54" s="458" t="s">
        <v>487</v>
      </c>
      <c r="B54" s="501">
        <v>1400</v>
      </c>
      <c r="C54" s="782" t="s">
        <v>358</v>
      </c>
      <c r="D54" s="501">
        <v>1400</v>
      </c>
      <c r="E54" s="737" t="s">
        <v>358</v>
      </c>
      <c r="F54" s="501">
        <v>1400</v>
      </c>
      <c r="G54" s="783" t="s">
        <v>358</v>
      </c>
    </row>
    <row r="55" spans="1:7" ht="11.25" customHeight="1">
      <c r="A55" s="458" t="s">
        <v>145</v>
      </c>
      <c r="B55" s="501">
        <v>14</v>
      </c>
      <c r="C55" s="782" t="s">
        <v>1417</v>
      </c>
      <c r="D55" s="501">
        <v>23</v>
      </c>
      <c r="E55" s="737" t="s">
        <v>1416</v>
      </c>
      <c r="F55" s="501">
        <v>14</v>
      </c>
      <c r="G55" s="783" t="s">
        <v>1417</v>
      </c>
    </row>
    <row r="56" spans="1:7" ht="11.25" customHeight="1">
      <c r="A56" s="458" t="s">
        <v>225</v>
      </c>
      <c r="B56" s="501">
        <v>22</v>
      </c>
      <c r="C56" s="782" t="s">
        <v>1416</v>
      </c>
      <c r="D56" s="501">
        <v>22</v>
      </c>
      <c r="E56" s="737" t="s">
        <v>1416</v>
      </c>
      <c r="F56" s="501">
        <v>71</v>
      </c>
      <c r="G56" s="783" t="s">
        <v>1417</v>
      </c>
    </row>
    <row r="57" spans="1:7" ht="11.25" customHeight="1">
      <c r="A57" s="458" t="s">
        <v>226</v>
      </c>
      <c r="B57" s="501">
        <v>9.4</v>
      </c>
      <c r="C57" s="782" t="s">
        <v>1416</v>
      </c>
      <c r="D57" s="501">
        <v>9.4</v>
      </c>
      <c r="E57" s="737" t="s">
        <v>1416</v>
      </c>
      <c r="F57" s="501">
        <v>15</v>
      </c>
      <c r="G57" s="783" t="s">
        <v>1417</v>
      </c>
    </row>
    <row r="58" spans="1:7" ht="11.25" customHeight="1">
      <c r="A58" s="458" t="s">
        <v>227</v>
      </c>
      <c r="B58" s="501">
        <v>4.5</v>
      </c>
      <c r="C58" s="782" t="s">
        <v>1091</v>
      </c>
      <c r="D58" s="501">
        <v>4.5</v>
      </c>
      <c r="E58" s="737" t="s">
        <v>1416</v>
      </c>
      <c r="F58" s="501">
        <v>4.5</v>
      </c>
      <c r="G58" s="783" t="s">
        <v>1091</v>
      </c>
    </row>
    <row r="59" spans="1:7" ht="11.25" customHeight="1">
      <c r="A59" s="458" t="s">
        <v>361</v>
      </c>
      <c r="B59" s="501">
        <v>1.0999999999999999E-2</v>
      </c>
      <c r="C59" s="782" t="s">
        <v>1417</v>
      </c>
      <c r="D59" s="501">
        <v>1.0999999999999999E-2</v>
      </c>
      <c r="E59" s="737" t="s">
        <v>1416</v>
      </c>
      <c r="F59" s="501">
        <v>1.0999999999999999E-2</v>
      </c>
      <c r="G59" s="783" t="s">
        <v>1417</v>
      </c>
    </row>
    <row r="60" spans="1:7" ht="11.25" customHeight="1">
      <c r="A60" s="458" t="s">
        <v>362</v>
      </c>
      <c r="B60" s="501">
        <v>0.41</v>
      </c>
      <c r="C60" s="782" t="s">
        <v>1091</v>
      </c>
      <c r="D60" s="501">
        <v>0.41</v>
      </c>
      <c r="E60" s="737" t="s">
        <v>1416</v>
      </c>
      <c r="F60" s="501">
        <v>0.41</v>
      </c>
      <c r="G60" s="783" t="s">
        <v>1091</v>
      </c>
    </row>
    <row r="61" spans="1:7" ht="11.25" customHeight="1">
      <c r="A61" s="458" t="s">
        <v>363</v>
      </c>
      <c r="B61" s="501">
        <v>1E-3</v>
      </c>
      <c r="C61" s="782" t="s">
        <v>1418</v>
      </c>
      <c r="D61" s="501">
        <v>1E-3</v>
      </c>
      <c r="E61" s="737" t="s">
        <v>1419</v>
      </c>
      <c r="F61" s="501">
        <v>1E-3</v>
      </c>
      <c r="G61" s="783" t="s">
        <v>1418</v>
      </c>
    </row>
    <row r="62" spans="1:7" ht="11.25" customHeight="1">
      <c r="A62" s="458" t="s">
        <v>234</v>
      </c>
      <c r="B62" s="501">
        <v>47</v>
      </c>
      <c r="C62" s="782" t="s">
        <v>1417</v>
      </c>
      <c r="D62" s="501">
        <v>410</v>
      </c>
      <c r="E62" s="737" t="s">
        <v>1416</v>
      </c>
      <c r="F62" s="501">
        <v>47</v>
      </c>
      <c r="G62" s="783" t="s">
        <v>1417</v>
      </c>
    </row>
    <row r="63" spans="1:7" ht="11.25" customHeight="1">
      <c r="A63" s="458" t="s">
        <v>235</v>
      </c>
      <c r="B63" s="501">
        <v>910</v>
      </c>
      <c r="C63" s="782" t="s">
        <v>1417</v>
      </c>
      <c r="D63" s="501">
        <v>2000</v>
      </c>
      <c r="E63" s="737" t="s">
        <v>1416</v>
      </c>
      <c r="F63" s="501">
        <v>910</v>
      </c>
      <c r="G63" s="783" t="s">
        <v>1417</v>
      </c>
    </row>
    <row r="64" spans="1:7" ht="11.25" customHeight="1">
      <c r="A64" s="458" t="s">
        <v>294</v>
      </c>
      <c r="B64" s="501">
        <v>25</v>
      </c>
      <c r="C64" s="782" t="s">
        <v>1417</v>
      </c>
      <c r="D64" s="501">
        <v>130</v>
      </c>
      <c r="E64" s="737" t="s">
        <v>1416</v>
      </c>
      <c r="F64" s="501">
        <v>25</v>
      </c>
      <c r="G64" s="783" t="s">
        <v>1417</v>
      </c>
    </row>
    <row r="65" spans="1:7" ht="11.25" customHeight="1">
      <c r="A65" s="458" t="s">
        <v>295</v>
      </c>
      <c r="B65" s="501">
        <v>620</v>
      </c>
      <c r="C65" s="782" t="s">
        <v>1091</v>
      </c>
      <c r="D65" s="501">
        <v>620</v>
      </c>
      <c r="E65" s="737" t="s">
        <v>1416</v>
      </c>
      <c r="F65" s="501">
        <v>620</v>
      </c>
      <c r="G65" s="783" t="s">
        <v>1091</v>
      </c>
    </row>
    <row r="66" spans="1:7" ht="11.25" customHeight="1">
      <c r="A66" s="458" t="s">
        <v>228</v>
      </c>
      <c r="B66" s="501">
        <v>558</v>
      </c>
      <c r="C66" s="782" t="s">
        <v>1091</v>
      </c>
      <c r="D66" s="501">
        <v>558</v>
      </c>
      <c r="E66" s="737" t="s">
        <v>1416</v>
      </c>
      <c r="F66" s="501">
        <v>558</v>
      </c>
      <c r="G66" s="783" t="s">
        <v>1091</v>
      </c>
    </row>
    <row r="67" spans="1:7" ht="11.25" customHeight="1">
      <c r="A67" s="458" t="s">
        <v>942</v>
      </c>
      <c r="B67" s="501">
        <v>11</v>
      </c>
      <c r="C67" s="782" t="s">
        <v>1416</v>
      </c>
      <c r="D67" s="501">
        <v>11</v>
      </c>
      <c r="E67" s="737" t="s">
        <v>1416</v>
      </c>
      <c r="F67" s="501">
        <v>790</v>
      </c>
      <c r="G67" s="783" t="s">
        <v>1417</v>
      </c>
    </row>
    <row r="68" spans="1:7" ht="11.25" customHeight="1">
      <c r="A68" s="458" t="s">
        <v>98</v>
      </c>
      <c r="B68" s="501">
        <v>70</v>
      </c>
      <c r="C68" s="782" t="s">
        <v>1417</v>
      </c>
      <c r="D68" s="501">
        <v>79.2</v>
      </c>
      <c r="E68" s="737" t="s">
        <v>1416</v>
      </c>
      <c r="F68" s="501">
        <v>70</v>
      </c>
      <c r="G68" s="783" t="s">
        <v>1417</v>
      </c>
    </row>
    <row r="69" spans="1:7" ht="11.25" customHeight="1">
      <c r="A69" s="458" t="s">
        <v>943</v>
      </c>
      <c r="B69" s="501">
        <v>520</v>
      </c>
      <c r="C69" s="782" t="s">
        <v>1091</v>
      </c>
      <c r="D69" s="501">
        <v>520</v>
      </c>
      <c r="E69" s="737" t="s">
        <v>1416</v>
      </c>
      <c r="F69" s="501">
        <v>520</v>
      </c>
      <c r="G69" s="783" t="s">
        <v>1091</v>
      </c>
    </row>
    <row r="70" spans="1:7" ht="11.25" customHeight="1">
      <c r="A70" s="458" t="s">
        <v>296</v>
      </c>
      <c r="B70" s="501">
        <v>0.06</v>
      </c>
      <c r="C70" s="782" t="s">
        <v>1417</v>
      </c>
      <c r="D70" s="501">
        <v>1.7</v>
      </c>
      <c r="E70" s="737" t="s">
        <v>1416</v>
      </c>
      <c r="F70" s="501">
        <v>0.06</v>
      </c>
      <c r="G70" s="783" t="s">
        <v>1417</v>
      </c>
    </row>
    <row r="71" spans="1:7" ht="11.25" customHeight="1">
      <c r="A71" s="458" t="s">
        <v>944</v>
      </c>
      <c r="B71" s="501">
        <v>1.9E-3</v>
      </c>
      <c r="C71" s="782" t="s">
        <v>1418</v>
      </c>
      <c r="D71" s="501">
        <v>1.9E-3</v>
      </c>
      <c r="E71" s="737" t="s">
        <v>1419</v>
      </c>
      <c r="F71" s="501">
        <v>1.9E-3</v>
      </c>
      <c r="G71" s="783" t="s">
        <v>1418</v>
      </c>
    </row>
    <row r="72" spans="1:7" ht="11.25" customHeight="1">
      <c r="A72" s="458" t="s">
        <v>945</v>
      </c>
      <c r="B72" s="501">
        <v>210</v>
      </c>
      <c r="C72" s="782" t="s">
        <v>1417</v>
      </c>
      <c r="D72" s="501">
        <v>220</v>
      </c>
      <c r="E72" s="737" t="s">
        <v>1416</v>
      </c>
      <c r="F72" s="501">
        <v>210</v>
      </c>
      <c r="G72" s="783" t="s">
        <v>1417</v>
      </c>
    </row>
    <row r="73" spans="1:7" ht="11.25" customHeight="1">
      <c r="A73" s="458" t="s">
        <v>947</v>
      </c>
      <c r="B73" s="501">
        <v>120</v>
      </c>
      <c r="C73" s="782" t="s">
        <v>1091</v>
      </c>
      <c r="D73" s="501">
        <v>120</v>
      </c>
      <c r="E73" s="737" t="s">
        <v>1416</v>
      </c>
      <c r="F73" s="501">
        <v>120</v>
      </c>
      <c r="G73" s="783" t="s">
        <v>1091</v>
      </c>
    </row>
    <row r="74" spans="1:7" ht="11.25" customHeight="1">
      <c r="A74" s="458" t="s">
        <v>946</v>
      </c>
      <c r="B74" s="501">
        <v>1100</v>
      </c>
      <c r="C74" s="782" t="s">
        <v>1416</v>
      </c>
      <c r="D74" s="501">
        <v>1100</v>
      </c>
      <c r="E74" s="737" t="s">
        <v>1416</v>
      </c>
      <c r="F74" s="501">
        <v>2900</v>
      </c>
      <c r="G74" s="783" t="s">
        <v>1417</v>
      </c>
    </row>
    <row r="75" spans="1:7" ht="11.25" customHeight="1">
      <c r="A75" s="462" t="s">
        <v>99</v>
      </c>
      <c r="B75" s="501">
        <v>10</v>
      </c>
      <c r="C75" s="782" t="s">
        <v>1417</v>
      </c>
      <c r="D75" s="501">
        <v>22</v>
      </c>
      <c r="E75" s="737" t="s">
        <v>1416</v>
      </c>
      <c r="F75" s="501">
        <v>10</v>
      </c>
      <c r="G75" s="783" t="s">
        <v>1417</v>
      </c>
    </row>
    <row r="76" spans="1:7" ht="11.25" customHeight="1">
      <c r="A76" s="458" t="s">
        <v>297</v>
      </c>
      <c r="B76" s="501">
        <v>14.3</v>
      </c>
      <c r="C76" s="782" t="s">
        <v>1417</v>
      </c>
      <c r="D76" s="501">
        <v>71</v>
      </c>
      <c r="E76" s="737" t="s">
        <v>1416</v>
      </c>
      <c r="F76" s="501">
        <v>14.3</v>
      </c>
      <c r="G76" s="783" t="s">
        <v>1417</v>
      </c>
    </row>
    <row r="77" spans="1:7" ht="11.25" customHeight="1">
      <c r="A77" s="462" t="s">
        <v>100</v>
      </c>
      <c r="B77" s="501">
        <v>9.1</v>
      </c>
      <c r="C77" s="782" t="s">
        <v>1417</v>
      </c>
      <c r="D77" s="501">
        <v>44</v>
      </c>
      <c r="E77" s="737" t="s">
        <v>1416</v>
      </c>
      <c r="F77" s="501">
        <v>9.1</v>
      </c>
      <c r="G77" s="783" t="s">
        <v>1417</v>
      </c>
    </row>
    <row r="78" spans="1:7" ht="11.25" customHeight="1">
      <c r="A78" s="462" t="s">
        <v>101</v>
      </c>
      <c r="B78" s="501">
        <v>81</v>
      </c>
      <c r="C78" s="782" t="s">
        <v>1091</v>
      </c>
      <c r="D78" s="501">
        <v>81</v>
      </c>
      <c r="E78" s="737" t="s">
        <v>1416</v>
      </c>
      <c r="F78" s="501">
        <v>81</v>
      </c>
      <c r="G78" s="783" t="s">
        <v>1091</v>
      </c>
    </row>
    <row r="79" spans="1:7" ht="11.25" customHeight="1">
      <c r="A79" s="458" t="s">
        <v>382</v>
      </c>
      <c r="B79" s="501">
        <v>335000</v>
      </c>
      <c r="C79" s="782" t="s">
        <v>1107</v>
      </c>
      <c r="D79" s="501">
        <v>335000</v>
      </c>
      <c r="E79" s="737" t="s">
        <v>1107</v>
      </c>
      <c r="F79" s="501">
        <v>500000</v>
      </c>
      <c r="G79" s="783" t="s">
        <v>1109</v>
      </c>
    </row>
    <row r="80" spans="1:7" ht="11.25" customHeight="1">
      <c r="A80" s="458" t="s">
        <v>594</v>
      </c>
      <c r="B80" s="501">
        <v>3.1E-9</v>
      </c>
      <c r="C80" s="782" t="s">
        <v>1091</v>
      </c>
      <c r="D80" s="501">
        <v>3.1E-9</v>
      </c>
      <c r="E80" s="737" t="s">
        <v>1416</v>
      </c>
      <c r="F80" s="501">
        <v>3.1E-9</v>
      </c>
      <c r="G80" s="783" t="s">
        <v>1091</v>
      </c>
    </row>
    <row r="81" spans="1:7" ht="11.25" customHeight="1">
      <c r="A81" s="458" t="s">
        <v>102</v>
      </c>
      <c r="B81" s="501">
        <v>60</v>
      </c>
      <c r="C81" s="782" t="s">
        <v>1106</v>
      </c>
      <c r="D81" s="501">
        <v>60</v>
      </c>
      <c r="E81" s="737" t="s">
        <v>1106</v>
      </c>
      <c r="F81" s="501">
        <v>60</v>
      </c>
      <c r="G81" s="783" t="s">
        <v>1106</v>
      </c>
    </row>
    <row r="82" spans="1:7" ht="11.25" customHeight="1">
      <c r="A82" s="458" t="s">
        <v>370</v>
      </c>
      <c r="B82" s="501">
        <v>8.6999999999999994E-3</v>
      </c>
      <c r="C82" s="782" t="s">
        <v>1418</v>
      </c>
      <c r="D82" s="501">
        <v>5.6000000000000001E-2</v>
      </c>
      <c r="E82" s="737" t="s">
        <v>1419</v>
      </c>
      <c r="F82" s="501">
        <v>8.6999999999999994E-3</v>
      </c>
      <c r="G82" s="783" t="s">
        <v>1418</v>
      </c>
    </row>
    <row r="83" spans="1:7" ht="11.25" customHeight="1">
      <c r="A83" s="458" t="s">
        <v>337</v>
      </c>
      <c r="B83" s="501">
        <v>2.3E-3</v>
      </c>
      <c r="C83" s="782" t="s">
        <v>1418</v>
      </c>
      <c r="D83" s="501">
        <v>2.3E-3</v>
      </c>
      <c r="E83" s="737" t="s">
        <v>1419</v>
      </c>
      <c r="F83" s="501">
        <v>2.3E-3</v>
      </c>
      <c r="G83" s="783" t="s">
        <v>1418</v>
      </c>
    </row>
    <row r="84" spans="1:7" ht="11.25" customHeight="1">
      <c r="A84" s="458" t="s">
        <v>28</v>
      </c>
      <c r="B84" s="501">
        <v>0</v>
      </c>
      <c r="C84" s="719" t="s">
        <v>50</v>
      </c>
      <c r="D84" s="501">
        <v>0</v>
      </c>
      <c r="E84" s="719" t="s">
        <v>50</v>
      </c>
      <c r="F84" s="501">
        <v>0</v>
      </c>
      <c r="G84" s="783" t="s">
        <v>1420</v>
      </c>
    </row>
    <row r="85" spans="1:7" ht="11.25" customHeight="1">
      <c r="A85" s="458" t="s">
        <v>338</v>
      </c>
      <c r="B85" s="501">
        <v>7.3</v>
      </c>
      <c r="C85" s="782" t="s">
        <v>1417</v>
      </c>
      <c r="D85" s="501">
        <v>61</v>
      </c>
      <c r="E85" s="737" t="s">
        <v>1416</v>
      </c>
      <c r="F85" s="501">
        <v>7.3</v>
      </c>
      <c r="G85" s="783" t="s">
        <v>1417</v>
      </c>
    </row>
    <row r="86" spans="1:7" ht="11.25" customHeight="1">
      <c r="A86" s="458" t="s">
        <v>339</v>
      </c>
      <c r="B86" s="501">
        <v>0.8</v>
      </c>
      <c r="C86" s="782" t="s">
        <v>1416</v>
      </c>
      <c r="D86" s="501">
        <v>0.8</v>
      </c>
      <c r="E86" s="737" t="s">
        <v>1416</v>
      </c>
      <c r="F86" s="501">
        <v>7.1</v>
      </c>
      <c r="G86" s="783" t="s">
        <v>1417</v>
      </c>
    </row>
    <row r="87" spans="1:7" ht="11.25" customHeight="1">
      <c r="A87" s="458" t="s">
        <v>340</v>
      </c>
      <c r="B87" s="501">
        <v>3.9</v>
      </c>
      <c r="C87" s="782" t="s">
        <v>1417</v>
      </c>
      <c r="D87" s="501">
        <v>19</v>
      </c>
      <c r="E87" s="737" t="s">
        <v>1416</v>
      </c>
      <c r="F87" s="501">
        <v>3.9</v>
      </c>
      <c r="G87" s="783" t="s">
        <v>1417</v>
      </c>
    </row>
    <row r="88" spans="1:7" ht="11.25" customHeight="1">
      <c r="A88" s="458" t="s">
        <v>103</v>
      </c>
      <c r="B88" s="501">
        <v>1800</v>
      </c>
      <c r="C88" s="782" t="s">
        <v>1097</v>
      </c>
      <c r="D88" s="501">
        <v>1800</v>
      </c>
      <c r="E88" s="737" t="s">
        <v>1096</v>
      </c>
      <c r="F88" s="501">
        <v>1800</v>
      </c>
      <c r="G88" s="783" t="s">
        <v>1097</v>
      </c>
    </row>
    <row r="89" spans="1:7" ht="11.25" customHeight="1">
      <c r="A89" s="458" t="s">
        <v>341</v>
      </c>
      <c r="B89" s="501">
        <v>3.5999999999999999E-3</v>
      </c>
      <c r="C89" s="782" t="s">
        <v>1418</v>
      </c>
      <c r="D89" s="501">
        <v>3.8E-3</v>
      </c>
      <c r="E89" s="737" t="s">
        <v>1419</v>
      </c>
      <c r="F89" s="501">
        <v>3.5999999999999999E-3</v>
      </c>
      <c r="G89" s="783" t="s">
        <v>1418</v>
      </c>
    </row>
    <row r="90" spans="1:7" ht="11.25" customHeight="1">
      <c r="A90" s="458" t="s">
        <v>342</v>
      </c>
      <c r="B90" s="501">
        <v>3.5999999999999999E-3</v>
      </c>
      <c r="C90" s="782" t="s">
        <v>1417</v>
      </c>
      <c r="D90" s="501">
        <v>3.8E-3</v>
      </c>
      <c r="E90" s="737" t="s">
        <v>1416</v>
      </c>
      <c r="F90" s="501">
        <v>3.5999999999999999E-3</v>
      </c>
      <c r="G90" s="783" t="s">
        <v>1417</v>
      </c>
    </row>
    <row r="91" spans="1:7" ht="11.25" customHeight="1">
      <c r="A91" s="458" t="s">
        <v>371</v>
      </c>
      <c r="B91" s="501">
        <v>2.9999999999999997E-4</v>
      </c>
      <c r="C91" s="782" t="s">
        <v>1091</v>
      </c>
      <c r="D91" s="501">
        <v>2.9999999999999997E-4</v>
      </c>
      <c r="E91" s="737" t="s">
        <v>1416</v>
      </c>
      <c r="F91" s="501">
        <v>2.9999999999999997E-4</v>
      </c>
      <c r="G91" s="783" t="s">
        <v>1091</v>
      </c>
    </row>
    <row r="92" spans="1:7" ht="11.25" customHeight="1">
      <c r="A92" s="458" t="s">
        <v>343</v>
      </c>
      <c r="B92" s="501">
        <v>0.3</v>
      </c>
      <c r="C92" s="782" t="s">
        <v>1417</v>
      </c>
      <c r="D92" s="501">
        <v>1</v>
      </c>
      <c r="E92" s="737" t="s">
        <v>1416</v>
      </c>
      <c r="F92" s="501">
        <v>0.3</v>
      </c>
      <c r="G92" s="783" t="s">
        <v>1417</v>
      </c>
    </row>
    <row r="93" spans="1:7" ht="11.25" customHeight="1">
      <c r="A93" s="458" t="s">
        <v>364</v>
      </c>
      <c r="B93" s="501">
        <v>6.3E-2</v>
      </c>
      <c r="C93" s="782" t="s">
        <v>1417</v>
      </c>
      <c r="D93" s="501">
        <v>0.08</v>
      </c>
      <c r="E93" s="737" t="s">
        <v>1419</v>
      </c>
      <c r="F93" s="501">
        <v>6.3E-2</v>
      </c>
      <c r="G93" s="783" t="s">
        <v>1417</v>
      </c>
    </row>
    <row r="94" spans="1:7" ht="11.25" customHeight="1">
      <c r="A94" s="458" t="s">
        <v>344</v>
      </c>
      <c r="B94" s="501">
        <v>12</v>
      </c>
      <c r="C94" s="782" t="s">
        <v>1417</v>
      </c>
      <c r="D94" s="501">
        <v>12</v>
      </c>
      <c r="E94" s="737" t="s">
        <v>1416</v>
      </c>
      <c r="F94" s="501">
        <v>12</v>
      </c>
      <c r="G94" s="783" t="s">
        <v>1417</v>
      </c>
    </row>
    <row r="95" spans="1:7" ht="11.25" customHeight="1">
      <c r="A95" s="458" t="s">
        <v>104</v>
      </c>
      <c r="B95" s="501">
        <v>17000</v>
      </c>
      <c r="C95" s="782" t="s">
        <v>1097</v>
      </c>
      <c r="D95" s="501">
        <v>17000</v>
      </c>
      <c r="E95" s="737" t="s">
        <v>1096</v>
      </c>
      <c r="F95" s="501">
        <v>17000</v>
      </c>
      <c r="G95" s="783" t="s">
        <v>1097</v>
      </c>
    </row>
    <row r="96" spans="1:7" ht="11.25" customHeight="1">
      <c r="A96" s="458" t="s">
        <v>345</v>
      </c>
      <c r="B96" s="501">
        <v>0.28000000000000003</v>
      </c>
      <c r="C96" s="782" t="s">
        <v>1417</v>
      </c>
      <c r="D96" s="501">
        <v>0.28000000000000003</v>
      </c>
      <c r="E96" s="737" t="s">
        <v>1416</v>
      </c>
      <c r="F96" s="501">
        <v>0.28000000000000003</v>
      </c>
      <c r="G96" s="783" t="s">
        <v>1417</v>
      </c>
    </row>
    <row r="97" spans="1:7" ht="11.25" customHeight="1">
      <c r="A97" s="458" t="s">
        <v>105</v>
      </c>
      <c r="B97" s="501">
        <v>920</v>
      </c>
      <c r="C97" s="782" t="s">
        <v>1091</v>
      </c>
      <c r="D97" s="501">
        <v>920</v>
      </c>
      <c r="E97" s="737" t="s">
        <v>1416</v>
      </c>
      <c r="F97" s="501">
        <v>920</v>
      </c>
      <c r="G97" s="783" t="s">
        <v>1091</v>
      </c>
    </row>
    <row r="98" spans="1:7" ht="11.25" customHeight="1">
      <c r="A98" s="458" t="s">
        <v>346</v>
      </c>
      <c r="B98" s="501">
        <v>5.6</v>
      </c>
      <c r="C98" s="782" t="s">
        <v>1418</v>
      </c>
      <c r="D98" s="501">
        <v>29</v>
      </c>
      <c r="E98" s="737" t="s">
        <v>1419</v>
      </c>
      <c r="F98" s="501">
        <v>5.6</v>
      </c>
      <c r="G98" s="783" t="s">
        <v>1418</v>
      </c>
    </row>
    <row r="99" spans="1:7" ht="11.25" customHeight="1">
      <c r="A99" s="458" t="s">
        <v>347</v>
      </c>
      <c r="B99" s="501">
        <v>2.5000000000000001E-2</v>
      </c>
      <c r="C99" s="782" t="s">
        <v>1418</v>
      </c>
      <c r="D99" s="501">
        <v>0.55000000000000004</v>
      </c>
      <c r="E99" s="737" t="s">
        <v>1419</v>
      </c>
      <c r="F99" s="501">
        <v>2.5000000000000001E-2</v>
      </c>
      <c r="G99" s="783" t="s">
        <v>1418</v>
      </c>
    </row>
    <row r="100" spans="1:7" ht="11.25" customHeight="1">
      <c r="A100" s="458" t="s">
        <v>348</v>
      </c>
      <c r="B100" s="501">
        <v>0.03</v>
      </c>
      <c r="C100" s="782" t="s">
        <v>1418</v>
      </c>
      <c r="D100" s="501">
        <v>0.03</v>
      </c>
      <c r="E100" s="737" t="s">
        <v>1419</v>
      </c>
      <c r="F100" s="501">
        <v>0.03</v>
      </c>
      <c r="G100" s="783" t="s">
        <v>1418</v>
      </c>
    </row>
    <row r="101" spans="1:7" ht="11.25" customHeight="1">
      <c r="A101" s="458" t="s">
        <v>350</v>
      </c>
      <c r="B101" s="501">
        <v>14000</v>
      </c>
      <c r="C101" s="782" t="s">
        <v>1417</v>
      </c>
      <c r="D101" s="501">
        <v>22000</v>
      </c>
      <c r="E101" s="737" t="s">
        <v>1416</v>
      </c>
      <c r="F101" s="501">
        <v>14000</v>
      </c>
      <c r="G101" s="783" t="s">
        <v>1417</v>
      </c>
    </row>
    <row r="102" spans="1:7" ht="11.25" customHeight="1">
      <c r="A102" s="458" t="s">
        <v>351</v>
      </c>
      <c r="B102" s="501">
        <v>170</v>
      </c>
      <c r="C102" s="782" t="s">
        <v>1417</v>
      </c>
      <c r="D102" s="501">
        <v>170</v>
      </c>
      <c r="E102" s="737" t="s">
        <v>1416</v>
      </c>
      <c r="F102" s="501">
        <v>170</v>
      </c>
      <c r="G102" s="783" t="s">
        <v>1417</v>
      </c>
    </row>
    <row r="103" spans="1:7" ht="11.25" customHeight="1">
      <c r="A103" s="458" t="s">
        <v>352</v>
      </c>
      <c r="B103" s="501">
        <v>2.8E-3</v>
      </c>
      <c r="C103" s="782" t="s">
        <v>1417</v>
      </c>
      <c r="D103" s="501">
        <v>2.8E-3</v>
      </c>
      <c r="E103" s="737" t="s">
        <v>1416</v>
      </c>
      <c r="F103" s="501">
        <v>2.8E-3</v>
      </c>
      <c r="G103" s="783" t="s">
        <v>1417</v>
      </c>
    </row>
    <row r="104" spans="1:7" ht="11.25" customHeight="1">
      <c r="A104" s="458" t="s">
        <v>353</v>
      </c>
      <c r="B104" s="501">
        <v>730</v>
      </c>
      <c r="C104" s="782" t="s">
        <v>1416</v>
      </c>
      <c r="D104" s="501">
        <v>730</v>
      </c>
      <c r="E104" s="737" t="s">
        <v>1416</v>
      </c>
      <c r="F104" s="501">
        <v>18000</v>
      </c>
      <c r="G104" s="783" t="s">
        <v>1417</v>
      </c>
    </row>
    <row r="105" spans="1:7" ht="11.25" customHeight="1">
      <c r="A105" s="458" t="s">
        <v>349</v>
      </c>
      <c r="B105" s="501">
        <v>1500</v>
      </c>
      <c r="C105" s="782" t="s">
        <v>1416</v>
      </c>
      <c r="D105" s="501">
        <v>1500</v>
      </c>
      <c r="E105" s="737" t="s">
        <v>1416</v>
      </c>
      <c r="F105" s="501">
        <v>2200</v>
      </c>
      <c r="G105" s="783" t="s">
        <v>1417</v>
      </c>
    </row>
    <row r="106" spans="1:7" ht="11.25" customHeight="1">
      <c r="A106" s="458" t="s">
        <v>590</v>
      </c>
      <c r="B106" s="501">
        <v>2.1</v>
      </c>
      <c r="C106" s="782" t="s">
        <v>1417</v>
      </c>
      <c r="D106" s="501">
        <v>2.1</v>
      </c>
      <c r="E106" s="737" t="s">
        <v>1416</v>
      </c>
      <c r="F106" s="501">
        <v>2.1</v>
      </c>
      <c r="G106" s="783" t="s">
        <v>1417</v>
      </c>
    </row>
    <row r="107" spans="1:7" ht="11.25" customHeight="1">
      <c r="A107" s="458" t="s">
        <v>591</v>
      </c>
      <c r="B107" s="501">
        <v>4.7</v>
      </c>
      <c r="C107" s="782" t="s">
        <v>1416</v>
      </c>
      <c r="D107" s="501">
        <v>4.7</v>
      </c>
      <c r="E107" s="737" t="s">
        <v>1416</v>
      </c>
      <c r="F107" s="501">
        <v>72</v>
      </c>
      <c r="G107" s="783" t="s">
        <v>1417</v>
      </c>
    </row>
    <row r="108" spans="1:7" ht="11.25" customHeight="1">
      <c r="A108" s="458" t="s">
        <v>465</v>
      </c>
      <c r="B108" s="501">
        <v>370</v>
      </c>
      <c r="C108" s="782" t="s">
        <v>1417</v>
      </c>
      <c r="D108" s="501">
        <v>800</v>
      </c>
      <c r="E108" s="737" t="s">
        <v>1416</v>
      </c>
      <c r="F108" s="501">
        <v>370</v>
      </c>
      <c r="G108" s="783" t="s">
        <v>1417</v>
      </c>
    </row>
    <row r="109" spans="1:7" ht="11.25" customHeight="1">
      <c r="A109" s="458" t="s">
        <v>466</v>
      </c>
      <c r="B109" s="501">
        <v>12</v>
      </c>
      <c r="C109" s="782" t="s">
        <v>1417</v>
      </c>
      <c r="D109" s="501">
        <v>21</v>
      </c>
      <c r="E109" s="737" t="s">
        <v>1416</v>
      </c>
      <c r="F109" s="501">
        <v>12</v>
      </c>
      <c r="G109" s="783" t="s">
        <v>1417</v>
      </c>
    </row>
    <row r="110" spans="1:7" ht="11.25" customHeight="1">
      <c r="A110" s="458" t="s">
        <v>812</v>
      </c>
      <c r="B110" s="501">
        <v>5</v>
      </c>
      <c r="C110" s="782" t="s">
        <v>1419</v>
      </c>
      <c r="D110" s="501">
        <v>5</v>
      </c>
      <c r="E110" s="737" t="s">
        <v>1419</v>
      </c>
      <c r="F110" s="501">
        <v>8.3000000000000007</v>
      </c>
      <c r="G110" s="783" t="s">
        <v>1418</v>
      </c>
    </row>
    <row r="111" spans="1:7" ht="11.25" customHeight="1">
      <c r="A111" s="462" t="s">
        <v>106</v>
      </c>
      <c r="B111" s="501">
        <v>380</v>
      </c>
      <c r="C111" s="782" t="s">
        <v>1091</v>
      </c>
      <c r="D111" s="501">
        <v>380</v>
      </c>
      <c r="E111" s="737" t="s">
        <v>1416</v>
      </c>
      <c r="F111" s="501">
        <v>380</v>
      </c>
      <c r="G111" s="783" t="s">
        <v>1091</v>
      </c>
    </row>
    <row r="112" spans="1:7" ht="11.25" customHeight="1">
      <c r="A112" s="462" t="s">
        <v>107</v>
      </c>
      <c r="B112" s="501">
        <v>18</v>
      </c>
      <c r="C112" s="782" t="s">
        <v>1091</v>
      </c>
      <c r="D112" s="501">
        <v>18</v>
      </c>
      <c r="E112" s="737" t="s">
        <v>1416</v>
      </c>
      <c r="F112" s="501">
        <v>18</v>
      </c>
      <c r="G112" s="783" t="s">
        <v>1091</v>
      </c>
    </row>
    <row r="113" spans="1:7" ht="11.25" customHeight="1">
      <c r="A113" s="462" t="s">
        <v>108</v>
      </c>
      <c r="B113" s="501">
        <v>71</v>
      </c>
      <c r="C113" s="782" t="s">
        <v>1091</v>
      </c>
      <c r="D113" s="501">
        <v>71</v>
      </c>
      <c r="E113" s="737" t="s">
        <v>1416</v>
      </c>
      <c r="F113" s="501">
        <v>71</v>
      </c>
      <c r="G113" s="783" t="s">
        <v>1091</v>
      </c>
    </row>
    <row r="114" spans="1:7" ht="11.25" customHeight="1">
      <c r="A114" s="462" t="s">
        <v>109</v>
      </c>
      <c r="B114" s="501">
        <v>42</v>
      </c>
      <c r="C114" s="782" t="s">
        <v>1091</v>
      </c>
      <c r="D114" s="501">
        <v>42</v>
      </c>
      <c r="E114" s="737" t="s">
        <v>1416</v>
      </c>
      <c r="F114" s="501">
        <v>42</v>
      </c>
      <c r="G114" s="783" t="s">
        <v>1091</v>
      </c>
    </row>
    <row r="115" spans="1:7" ht="11.25" customHeight="1">
      <c r="A115" s="462" t="s">
        <v>110</v>
      </c>
      <c r="B115" s="501">
        <v>46</v>
      </c>
      <c r="C115" s="782" t="s">
        <v>1091</v>
      </c>
      <c r="D115" s="501">
        <v>46</v>
      </c>
      <c r="E115" s="737" t="s">
        <v>1416</v>
      </c>
      <c r="F115" s="501">
        <v>46</v>
      </c>
      <c r="G115" s="783" t="s">
        <v>1091</v>
      </c>
    </row>
    <row r="116" spans="1:7" ht="11.25" customHeight="1">
      <c r="A116" s="458" t="s">
        <v>467</v>
      </c>
      <c r="B116" s="501">
        <v>7.9</v>
      </c>
      <c r="C116" s="782" t="s">
        <v>1417</v>
      </c>
      <c r="D116" s="501">
        <v>13</v>
      </c>
      <c r="E116" s="737" t="s">
        <v>1419</v>
      </c>
      <c r="F116" s="501">
        <v>7.9</v>
      </c>
      <c r="G116" s="783" t="s">
        <v>1417</v>
      </c>
    </row>
    <row r="117" spans="1:7" ht="11.25" customHeight="1">
      <c r="A117" s="462" t="s">
        <v>111</v>
      </c>
      <c r="B117" s="501">
        <v>850000</v>
      </c>
      <c r="C117" s="782" t="s">
        <v>1130</v>
      </c>
      <c r="D117" s="501">
        <v>850000</v>
      </c>
      <c r="E117" s="737" t="s">
        <v>1130</v>
      </c>
      <c r="F117" s="501">
        <v>850000</v>
      </c>
      <c r="G117" s="783" t="s">
        <v>1130</v>
      </c>
    </row>
    <row r="118" spans="1:7" ht="11.25" customHeight="1">
      <c r="A118" s="458" t="s">
        <v>231</v>
      </c>
      <c r="B118" s="501">
        <v>600</v>
      </c>
      <c r="C118" s="782" t="s">
        <v>1118</v>
      </c>
      <c r="D118" s="501">
        <v>600</v>
      </c>
      <c r="E118" s="737" t="s">
        <v>1118</v>
      </c>
      <c r="F118" s="501">
        <v>600</v>
      </c>
      <c r="G118" s="783" t="s">
        <v>1118</v>
      </c>
    </row>
    <row r="119" spans="1:7" ht="11.25" customHeight="1">
      <c r="A119" s="458" t="s">
        <v>468</v>
      </c>
      <c r="B119" s="501">
        <v>2.2999999999999998</v>
      </c>
      <c r="C119" s="782" t="s">
        <v>1416</v>
      </c>
      <c r="D119" s="501">
        <v>2.2999999999999998</v>
      </c>
      <c r="E119" s="737" t="s">
        <v>1416</v>
      </c>
      <c r="F119" s="501">
        <v>4.5999999999999996</v>
      </c>
      <c r="G119" s="783" t="s">
        <v>1417</v>
      </c>
    </row>
    <row r="120" spans="1:7" ht="11.25" customHeight="1">
      <c r="A120" s="458" t="s">
        <v>469</v>
      </c>
      <c r="B120" s="501">
        <v>58</v>
      </c>
      <c r="C120" s="782" t="s">
        <v>1417</v>
      </c>
      <c r="D120" s="501">
        <v>160</v>
      </c>
      <c r="E120" s="737" t="s">
        <v>1416</v>
      </c>
      <c r="F120" s="501">
        <v>58</v>
      </c>
      <c r="G120" s="783" t="s">
        <v>1417</v>
      </c>
    </row>
    <row r="121" spans="1:7" ht="11.25" customHeight="1">
      <c r="A121" s="458" t="s">
        <v>365</v>
      </c>
      <c r="B121" s="501">
        <v>1.4E-2</v>
      </c>
      <c r="C121" s="782" t="s">
        <v>1419</v>
      </c>
      <c r="D121" s="501">
        <v>1.4E-2</v>
      </c>
      <c r="E121" s="737" t="s">
        <v>1419</v>
      </c>
      <c r="F121" s="501">
        <v>0.03</v>
      </c>
      <c r="G121" s="783" t="s">
        <v>1418</v>
      </c>
    </row>
    <row r="122" spans="1:7" ht="11.25" customHeight="1">
      <c r="A122" s="458" t="s">
        <v>112</v>
      </c>
      <c r="B122" s="501">
        <v>95</v>
      </c>
      <c r="C122" s="782" t="s">
        <v>1097</v>
      </c>
      <c r="D122" s="501">
        <v>95</v>
      </c>
      <c r="E122" s="737" t="s">
        <v>1096</v>
      </c>
      <c r="F122" s="501">
        <v>95</v>
      </c>
      <c r="G122" s="783" t="s">
        <v>1097</v>
      </c>
    </row>
    <row r="123" spans="1:7" ht="11.25" customHeight="1">
      <c r="A123" s="458" t="s">
        <v>470</v>
      </c>
      <c r="B123" s="501">
        <v>4.5999999999999996</v>
      </c>
      <c r="C123" s="782" t="s">
        <v>1416</v>
      </c>
      <c r="D123" s="501">
        <v>4.5999999999999996</v>
      </c>
      <c r="E123" s="737" t="s">
        <v>1416</v>
      </c>
      <c r="F123" s="501">
        <v>10</v>
      </c>
      <c r="G123" s="783" t="s">
        <v>1417</v>
      </c>
    </row>
    <row r="124" spans="1:7" ht="11.25" customHeight="1">
      <c r="A124" s="458" t="s">
        <v>471</v>
      </c>
      <c r="B124" s="501">
        <v>5</v>
      </c>
      <c r="C124" s="782" t="s">
        <v>1419</v>
      </c>
      <c r="D124" s="501">
        <v>5</v>
      </c>
      <c r="E124" s="737" t="s">
        <v>1419</v>
      </c>
      <c r="F124" s="501">
        <v>71</v>
      </c>
      <c r="G124" s="783" t="s">
        <v>1418</v>
      </c>
    </row>
    <row r="125" spans="1:7" ht="11.25" customHeight="1">
      <c r="A125" s="458" t="s">
        <v>813</v>
      </c>
      <c r="B125" s="501">
        <v>0.1</v>
      </c>
      <c r="C125" s="782" t="s">
        <v>1417</v>
      </c>
      <c r="D125" s="501">
        <v>1</v>
      </c>
      <c r="E125" s="737" t="s">
        <v>1419</v>
      </c>
      <c r="F125" s="501">
        <v>0.1</v>
      </c>
      <c r="G125" s="783" t="s">
        <v>1417</v>
      </c>
    </row>
    <row r="126" spans="1:7" ht="11.25" customHeight="1">
      <c r="A126" s="458" t="s">
        <v>113</v>
      </c>
      <c r="B126" s="501">
        <v>9</v>
      </c>
      <c r="C126" s="782" t="s">
        <v>1091</v>
      </c>
      <c r="D126" s="501">
        <v>9</v>
      </c>
      <c r="E126" s="737" t="s">
        <v>1416</v>
      </c>
      <c r="F126" s="501">
        <v>9</v>
      </c>
      <c r="G126" s="783" t="s">
        <v>1091</v>
      </c>
    </row>
    <row r="127" spans="1:7" ht="11.25" customHeight="1">
      <c r="A127" s="458" t="s">
        <v>472</v>
      </c>
      <c r="B127" s="501">
        <v>32</v>
      </c>
      <c r="C127" s="782" t="s">
        <v>1091</v>
      </c>
      <c r="D127" s="501">
        <v>32</v>
      </c>
      <c r="E127" s="737" t="s">
        <v>1416</v>
      </c>
      <c r="F127" s="501">
        <v>32</v>
      </c>
      <c r="G127" s="783" t="s">
        <v>1091</v>
      </c>
    </row>
    <row r="128" spans="1:7" ht="11.25" customHeight="1">
      <c r="A128" s="458" t="s">
        <v>114</v>
      </c>
      <c r="B128" s="501">
        <v>251.31929956026045</v>
      </c>
      <c r="C128" s="782" t="s">
        <v>1420</v>
      </c>
      <c r="D128" s="501">
        <v>1200</v>
      </c>
      <c r="E128" s="737" t="s">
        <v>1096</v>
      </c>
      <c r="F128" s="501">
        <v>251.31929956026045</v>
      </c>
      <c r="G128" s="783" t="s">
        <v>1420</v>
      </c>
    </row>
    <row r="129" spans="1:7" ht="11.25" customHeight="1">
      <c r="A129" s="458" t="s">
        <v>19</v>
      </c>
      <c r="B129" s="501">
        <v>18000</v>
      </c>
      <c r="C129" s="782" t="s">
        <v>1113</v>
      </c>
      <c r="D129" s="501">
        <v>18000</v>
      </c>
      <c r="E129" s="737" t="s">
        <v>1113</v>
      </c>
      <c r="F129" s="501">
        <v>18000</v>
      </c>
      <c r="G129" s="783" t="s">
        <v>1113</v>
      </c>
    </row>
    <row r="130" spans="1:7" ht="11.25" customHeight="1">
      <c r="A130" s="458" t="s">
        <v>473</v>
      </c>
      <c r="B130" s="501">
        <v>10.8</v>
      </c>
      <c r="C130" s="782" t="s">
        <v>1417</v>
      </c>
      <c r="D130" s="501">
        <v>85</v>
      </c>
      <c r="E130" s="737" t="s">
        <v>1416</v>
      </c>
      <c r="F130" s="501">
        <v>10.8</v>
      </c>
      <c r="G130" s="783" t="s">
        <v>1417</v>
      </c>
    </row>
    <row r="131" spans="1:7" ht="11.25" customHeight="1">
      <c r="A131" s="458" t="s">
        <v>474</v>
      </c>
      <c r="B131" s="501">
        <v>200</v>
      </c>
      <c r="C131" s="782" t="s">
        <v>1416</v>
      </c>
      <c r="D131" s="501">
        <v>200</v>
      </c>
      <c r="E131" s="737" t="s">
        <v>1416</v>
      </c>
      <c r="F131" s="501">
        <v>610</v>
      </c>
      <c r="G131" s="783" t="s">
        <v>1417</v>
      </c>
    </row>
    <row r="132" spans="1:7" ht="11.25" customHeight="1">
      <c r="A132" s="458" t="s">
        <v>475</v>
      </c>
      <c r="B132" s="501">
        <v>53</v>
      </c>
      <c r="C132" s="782" t="s">
        <v>1416</v>
      </c>
      <c r="D132" s="501">
        <v>53</v>
      </c>
      <c r="E132" s="737" t="s">
        <v>1416</v>
      </c>
      <c r="F132" s="501">
        <v>145</v>
      </c>
      <c r="G132" s="783" t="s">
        <v>1418</v>
      </c>
    </row>
    <row r="133" spans="1:7" ht="11.25" customHeight="1">
      <c r="A133" s="458" t="s">
        <v>115</v>
      </c>
      <c r="B133" s="501">
        <v>1.2</v>
      </c>
      <c r="C133" s="782" t="s">
        <v>1091</v>
      </c>
      <c r="D133" s="501">
        <v>1.2</v>
      </c>
      <c r="E133" s="737" t="s">
        <v>1416</v>
      </c>
      <c r="F133" s="501">
        <v>1.2</v>
      </c>
      <c r="G133" s="783" t="s">
        <v>1091</v>
      </c>
    </row>
    <row r="134" spans="1:7" ht="11.25" customHeight="1">
      <c r="A134" s="462" t="s">
        <v>116</v>
      </c>
      <c r="B134" s="501">
        <v>220</v>
      </c>
      <c r="C134" s="782" t="s">
        <v>1416</v>
      </c>
      <c r="D134" s="501">
        <v>220</v>
      </c>
      <c r="E134" s="737" t="s">
        <v>1416</v>
      </c>
      <c r="F134" s="501">
        <v>330</v>
      </c>
      <c r="G134" s="783" t="s">
        <v>1417</v>
      </c>
    </row>
    <row r="135" spans="1:7" ht="11.25" customHeight="1">
      <c r="A135" s="458" t="s">
        <v>476</v>
      </c>
      <c r="B135" s="501">
        <v>6</v>
      </c>
      <c r="C135" s="782" t="s">
        <v>1416</v>
      </c>
      <c r="D135" s="501">
        <v>6</v>
      </c>
      <c r="E135" s="737" t="s">
        <v>1416</v>
      </c>
      <c r="F135" s="501">
        <v>12</v>
      </c>
      <c r="G135" s="783" t="s">
        <v>1417</v>
      </c>
    </row>
    <row r="136" spans="1:7" ht="11.25" customHeight="1">
      <c r="A136" s="458" t="s">
        <v>366</v>
      </c>
      <c r="B136" s="501">
        <v>9.8000000000000007</v>
      </c>
      <c r="C136" s="782" t="s">
        <v>1417</v>
      </c>
      <c r="D136" s="501">
        <v>62</v>
      </c>
      <c r="E136" s="737" t="s">
        <v>1416</v>
      </c>
      <c r="F136" s="501">
        <v>9.8000000000000007</v>
      </c>
      <c r="G136" s="783" t="s">
        <v>1417</v>
      </c>
    </row>
    <row r="137" spans="1:7" ht="11.25" customHeight="1">
      <c r="A137" s="458" t="s">
        <v>20</v>
      </c>
      <c r="B137" s="501">
        <v>2.0000000000000001E-4</v>
      </c>
      <c r="C137" s="782" t="s">
        <v>1418</v>
      </c>
      <c r="D137" s="501">
        <v>2.0000000000000001E-4</v>
      </c>
      <c r="E137" s="737" t="s">
        <v>1419</v>
      </c>
      <c r="F137" s="501">
        <v>2.0000000000000001E-4</v>
      </c>
      <c r="G137" s="783" t="s">
        <v>1418</v>
      </c>
    </row>
    <row r="138" spans="1:7" ht="11.25" customHeight="1">
      <c r="A138" s="458" t="s">
        <v>57</v>
      </c>
      <c r="B138" s="501">
        <v>500</v>
      </c>
      <c r="C138" s="782" t="s">
        <v>1099</v>
      </c>
      <c r="D138" s="501">
        <v>500</v>
      </c>
      <c r="E138" s="737" t="s">
        <v>1099</v>
      </c>
      <c r="F138" s="501">
        <v>3700</v>
      </c>
      <c r="G138" s="783" t="s">
        <v>1101</v>
      </c>
    </row>
    <row r="139" spans="1:7" ht="11.25" customHeight="1">
      <c r="A139" s="458" t="s">
        <v>56</v>
      </c>
      <c r="B139" s="501">
        <v>640</v>
      </c>
      <c r="C139" s="782" t="s">
        <v>1102</v>
      </c>
      <c r="D139" s="501">
        <v>640</v>
      </c>
      <c r="E139" s="737" t="s">
        <v>1099</v>
      </c>
      <c r="F139" s="501">
        <v>640</v>
      </c>
      <c r="G139" s="783" t="s">
        <v>1102</v>
      </c>
    </row>
    <row r="140" spans="1:7" ht="11.25" customHeight="1">
      <c r="A140" s="458" t="s">
        <v>777</v>
      </c>
      <c r="B140" s="501">
        <v>640</v>
      </c>
      <c r="C140" s="782" t="s">
        <v>1102</v>
      </c>
      <c r="D140" s="501">
        <v>640</v>
      </c>
      <c r="E140" s="737" t="s">
        <v>1100</v>
      </c>
      <c r="F140" s="501">
        <v>640</v>
      </c>
      <c r="G140" s="783" t="s">
        <v>1102</v>
      </c>
    </row>
    <row r="141" spans="1:7" ht="11.25" customHeight="1">
      <c r="A141" s="458" t="s">
        <v>814</v>
      </c>
      <c r="B141" s="501">
        <v>110</v>
      </c>
      <c r="C141" s="782" t="s">
        <v>1417</v>
      </c>
      <c r="D141" s="501">
        <v>130</v>
      </c>
      <c r="E141" s="737" t="s">
        <v>1416</v>
      </c>
      <c r="F141" s="501">
        <v>110</v>
      </c>
      <c r="G141" s="783" t="s">
        <v>1417</v>
      </c>
    </row>
    <row r="142" spans="1:7" ht="11.25" customHeight="1">
      <c r="A142" s="458" t="s">
        <v>815</v>
      </c>
      <c r="B142" s="501">
        <v>11</v>
      </c>
      <c r="C142" s="782" t="s">
        <v>1417</v>
      </c>
      <c r="D142" s="501">
        <v>76</v>
      </c>
      <c r="E142" s="737" t="s">
        <v>1416</v>
      </c>
      <c r="F142" s="501">
        <v>11</v>
      </c>
      <c r="G142" s="783" t="s">
        <v>1417</v>
      </c>
    </row>
    <row r="143" spans="1:7" ht="11.25" customHeight="1">
      <c r="A143" s="458" t="s">
        <v>477</v>
      </c>
      <c r="B143" s="501">
        <v>730</v>
      </c>
      <c r="C143" s="782" t="s">
        <v>1416</v>
      </c>
      <c r="D143" s="501">
        <v>730</v>
      </c>
      <c r="E143" s="737" t="s">
        <v>1416</v>
      </c>
      <c r="F143" s="501">
        <v>1200</v>
      </c>
      <c r="G143" s="783" t="s">
        <v>1417</v>
      </c>
    </row>
    <row r="144" spans="1:7" ht="11.25" customHeight="1">
      <c r="A144" s="458" t="s">
        <v>478</v>
      </c>
      <c r="B144" s="501">
        <v>47</v>
      </c>
      <c r="C144" s="782" t="s">
        <v>1417</v>
      </c>
      <c r="D144" s="501">
        <v>200</v>
      </c>
      <c r="E144" s="737" t="s">
        <v>1416</v>
      </c>
      <c r="F144" s="501">
        <v>47</v>
      </c>
      <c r="G144" s="783" t="s">
        <v>1417</v>
      </c>
    </row>
    <row r="145" spans="1:7" ht="11.25" customHeight="1">
      <c r="A145" s="458" t="s">
        <v>479</v>
      </c>
      <c r="B145" s="501">
        <v>1.9</v>
      </c>
      <c r="C145" s="782" t="s">
        <v>1416</v>
      </c>
      <c r="D145" s="501">
        <v>1.9</v>
      </c>
      <c r="E145" s="737" t="s">
        <v>1416</v>
      </c>
      <c r="F145" s="501">
        <v>12</v>
      </c>
      <c r="G145" s="783" t="s">
        <v>1417</v>
      </c>
    </row>
    <row r="146" spans="1:7" ht="11.25" customHeight="1">
      <c r="A146" s="458" t="s">
        <v>480</v>
      </c>
      <c r="B146" s="501">
        <v>4.9000000000000004</v>
      </c>
      <c r="C146" s="782" t="s">
        <v>1416</v>
      </c>
      <c r="D146" s="501">
        <v>4.9000000000000004</v>
      </c>
      <c r="E146" s="737" t="s">
        <v>1416</v>
      </c>
      <c r="F146" s="501">
        <v>6.5</v>
      </c>
      <c r="G146" s="783" t="s">
        <v>1417</v>
      </c>
    </row>
    <row r="147" spans="1:7" ht="11.25" customHeight="1">
      <c r="A147" s="462" t="s">
        <v>117</v>
      </c>
      <c r="B147" s="501">
        <v>686</v>
      </c>
      <c r="C147" s="782" t="s">
        <v>764</v>
      </c>
      <c r="D147" s="501">
        <v>686</v>
      </c>
      <c r="E147" s="737" t="s">
        <v>764</v>
      </c>
      <c r="F147" s="501">
        <v>686</v>
      </c>
      <c r="G147" s="783" t="s">
        <v>764</v>
      </c>
    </row>
    <row r="148" spans="1:7" ht="11.25" customHeight="1">
      <c r="A148" s="458" t="s">
        <v>118</v>
      </c>
      <c r="B148" s="501">
        <v>30</v>
      </c>
      <c r="C148" s="782" t="s">
        <v>1416</v>
      </c>
      <c r="D148" s="501">
        <v>30</v>
      </c>
      <c r="E148" s="737" t="s">
        <v>1416</v>
      </c>
      <c r="F148" s="501">
        <v>50</v>
      </c>
      <c r="G148" s="783" t="s">
        <v>1417</v>
      </c>
    </row>
    <row r="149" spans="1:7" ht="11.25" customHeight="1">
      <c r="A149" s="458" t="s">
        <v>119</v>
      </c>
      <c r="B149" s="501">
        <v>14</v>
      </c>
      <c r="C149" s="782" t="s">
        <v>1106</v>
      </c>
      <c r="D149" s="501">
        <v>14</v>
      </c>
      <c r="E149" s="737" t="s">
        <v>1106</v>
      </c>
      <c r="F149" s="501">
        <v>14</v>
      </c>
      <c r="G149" s="783" t="s">
        <v>1106</v>
      </c>
    </row>
    <row r="150" spans="1:7" ht="11.25" customHeight="1">
      <c r="A150" s="458" t="s">
        <v>120</v>
      </c>
      <c r="B150" s="501">
        <v>3.3315808860737541</v>
      </c>
      <c r="C150" s="782" t="s">
        <v>1420</v>
      </c>
      <c r="D150" s="501">
        <v>3.3315808860737541</v>
      </c>
      <c r="E150" s="737" t="s">
        <v>1421</v>
      </c>
      <c r="F150" s="501">
        <v>3.3315808860737541</v>
      </c>
      <c r="G150" s="783" t="s">
        <v>1420</v>
      </c>
    </row>
    <row r="151" spans="1:7" ht="11.25" customHeight="1">
      <c r="A151" s="458" t="s">
        <v>602</v>
      </c>
      <c r="B151" s="501">
        <v>1.1399999999999999</v>
      </c>
      <c r="C151" s="782" t="s">
        <v>1091</v>
      </c>
      <c r="D151" s="501">
        <v>1.1399999999999999</v>
      </c>
      <c r="E151" s="737" t="s">
        <v>1416</v>
      </c>
      <c r="F151" s="501">
        <v>1.1399999999999999</v>
      </c>
      <c r="G151" s="783" t="s">
        <v>1091</v>
      </c>
    </row>
    <row r="152" spans="1:7" ht="11.25" customHeight="1">
      <c r="A152" s="462" t="s">
        <v>939</v>
      </c>
      <c r="B152" s="501">
        <v>10</v>
      </c>
      <c r="C152" s="782" t="s">
        <v>1417</v>
      </c>
      <c r="D152" s="501">
        <v>11</v>
      </c>
      <c r="E152" s="737" t="s">
        <v>1416</v>
      </c>
      <c r="F152" s="501">
        <v>10</v>
      </c>
      <c r="G152" s="783" t="s">
        <v>1417</v>
      </c>
    </row>
    <row r="153" spans="1:7" ht="11.25" customHeight="1">
      <c r="A153" s="462" t="s">
        <v>603</v>
      </c>
      <c r="B153" s="501">
        <v>39.469382156875795</v>
      </c>
      <c r="C153" s="782" t="s">
        <v>1420</v>
      </c>
      <c r="D153" s="501">
        <v>39.469382156875795</v>
      </c>
      <c r="E153" s="737" t="s">
        <v>1421</v>
      </c>
      <c r="F153" s="501">
        <v>39.469382156875795</v>
      </c>
      <c r="G153" s="783" t="s">
        <v>1420</v>
      </c>
    </row>
    <row r="154" spans="1:7" ht="11.25" customHeight="1">
      <c r="A154" s="462" t="s">
        <v>605</v>
      </c>
      <c r="B154" s="501">
        <v>13</v>
      </c>
      <c r="C154" s="782" t="s">
        <v>1416</v>
      </c>
      <c r="D154" s="501">
        <v>13</v>
      </c>
      <c r="E154" s="737" t="s">
        <v>1416</v>
      </c>
      <c r="F154" s="501">
        <v>90</v>
      </c>
      <c r="G154" s="783" t="s">
        <v>1417</v>
      </c>
    </row>
    <row r="155" spans="1:7" ht="11.25" customHeight="1">
      <c r="A155" s="458" t="s">
        <v>481</v>
      </c>
      <c r="B155" s="501">
        <v>27</v>
      </c>
      <c r="C155" s="782" t="s">
        <v>1416</v>
      </c>
      <c r="D155" s="501">
        <v>27</v>
      </c>
      <c r="E155" s="737" t="s">
        <v>1416</v>
      </c>
      <c r="F155" s="501">
        <v>81</v>
      </c>
      <c r="G155" s="783" t="s">
        <v>1417</v>
      </c>
    </row>
    <row r="156" spans="1:7" ht="11.25" customHeight="1">
      <c r="A156" s="458" t="s">
        <v>482</v>
      </c>
      <c r="B156" s="501">
        <v>930</v>
      </c>
      <c r="C156" s="782" t="s">
        <v>768</v>
      </c>
      <c r="D156" s="501">
        <v>930</v>
      </c>
      <c r="E156" s="737" t="s">
        <v>1416</v>
      </c>
      <c r="F156" s="501">
        <v>930</v>
      </c>
      <c r="G156" s="783" t="s">
        <v>768</v>
      </c>
    </row>
    <row r="157" spans="1:7" ht="11.25" customHeight="1">
      <c r="A157" s="458" t="s">
        <v>483</v>
      </c>
      <c r="B157" s="501">
        <v>13</v>
      </c>
      <c r="C157" s="782" t="s">
        <v>1417</v>
      </c>
      <c r="D157" s="501">
        <v>27</v>
      </c>
      <c r="E157" s="737" t="s">
        <v>1416</v>
      </c>
      <c r="F157" s="501">
        <v>13</v>
      </c>
      <c r="G157" s="783" t="s">
        <v>1417</v>
      </c>
    </row>
    <row r="158" spans="1:7" ht="11.25" customHeight="1" thickBot="1">
      <c r="A158" s="516" t="s">
        <v>484</v>
      </c>
      <c r="B158" s="627">
        <v>22</v>
      </c>
      <c r="C158" s="784" t="s">
        <v>1419</v>
      </c>
      <c r="D158" s="627">
        <v>22</v>
      </c>
      <c r="E158" s="746" t="s">
        <v>1419</v>
      </c>
      <c r="F158" s="627">
        <v>86</v>
      </c>
      <c r="G158" s="785" t="s">
        <v>1418</v>
      </c>
    </row>
    <row r="159" spans="1:7" ht="11.25" customHeight="1" thickTop="1">
      <c r="A159" s="474" t="s">
        <v>488</v>
      </c>
      <c r="G159" s="749"/>
    </row>
    <row r="160" spans="1:7" ht="11.25" customHeight="1">
      <c r="A160" s="479" t="s">
        <v>1133</v>
      </c>
      <c r="G160" s="749"/>
    </row>
    <row r="161" spans="1:7" ht="11.25" customHeight="1">
      <c r="A161" s="479" t="s">
        <v>1131</v>
      </c>
      <c r="G161" s="749"/>
    </row>
    <row r="162" spans="1:7" ht="11.25" customHeight="1" thickBot="1">
      <c r="A162" s="706" t="s">
        <v>1132</v>
      </c>
      <c r="B162" s="663"/>
      <c r="C162" s="487"/>
      <c r="D162" s="663"/>
      <c r="E162" s="580"/>
      <c r="F162" s="663"/>
      <c r="G162" s="786"/>
    </row>
    <row r="163" spans="1:7" ht="10.5" thickTop="1"/>
  </sheetData>
  <sheetProtection algorithmName="SHA-512" hashValue="ZO8j+etjeUhQLDzqDK5kCcwGeRTkGZ3KwnG79ZYsS3Y+ORih/m+E1NPRvmLyhkqGeLCJZ9BBxysrvYncWkEfqw==" saltValue="HyMnlXqkevjnNxHKCBIQjA==" spinCount="100000" sheet="1" objects="1" scenarios="1"/>
  <phoneticPr fontId="0" type="noConversion"/>
  <printOptions horizontalCentered="1"/>
  <pageMargins left="0.17" right="0.16" top="0.53" bottom="1" header="0.5" footer="0.5"/>
  <pageSetup scale="86" fitToHeight="4" orientation="landscape" r:id="rId1"/>
  <headerFooter alignWithMargins="0">
    <oddFooter>&amp;LHawai'i DOH
Spring 2024&amp;C&amp;8Page &amp;P of &amp;N&amp;R&amp;A</oddFooter>
  </headerFooter>
  <rowBreaks count="1" manualBreakCount="1">
    <brk id="155"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29"/>
    <pageSetUpPr fitToPage="1"/>
  </sheetPr>
  <dimension ref="A1:G163"/>
  <sheetViews>
    <sheetView zoomScaleNormal="100" workbookViewId="0">
      <pane ySplit="2715" topLeftCell="A5" activePane="bottomLeft"/>
      <selection activeCell="B7" sqref="B7"/>
      <selection pane="bottomLeft" activeCell="B7" sqref="B7"/>
    </sheetView>
  </sheetViews>
  <sheetFormatPr defaultColWidth="9.1328125" defaultRowHeight="10.15"/>
  <cols>
    <col min="1" max="1" width="40.73046875" style="1" customWidth="1"/>
    <col min="2" max="2" width="12.73046875" style="518" customWidth="1"/>
    <col min="3" max="3" width="22.73046875" style="610" customWidth="1"/>
    <col min="4" max="4" width="12.73046875" style="475" customWidth="1"/>
    <col min="5" max="5" width="22.73046875" style="610" customWidth="1"/>
    <col min="6" max="6" width="12.73046875" style="475" customWidth="1"/>
    <col min="7" max="7" width="22.73046875" style="610" customWidth="1"/>
    <col min="8" max="16384" width="9.1328125" style="1"/>
  </cols>
  <sheetData>
    <row r="1" spans="1:7" s="510" customFormat="1" ht="15">
      <c r="A1" s="751" t="s">
        <v>877</v>
      </c>
      <c r="B1" s="6"/>
      <c r="C1" s="6"/>
      <c r="D1" s="530"/>
      <c r="E1" s="531"/>
      <c r="F1" s="530"/>
      <c r="G1" s="531"/>
    </row>
    <row r="2" spans="1:7" s="510" customFormat="1" ht="14.25" thickBot="1">
      <c r="A2" s="693"/>
      <c r="B2" s="755"/>
      <c r="C2" s="755"/>
      <c r="D2" s="530"/>
      <c r="E2" s="531"/>
      <c r="F2" s="530"/>
      <c r="G2" s="531"/>
    </row>
    <row r="3" spans="1:7" s="510" customFormat="1" ht="23.25" customHeight="1" thickTop="1" thickBot="1">
      <c r="A3" s="1432" t="s">
        <v>613</v>
      </c>
      <c r="B3" s="771" t="s">
        <v>442</v>
      </c>
      <c r="C3" s="772"/>
      <c r="D3" s="773"/>
      <c r="E3" s="772"/>
      <c r="F3" s="774"/>
      <c r="G3" s="775"/>
    </row>
    <row r="4" spans="1:7" s="510" customFormat="1" ht="68.25" customHeight="1" thickTop="1" thickBot="1">
      <c r="A4" s="1433"/>
      <c r="B4" s="486" t="s">
        <v>121</v>
      </c>
      <c r="C4" s="787" t="s">
        <v>485</v>
      </c>
      <c r="D4" s="732" t="s">
        <v>122</v>
      </c>
      <c r="E4" s="787" t="s">
        <v>485</v>
      </c>
      <c r="F4" s="728" t="s">
        <v>123</v>
      </c>
      <c r="G4" s="788" t="s">
        <v>485</v>
      </c>
    </row>
    <row r="5" spans="1:7" s="510" customFormat="1">
      <c r="A5" s="454" t="s">
        <v>548</v>
      </c>
      <c r="B5" s="498">
        <v>320</v>
      </c>
      <c r="C5" s="717" t="s">
        <v>1422</v>
      </c>
      <c r="D5" s="497">
        <v>570</v>
      </c>
      <c r="E5" s="717" t="s">
        <v>1423</v>
      </c>
      <c r="F5" s="498">
        <v>320</v>
      </c>
      <c r="G5" s="789" t="s">
        <v>1422</v>
      </c>
    </row>
    <row r="6" spans="1:7" s="510" customFormat="1">
      <c r="A6" s="458" t="s">
        <v>549</v>
      </c>
      <c r="B6" s="502">
        <v>300</v>
      </c>
      <c r="C6" s="719" t="s">
        <v>1031</v>
      </c>
      <c r="D6" s="501">
        <v>300</v>
      </c>
      <c r="E6" s="719" t="s">
        <v>1031</v>
      </c>
      <c r="F6" s="502">
        <v>300</v>
      </c>
      <c r="G6" s="790" t="s">
        <v>1031</v>
      </c>
    </row>
    <row r="7" spans="1:7" s="510" customFormat="1">
      <c r="A7" s="458" t="s">
        <v>550</v>
      </c>
      <c r="B7" s="502">
        <v>15000</v>
      </c>
      <c r="C7" s="719" t="s">
        <v>1424</v>
      </c>
      <c r="D7" s="501">
        <v>15000</v>
      </c>
      <c r="E7" s="719" t="s">
        <v>1424</v>
      </c>
      <c r="F7" s="502">
        <v>28000</v>
      </c>
      <c r="G7" s="790" t="s">
        <v>1425</v>
      </c>
    </row>
    <row r="8" spans="1:7" s="510" customFormat="1">
      <c r="A8" s="458" t="s">
        <v>551</v>
      </c>
      <c r="B8" s="502">
        <v>1.3</v>
      </c>
      <c r="C8" s="719" t="s">
        <v>1422</v>
      </c>
      <c r="D8" s="501">
        <v>3</v>
      </c>
      <c r="E8" s="719" t="s">
        <v>1423</v>
      </c>
      <c r="F8" s="502">
        <v>1.3</v>
      </c>
      <c r="G8" s="790" t="s">
        <v>1422</v>
      </c>
    </row>
    <row r="9" spans="1:7" s="510" customFormat="1">
      <c r="A9" s="458" t="s">
        <v>161</v>
      </c>
      <c r="B9" s="502">
        <v>1800</v>
      </c>
      <c r="C9" s="719" t="s">
        <v>1097</v>
      </c>
      <c r="D9" s="501">
        <v>1800</v>
      </c>
      <c r="E9" s="719" t="s">
        <v>1096</v>
      </c>
      <c r="F9" s="502">
        <v>1800</v>
      </c>
      <c r="G9" s="790" t="s">
        <v>1097</v>
      </c>
    </row>
    <row r="10" spans="1:7" s="510" customFormat="1">
      <c r="A10" s="458" t="s">
        <v>162</v>
      </c>
      <c r="B10" s="502">
        <v>160</v>
      </c>
      <c r="C10" s="719" t="s">
        <v>1424</v>
      </c>
      <c r="D10" s="501">
        <v>160</v>
      </c>
      <c r="E10" s="719" t="s">
        <v>1424</v>
      </c>
      <c r="F10" s="502">
        <v>180</v>
      </c>
      <c r="G10" s="790" t="s">
        <v>1425</v>
      </c>
    </row>
    <row r="11" spans="1:7" s="510" customFormat="1">
      <c r="A11" s="458" t="s">
        <v>94</v>
      </c>
      <c r="B11" s="502">
        <v>98</v>
      </c>
      <c r="C11" s="719" t="s">
        <v>1091</v>
      </c>
      <c r="D11" s="501">
        <v>98</v>
      </c>
      <c r="E11" s="719" t="s">
        <v>1424</v>
      </c>
      <c r="F11" s="502">
        <v>98</v>
      </c>
      <c r="G11" s="790" t="s">
        <v>1091</v>
      </c>
    </row>
    <row r="12" spans="1:7" s="510" customFormat="1">
      <c r="A12" s="458" t="s">
        <v>552</v>
      </c>
      <c r="B12" s="502">
        <v>0.18</v>
      </c>
      <c r="C12" s="719" t="s">
        <v>1424</v>
      </c>
      <c r="D12" s="501">
        <v>0.18</v>
      </c>
      <c r="E12" s="719" t="s">
        <v>1424</v>
      </c>
      <c r="F12" s="502">
        <v>13</v>
      </c>
      <c r="G12" s="790" t="s">
        <v>1425</v>
      </c>
    </row>
    <row r="13" spans="1:7" s="510" customFormat="1">
      <c r="A13" s="458" t="s">
        <v>553</v>
      </c>
      <c r="B13" s="502">
        <v>180</v>
      </c>
      <c r="C13" s="719" t="s">
        <v>1425</v>
      </c>
      <c r="D13" s="501">
        <v>3000</v>
      </c>
      <c r="E13" s="719" t="s">
        <v>1423</v>
      </c>
      <c r="F13" s="502">
        <v>180</v>
      </c>
      <c r="G13" s="790" t="s">
        <v>1425</v>
      </c>
    </row>
    <row r="14" spans="1:7" s="510" customFormat="1">
      <c r="A14" s="458" t="s">
        <v>686</v>
      </c>
      <c r="B14" s="502">
        <v>69</v>
      </c>
      <c r="C14" s="719" t="s">
        <v>1422</v>
      </c>
      <c r="D14" s="501">
        <v>360</v>
      </c>
      <c r="E14" s="719" t="s">
        <v>1423</v>
      </c>
      <c r="F14" s="502">
        <v>69</v>
      </c>
      <c r="G14" s="790" t="s">
        <v>1422</v>
      </c>
    </row>
    <row r="15" spans="1:7" s="510" customFormat="1">
      <c r="A15" s="458" t="s">
        <v>95</v>
      </c>
      <c r="B15" s="502">
        <v>330</v>
      </c>
      <c r="C15" s="719" t="s">
        <v>1091</v>
      </c>
      <c r="D15" s="501">
        <v>330</v>
      </c>
      <c r="E15" s="719" t="s">
        <v>1424</v>
      </c>
      <c r="F15" s="502">
        <v>330</v>
      </c>
      <c r="G15" s="790" t="s">
        <v>1091</v>
      </c>
    </row>
    <row r="16" spans="1:7" s="510" customFormat="1">
      <c r="A16" s="458" t="s">
        <v>687</v>
      </c>
      <c r="B16" s="502">
        <v>2000</v>
      </c>
      <c r="C16" s="719" t="s">
        <v>1425</v>
      </c>
      <c r="D16" s="501">
        <v>2000</v>
      </c>
      <c r="E16" s="719" t="s">
        <v>1424</v>
      </c>
      <c r="F16" s="502">
        <v>2000</v>
      </c>
      <c r="G16" s="790" t="s">
        <v>1425</v>
      </c>
    </row>
    <row r="17" spans="1:7" s="510" customFormat="1">
      <c r="A17" s="458" t="s">
        <v>1156</v>
      </c>
      <c r="B17" s="502">
        <v>2.8</v>
      </c>
      <c r="C17" s="719" t="s">
        <v>1160</v>
      </c>
      <c r="D17" s="501">
        <v>2.8</v>
      </c>
      <c r="E17" s="719" t="s">
        <v>1157</v>
      </c>
      <c r="F17" s="502">
        <v>2.8</v>
      </c>
      <c r="G17" s="790" t="s">
        <v>1160</v>
      </c>
    </row>
    <row r="18" spans="1:7" s="510" customFormat="1">
      <c r="A18" s="458" t="s">
        <v>688</v>
      </c>
      <c r="B18" s="502">
        <v>1700</v>
      </c>
      <c r="C18" s="719" t="s">
        <v>1422</v>
      </c>
      <c r="D18" s="501">
        <v>1800</v>
      </c>
      <c r="E18" s="719" t="s">
        <v>1423</v>
      </c>
      <c r="F18" s="502">
        <v>1700</v>
      </c>
      <c r="G18" s="790" t="s">
        <v>1422</v>
      </c>
    </row>
    <row r="19" spans="1:7" s="510" customFormat="1">
      <c r="A19" s="458" t="s">
        <v>689</v>
      </c>
      <c r="B19" s="502">
        <v>300</v>
      </c>
      <c r="C19" s="719" t="s">
        <v>1031</v>
      </c>
      <c r="D19" s="501">
        <v>300</v>
      </c>
      <c r="E19" s="719" t="s">
        <v>1031</v>
      </c>
      <c r="F19" s="502">
        <v>300</v>
      </c>
      <c r="G19" s="790" t="s">
        <v>1031</v>
      </c>
    </row>
    <row r="20" spans="1:7" s="510" customFormat="1">
      <c r="A20" s="458" t="s">
        <v>690</v>
      </c>
      <c r="B20" s="502">
        <v>300</v>
      </c>
      <c r="C20" s="719" t="s">
        <v>1031</v>
      </c>
      <c r="D20" s="501">
        <v>300</v>
      </c>
      <c r="E20" s="719" t="s">
        <v>1031</v>
      </c>
      <c r="F20" s="502">
        <v>300</v>
      </c>
      <c r="G20" s="790" t="s">
        <v>1031</v>
      </c>
    </row>
    <row r="21" spans="1:7" s="510" customFormat="1">
      <c r="A21" s="458" t="s">
        <v>691</v>
      </c>
      <c r="B21" s="502">
        <v>300</v>
      </c>
      <c r="C21" s="719" t="s">
        <v>1031</v>
      </c>
      <c r="D21" s="501">
        <v>300</v>
      </c>
      <c r="E21" s="719" t="s">
        <v>1031</v>
      </c>
      <c r="F21" s="502">
        <v>300</v>
      </c>
      <c r="G21" s="790" t="s">
        <v>1031</v>
      </c>
    </row>
    <row r="22" spans="1:7" s="510" customFormat="1">
      <c r="A22" s="458" t="s">
        <v>692</v>
      </c>
      <c r="B22" s="502">
        <v>300</v>
      </c>
      <c r="C22" s="719" t="s">
        <v>1031</v>
      </c>
      <c r="D22" s="501">
        <v>300</v>
      </c>
      <c r="E22" s="719" t="s">
        <v>1031</v>
      </c>
      <c r="F22" s="502">
        <v>300</v>
      </c>
      <c r="G22" s="790" t="s">
        <v>1031</v>
      </c>
    </row>
    <row r="23" spans="1:7" s="510" customFormat="1">
      <c r="A23" s="458" t="s">
        <v>693</v>
      </c>
      <c r="B23" s="502">
        <v>300</v>
      </c>
      <c r="C23" s="719" t="s">
        <v>1031</v>
      </c>
      <c r="D23" s="501">
        <v>300</v>
      </c>
      <c r="E23" s="719" t="s">
        <v>1031</v>
      </c>
      <c r="F23" s="502">
        <v>300</v>
      </c>
      <c r="G23" s="790" t="s">
        <v>1031</v>
      </c>
    </row>
    <row r="24" spans="1:7" s="510" customFormat="1">
      <c r="A24" s="458" t="s">
        <v>126</v>
      </c>
      <c r="B24" s="502">
        <v>35</v>
      </c>
      <c r="C24" s="719" t="s">
        <v>1425</v>
      </c>
      <c r="D24" s="501">
        <v>43</v>
      </c>
      <c r="E24" s="719" t="s">
        <v>1423</v>
      </c>
      <c r="F24" s="502">
        <v>35</v>
      </c>
      <c r="G24" s="790" t="s">
        <v>1425</v>
      </c>
    </row>
    <row r="25" spans="1:7" s="510" customFormat="1">
      <c r="A25" s="458" t="s">
        <v>233</v>
      </c>
      <c r="B25" s="502">
        <v>26</v>
      </c>
      <c r="C25" s="719" t="s">
        <v>1091</v>
      </c>
      <c r="D25" s="501">
        <v>26</v>
      </c>
      <c r="E25" s="719" t="s">
        <v>1424</v>
      </c>
      <c r="F25" s="502">
        <v>26</v>
      </c>
      <c r="G25" s="790" t="s">
        <v>1091</v>
      </c>
    </row>
    <row r="26" spans="1:7" s="510" customFormat="1">
      <c r="A26" s="458" t="s">
        <v>127</v>
      </c>
      <c r="B26" s="502">
        <v>23800</v>
      </c>
      <c r="C26" s="719" t="s">
        <v>1129</v>
      </c>
      <c r="D26" s="501">
        <v>23800</v>
      </c>
      <c r="E26" s="719" t="s">
        <v>1127</v>
      </c>
      <c r="F26" s="502">
        <v>23800</v>
      </c>
      <c r="G26" s="790" t="s">
        <v>1129</v>
      </c>
    </row>
    <row r="27" spans="1:7" s="510" customFormat="1">
      <c r="A27" s="503" t="s">
        <v>1103</v>
      </c>
      <c r="B27" s="502">
        <v>0.35711381953846194</v>
      </c>
      <c r="C27" s="719" t="s">
        <v>1420</v>
      </c>
      <c r="D27" s="501">
        <v>0.35711381953846194</v>
      </c>
      <c r="E27" s="719" t="s">
        <v>1420</v>
      </c>
      <c r="F27" s="502">
        <v>0.35711381953846194</v>
      </c>
      <c r="G27" s="790" t="s">
        <v>1420</v>
      </c>
    </row>
    <row r="28" spans="1:7" s="510" customFormat="1">
      <c r="A28" s="458" t="s">
        <v>128</v>
      </c>
      <c r="B28" s="502">
        <v>27</v>
      </c>
      <c r="C28" s="719" t="s">
        <v>1425</v>
      </c>
      <c r="D28" s="501">
        <v>27</v>
      </c>
      <c r="E28" s="719" t="s">
        <v>1424</v>
      </c>
      <c r="F28" s="502">
        <v>27</v>
      </c>
      <c r="G28" s="790" t="s">
        <v>1425</v>
      </c>
    </row>
    <row r="29" spans="1:7" s="510" customFormat="1">
      <c r="A29" s="458" t="s">
        <v>129</v>
      </c>
      <c r="B29" s="502">
        <v>34000</v>
      </c>
      <c r="C29" s="719" t="s">
        <v>1091</v>
      </c>
      <c r="D29" s="501">
        <v>34000</v>
      </c>
      <c r="E29" s="719" t="s">
        <v>1424</v>
      </c>
      <c r="F29" s="502">
        <v>34000</v>
      </c>
      <c r="G29" s="790" t="s">
        <v>1091</v>
      </c>
    </row>
    <row r="30" spans="1:7" s="510" customFormat="1">
      <c r="A30" s="458" t="s">
        <v>130</v>
      </c>
      <c r="B30" s="502">
        <v>3100</v>
      </c>
      <c r="C30" s="719" t="s">
        <v>1091</v>
      </c>
      <c r="D30" s="501">
        <v>3100</v>
      </c>
      <c r="E30" s="719" t="s">
        <v>1424</v>
      </c>
      <c r="F30" s="502">
        <v>3100</v>
      </c>
      <c r="G30" s="790" t="s">
        <v>1091</v>
      </c>
    </row>
    <row r="31" spans="1:7" s="510" customFormat="1">
      <c r="A31" s="458" t="s">
        <v>131</v>
      </c>
      <c r="B31" s="502">
        <v>1100</v>
      </c>
      <c r="C31" s="719" t="s">
        <v>1424</v>
      </c>
      <c r="D31" s="501">
        <v>1100</v>
      </c>
      <c r="E31" s="719" t="s">
        <v>1424</v>
      </c>
      <c r="F31" s="502">
        <v>2300</v>
      </c>
      <c r="G31" s="790" t="s">
        <v>1425</v>
      </c>
    </row>
    <row r="32" spans="1:7" s="510" customFormat="1">
      <c r="A32" s="458" t="s">
        <v>132</v>
      </c>
      <c r="B32" s="502">
        <v>38</v>
      </c>
      <c r="C32" s="719" t="s">
        <v>1091</v>
      </c>
      <c r="D32" s="501">
        <v>38</v>
      </c>
      <c r="E32" s="719" t="s">
        <v>1424</v>
      </c>
      <c r="F32" s="502">
        <v>38</v>
      </c>
      <c r="G32" s="790" t="s">
        <v>1091</v>
      </c>
    </row>
    <row r="33" spans="1:7" s="510" customFormat="1">
      <c r="A33" s="458" t="s">
        <v>133</v>
      </c>
      <c r="B33" s="502">
        <v>3</v>
      </c>
      <c r="C33" s="719" t="s">
        <v>1423</v>
      </c>
      <c r="D33" s="501">
        <v>3</v>
      </c>
      <c r="E33" s="719" t="s">
        <v>1423</v>
      </c>
      <c r="F33" s="502">
        <v>43</v>
      </c>
      <c r="G33" s="790" t="s">
        <v>1422</v>
      </c>
    </row>
    <row r="34" spans="1:7" s="510" customFormat="1">
      <c r="A34" s="458" t="s">
        <v>134</v>
      </c>
      <c r="B34" s="502">
        <v>12000</v>
      </c>
      <c r="C34" s="719" t="s">
        <v>1423</v>
      </c>
      <c r="D34" s="501">
        <v>12000</v>
      </c>
      <c r="E34" s="719" t="s">
        <v>1423</v>
      </c>
      <c r="F34" s="502">
        <v>16000</v>
      </c>
      <c r="G34" s="790" t="s">
        <v>1422</v>
      </c>
    </row>
    <row r="35" spans="1:7" s="510" customFormat="1">
      <c r="A35" s="458" t="s">
        <v>614</v>
      </c>
      <c r="B35" s="502">
        <v>0.09</v>
      </c>
      <c r="C35" s="719" t="s">
        <v>1422</v>
      </c>
      <c r="D35" s="501">
        <v>2.4</v>
      </c>
      <c r="E35" s="719" t="s">
        <v>1423</v>
      </c>
      <c r="F35" s="502">
        <v>0.09</v>
      </c>
      <c r="G35" s="790" t="s">
        <v>1422</v>
      </c>
    </row>
    <row r="36" spans="1:7" s="510" customFormat="1">
      <c r="A36" s="458" t="s">
        <v>135</v>
      </c>
      <c r="B36" s="502">
        <v>459</v>
      </c>
      <c r="C36" s="719" t="s">
        <v>1091</v>
      </c>
      <c r="D36" s="501">
        <v>459</v>
      </c>
      <c r="E36" s="719" t="s">
        <v>1424</v>
      </c>
      <c r="F36" s="502">
        <v>459</v>
      </c>
      <c r="G36" s="790" t="s">
        <v>1091</v>
      </c>
    </row>
    <row r="37" spans="1:7" s="510" customFormat="1">
      <c r="A37" s="458" t="s">
        <v>136</v>
      </c>
      <c r="B37" s="502">
        <v>220</v>
      </c>
      <c r="C37" s="719" t="s">
        <v>1424</v>
      </c>
      <c r="D37" s="501">
        <v>220</v>
      </c>
      <c r="E37" s="719" t="s">
        <v>1424</v>
      </c>
      <c r="F37" s="502">
        <v>1100</v>
      </c>
      <c r="G37" s="790" t="s">
        <v>1425</v>
      </c>
    </row>
    <row r="38" spans="1:7" ht="11.25" customHeight="1">
      <c r="A38" s="458" t="s">
        <v>781</v>
      </c>
      <c r="B38" s="502">
        <v>47673.469387755096</v>
      </c>
      <c r="C38" s="719" t="s">
        <v>1420</v>
      </c>
      <c r="D38" s="501">
        <v>47673.469387755096</v>
      </c>
      <c r="E38" s="719" t="s">
        <v>1420</v>
      </c>
      <c r="F38" s="502">
        <v>47673.469387755096</v>
      </c>
      <c r="G38" s="790" t="s">
        <v>1420</v>
      </c>
    </row>
    <row r="39" spans="1:7" ht="11.25" customHeight="1">
      <c r="A39" s="458" t="s">
        <v>137</v>
      </c>
      <c r="B39" s="502">
        <v>490</v>
      </c>
      <c r="C39" s="719" t="s">
        <v>1425</v>
      </c>
      <c r="D39" s="501">
        <v>9600</v>
      </c>
      <c r="E39" s="719" t="s">
        <v>1423</v>
      </c>
      <c r="F39" s="502">
        <v>490</v>
      </c>
      <c r="G39" s="790" t="s">
        <v>1425</v>
      </c>
    </row>
    <row r="40" spans="1:7" ht="11.25" customHeight="1">
      <c r="A40" s="458" t="s">
        <v>782</v>
      </c>
      <c r="B40" s="502">
        <v>1072.6530612244896</v>
      </c>
      <c r="C40" s="719" t="s">
        <v>1420</v>
      </c>
      <c r="D40" s="501">
        <v>1072.6530612244896</v>
      </c>
      <c r="E40" s="719" t="s">
        <v>1420</v>
      </c>
      <c r="F40" s="502">
        <v>1072.6530612244896</v>
      </c>
      <c r="G40" s="790" t="s">
        <v>1420</v>
      </c>
    </row>
    <row r="41" spans="1:7" ht="11.25" customHeight="1">
      <c r="A41" s="458" t="s">
        <v>138</v>
      </c>
      <c r="B41" s="502">
        <v>400</v>
      </c>
      <c r="C41" s="719" t="s">
        <v>1095</v>
      </c>
      <c r="D41" s="501">
        <v>1400</v>
      </c>
      <c r="E41" s="719" t="s">
        <v>1423</v>
      </c>
      <c r="F41" s="502">
        <v>400</v>
      </c>
      <c r="G41" s="790" t="s">
        <v>1095</v>
      </c>
    </row>
    <row r="42" spans="1:7" ht="11.25" customHeight="1">
      <c r="A42" s="458" t="s">
        <v>612</v>
      </c>
      <c r="B42" s="502">
        <v>16</v>
      </c>
      <c r="C42" s="719" t="s">
        <v>1094</v>
      </c>
      <c r="D42" s="501">
        <v>16</v>
      </c>
      <c r="E42" s="719" t="s">
        <v>1094</v>
      </c>
      <c r="F42" s="502">
        <v>1000</v>
      </c>
      <c r="G42" s="790" t="s">
        <v>1094</v>
      </c>
    </row>
    <row r="43" spans="1:7" ht="11.25" customHeight="1">
      <c r="A43" s="458" t="s">
        <v>779</v>
      </c>
      <c r="B43" s="502">
        <v>570</v>
      </c>
      <c r="C43" s="719" t="s">
        <v>1091</v>
      </c>
      <c r="D43" s="501">
        <v>570</v>
      </c>
      <c r="E43" s="719" t="s">
        <v>1424</v>
      </c>
      <c r="F43" s="502">
        <v>570</v>
      </c>
      <c r="G43" s="790" t="s">
        <v>1091</v>
      </c>
    </row>
    <row r="44" spans="1:7" ht="11.25" customHeight="1">
      <c r="A44" s="458" t="s">
        <v>780</v>
      </c>
      <c r="B44" s="502">
        <v>16</v>
      </c>
      <c r="C44" s="719" t="s">
        <v>1423</v>
      </c>
      <c r="D44" s="501">
        <v>16</v>
      </c>
      <c r="E44" s="719" t="s">
        <v>1423</v>
      </c>
      <c r="F44" s="502">
        <v>1100</v>
      </c>
      <c r="G44" s="790" t="s">
        <v>1422</v>
      </c>
    </row>
    <row r="45" spans="1:7" ht="11.25" customHeight="1">
      <c r="A45" s="458" t="s">
        <v>139</v>
      </c>
      <c r="B45" s="502">
        <v>300</v>
      </c>
      <c r="C45" s="719" t="s">
        <v>1031</v>
      </c>
      <c r="D45" s="501">
        <v>300</v>
      </c>
      <c r="E45" s="719" t="s">
        <v>1031</v>
      </c>
      <c r="F45" s="502">
        <v>300</v>
      </c>
      <c r="G45" s="790" t="s">
        <v>1031</v>
      </c>
    </row>
    <row r="46" spans="1:7" ht="11.25" customHeight="1">
      <c r="A46" s="458" t="s">
        <v>140</v>
      </c>
      <c r="B46" s="502">
        <v>120</v>
      </c>
      <c r="C46" s="719" t="s">
        <v>1424</v>
      </c>
      <c r="D46" s="501">
        <v>120</v>
      </c>
      <c r="E46" s="719" t="s">
        <v>1424</v>
      </c>
      <c r="F46" s="502">
        <v>1500</v>
      </c>
      <c r="G46" s="790" t="s">
        <v>1425</v>
      </c>
    </row>
    <row r="47" spans="1:7" ht="11.25" customHeight="1">
      <c r="A47" s="458" t="s">
        <v>141</v>
      </c>
      <c r="B47" s="502">
        <v>2.9</v>
      </c>
      <c r="C47" s="719" t="s">
        <v>1422</v>
      </c>
      <c r="D47" s="501">
        <v>6</v>
      </c>
      <c r="E47" s="719" t="s">
        <v>1423</v>
      </c>
      <c r="F47" s="502">
        <v>2.9</v>
      </c>
      <c r="G47" s="790" t="s">
        <v>1422</v>
      </c>
    </row>
    <row r="48" spans="1:7" ht="11.25" customHeight="1">
      <c r="A48" s="458" t="s">
        <v>142</v>
      </c>
      <c r="B48" s="502">
        <v>1</v>
      </c>
      <c r="C48" s="719" t="s">
        <v>1422</v>
      </c>
      <c r="D48" s="501">
        <v>22</v>
      </c>
      <c r="E48" s="719" t="s">
        <v>1423</v>
      </c>
      <c r="F48" s="502">
        <v>1</v>
      </c>
      <c r="G48" s="790" t="s">
        <v>1422</v>
      </c>
    </row>
    <row r="49" spans="1:7" ht="11.25" customHeight="1">
      <c r="A49" s="458" t="s">
        <v>96</v>
      </c>
      <c r="B49" s="502">
        <v>520</v>
      </c>
      <c r="C49" s="719" t="s">
        <v>1424</v>
      </c>
      <c r="D49" s="501">
        <v>520</v>
      </c>
      <c r="E49" s="719" t="s">
        <v>1424</v>
      </c>
      <c r="F49" s="502">
        <v>700</v>
      </c>
      <c r="G49" s="790" t="s">
        <v>1425</v>
      </c>
    </row>
    <row r="50" spans="1:7" ht="11.25" customHeight="1">
      <c r="A50" s="458" t="s">
        <v>97</v>
      </c>
      <c r="B50" s="502">
        <v>3000</v>
      </c>
      <c r="C50" s="719" t="s">
        <v>1114</v>
      </c>
      <c r="D50" s="501">
        <v>3000</v>
      </c>
      <c r="E50" s="719" t="s">
        <v>1114</v>
      </c>
      <c r="F50" s="502">
        <v>3000</v>
      </c>
      <c r="G50" s="790" t="s">
        <v>1114</v>
      </c>
    </row>
    <row r="51" spans="1:7" ht="11.25" customHeight="1">
      <c r="A51" s="458" t="s">
        <v>143</v>
      </c>
      <c r="B51" s="502">
        <v>300</v>
      </c>
      <c r="C51" s="719" t="s">
        <v>1031</v>
      </c>
      <c r="D51" s="501">
        <v>300</v>
      </c>
      <c r="E51" s="719" t="s">
        <v>1031</v>
      </c>
      <c r="F51" s="502">
        <v>300</v>
      </c>
      <c r="G51" s="790" t="s">
        <v>1031</v>
      </c>
    </row>
    <row r="52" spans="1:7" ht="11.25" customHeight="1">
      <c r="A52" s="458" t="s">
        <v>77</v>
      </c>
      <c r="B52" s="502">
        <v>0.04</v>
      </c>
      <c r="C52" s="719" t="s">
        <v>1420</v>
      </c>
      <c r="D52" s="501">
        <v>0.04</v>
      </c>
      <c r="E52" s="719" t="s">
        <v>1420</v>
      </c>
      <c r="F52" s="502">
        <v>0.04</v>
      </c>
      <c r="G52" s="790" t="s">
        <v>1420</v>
      </c>
    </row>
    <row r="53" spans="1:7" ht="11.25" customHeight="1">
      <c r="A53" s="458" t="s">
        <v>144</v>
      </c>
      <c r="B53" s="502">
        <v>2900</v>
      </c>
      <c r="C53" s="719" t="s">
        <v>1091</v>
      </c>
      <c r="D53" s="501">
        <v>2900</v>
      </c>
      <c r="E53" s="719" t="s">
        <v>1424</v>
      </c>
      <c r="F53" s="502">
        <v>2900</v>
      </c>
      <c r="G53" s="790" t="s">
        <v>1091</v>
      </c>
    </row>
    <row r="54" spans="1:7" ht="11.25" customHeight="1">
      <c r="A54" s="458" t="s">
        <v>487</v>
      </c>
      <c r="B54" s="502">
        <v>1400</v>
      </c>
      <c r="C54" s="719" t="s">
        <v>358</v>
      </c>
      <c r="D54" s="501">
        <v>1400</v>
      </c>
      <c r="E54" s="719" t="s">
        <v>358</v>
      </c>
      <c r="F54" s="502">
        <v>1400</v>
      </c>
      <c r="G54" s="790" t="s">
        <v>358</v>
      </c>
    </row>
    <row r="55" spans="1:7" ht="11.25" customHeight="1">
      <c r="A55" s="458" t="s">
        <v>145</v>
      </c>
      <c r="B55" s="502">
        <v>370</v>
      </c>
      <c r="C55" s="719" t="s">
        <v>1423</v>
      </c>
      <c r="D55" s="501">
        <v>370</v>
      </c>
      <c r="E55" s="719" t="s">
        <v>1423</v>
      </c>
      <c r="F55" s="502">
        <v>660</v>
      </c>
      <c r="G55" s="790" t="s">
        <v>1422</v>
      </c>
    </row>
    <row r="56" spans="1:7" ht="11.25" customHeight="1">
      <c r="A56" s="458" t="s">
        <v>225</v>
      </c>
      <c r="B56" s="502">
        <v>370</v>
      </c>
      <c r="C56" s="719" t="s">
        <v>1423</v>
      </c>
      <c r="D56" s="501">
        <v>370</v>
      </c>
      <c r="E56" s="719" t="s">
        <v>1423</v>
      </c>
      <c r="F56" s="502">
        <v>660</v>
      </c>
      <c r="G56" s="790" t="s">
        <v>1422</v>
      </c>
    </row>
    <row r="57" spans="1:7" ht="11.25" customHeight="1">
      <c r="A57" s="458" t="s">
        <v>226</v>
      </c>
      <c r="B57" s="502">
        <v>370</v>
      </c>
      <c r="C57" s="719" t="s">
        <v>1423</v>
      </c>
      <c r="D57" s="501">
        <v>370</v>
      </c>
      <c r="E57" s="719" t="s">
        <v>1423</v>
      </c>
      <c r="F57" s="502">
        <v>660</v>
      </c>
      <c r="G57" s="790" t="s">
        <v>1422</v>
      </c>
    </row>
    <row r="58" spans="1:7" ht="11.25" customHeight="1">
      <c r="A58" s="458" t="s">
        <v>227</v>
      </c>
      <c r="B58" s="502">
        <v>41</v>
      </c>
      <c r="C58" s="719" t="s">
        <v>1091</v>
      </c>
      <c r="D58" s="501">
        <v>41</v>
      </c>
      <c r="E58" s="719" t="s">
        <v>1424</v>
      </c>
      <c r="F58" s="502">
        <v>41</v>
      </c>
      <c r="G58" s="790" t="s">
        <v>1091</v>
      </c>
    </row>
    <row r="59" spans="1:7" ht="11.25" customHeight="1">
      <c r="A59" s="458" t="s">
        <v>361</v>
      </c>
      <c r="B59" s="502">
        <v>0.19</v>
      </c>
      <c r="C59" s="719" t="s">
        <v>1425</v>
      </c>
      <c r="D59" s="501">
        <v>0.19</v>
      </c>
      <c r="E59" s="719" t="s">
        <v>1424</v>
      </c>
      <c r="F59" s="502">
        <v>0.19</v>
      </c>
      <c r="G59" s="790" t="s">
        <v>1425</v>
      </c>
    </row>
    <row r="60" spans="1:7" ht="11.25" customHeight="1">
      <c r="A60" s="458" t="s">
        <v>362</v>
      </c>
      <c r="B60" s="502">
        <v>7</v>
      </c>
      <c r="C60" s="719" t="s">
        <v>1091</v>
      </c>
      <c r="D60" s="501">
        <v>7</v>
      </c>
      <c r="E60" s="719" t="s">
        <v>1424</v>
      </c>
      <c r="F60" s="502">
        <v>7</v>
      </c>
      <c r="G60" s="790" t="s">
        <v>1091</v>
      </c>
    </row>
    <row r="61" spans="1:7" ht="11.25" customHeight="1">
      <c r="A61" s="458" t="s">
        <v>363</v>
      </c>
      <c r="B61" s="502">
        <v>1.2999999999999999E-2</v>
      </c>
      <c r="C61" s="719" t="s">
        <v>1422</v>
      </c>
      <c r="D61" s="501">
        <v>1.1000000000000001</v>
      </c>
      <c r="E61" s="719" t="s">
        <v>1423</v>
      </c>
      <c r="F61" s="502">
        <v>1.2999999999999999E-2</v>
      </c>
      <c r="G61" s="790" t="s">
        <v>1422</v>
      </c>
    </row>
    <row r="62" spans="1:7" ht="11.25" customHeight="1">
      <c r="A62" s="458" t="s">
        <v>234</v>
      </c>
      <c r="B62" s="502">
        <v>830</v>
      </c>
      <c r="C62" s="719" t="s">
        <v>1425</v>
      </c>
      <c r="D62" s="501">
        <v>3700</v>
      </c>
      <c r="E62" s="719" t="s">
        <v>1424</v>
      </c>
      <c r="F62" s="502">
        <v>830</v>
      </c>
      <c r="G62" s="790" t="s">
        <v>1425</v>
      </c>
    </row>
    <row r="63" spans="1:7" ht="11.25" customHeight="1">
      <c r="A63" s="458" t="s">
        <v>235</v>
      </c>
      <c r="B63" s="502">
        <v>38000</v>
      </c>
      <c r="C63" s="719" t="s">
        <v>1422</v>
      </c>
      <c r="D63" s="501">
        <v>39000</v>
      </c>
      <c r="E63" s="719" t="s">
        <v>1423</v>
      </c>
      <c r="F63" s="502">
        <v>38000</v>
      </c>
      <c r="G63" s="790" t="s">
        <v>1422</v>
      </c>
    </row>
    <row r="64" spans="1:7" ht="11.25" customHeight="1">
      <c r="A64" s="458" t="s">
        <v>294</v>
      </c>
      <c r="B64" s="502">
        <v>3900</v>
      </c>
      <c r="C64" s="719" t="s">
        <v>1423</v>
      </c>
      <c r="D64" s="501">
        <v>3900</v>
      </c>
      <c r="E64" s="719" t="s">
        <v>1423</v>
      </c>
      <c r="F64" s="502">
        <v>75000</v>
      </c>
      <c r="G64" s="790" t="s">
        <v>1422</v>
      </c>
    </row>
    <row r="65" spans="1:7" ht="11.25" customHeight="1">
      <c r="A65" s="458" t="s">
        <v>295</v>
      </c>
      <c r="B65" s="502">
        <v>5500</v>
      </c>
      <c r="C65" s="719" t="s">
        <v>1091</v>
      </c>
      <c r="D65" s="501">
        <v>5500</v>
      </c>
      <c r="E65" s="719" t="s">
        <v>1424</v>
      </c>
      <c r="F65" s="502">
        <v>5500</v>
      </c>
      <c r="G65" s="790" t="s">
        <v>1091</v>
      </c>
    </row>
    <row r="66" spans="1:7" ht="11.25" customHeight="1">
      <c r="A66" s="458" t="s">
        <v>228</v>
      </c>
      <c r="B66" s="502">
        <v>10046</v>
      </c>
      <c r="C66" s="719" t="s">
        <v>1091</v>
      </c>
      <c r="D66" s="501">
        <v>10046</v>
      </c>
      <c r="E66" s="719" t="s">
        <v>1424</v>
      </c>
      <c r="F66" s="502">
        <v>10046</v>
      </c>
      <c r="G66" s="790" t="s">
        <v>1091</v>
      </c>
    </row>
    <row r="67" spans="1:7" ht="11.25" customHeight="1">
      <c r="A67" s="458" t="s">
        <v>942</v>
      </c>
      <c r="B67" s="502">
        <v>670</v>
      </c>
      <c r="C67" s="719" t="s">
        <v>1423</v>
      </c>
      <c r="D67" s="501">
        <v>670</v>
      </c>
      <c r="E67" s="719" t="s">
        <v>1423</v>
      </c>
      <c r="F67" s="502">
        <v>790</v>
      </c>
      <c r="G67" s="790" t="s">
        <v>1095</v>
      </c>
    </row>
    <row r="68" spans="1:7" ht="11.25" customHeight="1">
      <c r="A68" s="458" t="s">
        <v>98</v>
      </c>
      <c r="B68" s="502">
        <v>130</v>
      </c>
      <c r="C68" s="719" t="s">
        <v>1091</v>
      </c>
      <c r="D68" s="501">
        <v>130</v>
      </c>
      <c r="E68" s="719" t="s">
        <v>1424</v>
      </c>
      <c r="F68" s="502">
        <v>130</v>
      </c>
      <c r="G68" s="790" t="s">
        <v>1091</v>
      </c>
    </row>
    <row r="69" spans="1:7" ht="11.25" customHeight="1">
      <c r="A69" s="458" t="s">
        <v>943</v>
      </c>
      <c r="B69" s="502">
        <v>3400</v>
      </c>
      <c r="C69" s="719" t="s">
        <v>1422</v>
      </c>
      <c r="D69" s="501">
        <v>7700</v>
      </c>
      <c r="E69" s="719" t="s">
        <v>1423</v>
      </c>
      <c r="F69" s="502">
        <v>3400</v>
      </c>
      <c r="G69" s="790" t="s">
        <v>1422</v>
      </c>
    </row>
    <row r="70" spans="1:7" ht="11.25" customHeight="1">
      <c r="A70" s="458" t="s">
        <v>296</v>
      </c>
      <c r="B70" s="502">
        <v>260</v>
      </c>
      <c r="C70" s="719" t="s">
        <v>1422</v>
      </c>
      <c r="D70" s="501">
        <v>2000</v>
      </c>
      <c r="E70" s="719" t="s">
        <v>1423</v>
      </c>
      <c r="F70" s="502">
        <v>260</v>
      </c>
      <c r="G70" s="790" t="s">
        <v>1422</v>
      </c>
    </row>
    <row r="71" spans="1:7" ht="11.25" customHeight="1">
      <c r="A71" s="458" t="s">
        <v>944</v>
      </c>
      <c r="B71" s="502">
        <v>0.71</v>
      </c>
      <c r="C71" s="719" t="s">
        <v>1422</v>
      </c>
      <c r="D71" s="501">
        <v>2.5</v>
      </c>
      <c r="E71" s="719" t="s">
        <v>1423</v>
      </c>
      <c r="F71" s="502">
        <v>0.71</v>
      </c>
      <c r="G71" s="790" t="s">
        <v>1422</v>
      </c>
    </row>
    <row r="72" spans="1:7" ht="11.25" customHeight="1">
      <c r="A72" s="458" t="s">
        <v>945</v>
      </c>
      <c r="B72" s="502">
        <v>980</v>
      </c>
      <c r="C72" s="719" t="s">
        <v>1424</v>
      </c>
      <c r="D72" s="501">
        <v>980</v>
      </c>
      <c r="E72" s="719" t="s">
        <v>1424</v>
      </c>
      <c r="F72" s="502">
        <v>1800</v>
      </c>
      <c r="G72" s="790" t="s">
        <v>1425</v>
      </c>
    </row>
    <row r="73" spans="1:7" ht="11.25" customHeight="1">
      <c r="A73" s="458" t="s">
        <v>947</v>
      </c>
      <c r="B73" s="502">
        <v>700</v>
      </c>
      <c r="C73" s="719" t="s">
        <v>1423</v>
      </c>
      <c r="D73" s="501">
        <v>700</v>
      </c>
      <c r="E73" s="719" t="s">
        <v>1423</v>
      </c>
      <c r="F73" s="502">
        <v>1100</v>
      </c>
      <c r="G73" s="790" t="s">
        <v>1091</v>
      </c>
    </row>
    <row r="74" spans="1:7" ht="11.25" customHeight="1">
      <c r="A74" s="458" t="s">
        <v>946</v>
      </c>
      <c r="B74" s="502">
        <v>3200</v>
      </c>
      <c r="C74" s="719" t="s">
        <v>1091</v>
      </c>
      <c r="D74" s="501">
        <v>3200</v>
      </c>
      <c r="E74" s="719" t="s">
        <v>1424</v>
      </c>
      <c r="F74" s="502">
        <v>3200</v>
      </c>
      <c r="G74" s="790" t="s">
        <v>1091</v>
      </c>
    </row>
    <row r="75" spans="1:7" ht="11.25" customHeight="1">
      <c r="A75" s="458" t="s">
        <v>99</v>
      </c>
      <c r="B75" s="502">
        <v>100</v>
      </c>
      <c r="C75" s="719" t="s">
        <v>1424</v>
      </c>
      <c r="D75" s="501">
        <v>100</v>
      </c>
      <c r="E75" s="719" t="s">
        <v>1424</v>
      </c>
      <c r="F75" s="502">
        <v>110</v>
      </c>
      <c r="G75" s="790" t="s">
        <v>1425</v>
      </c>
    </row>
    <row r="76" spans="1:7" ht="11.25" customHeight="1">
      <c r="A76" s="458" t="s">
        <v>297</v>
      </c>
      <c r="B76" s="502">
        <v>379</v>
      </c>
      <c r="C76" s="719">
        <v>0</v>
      </c>
      <c r="D76" s="501">
        <v>379</v>
      </c>
      <c r="E76" s="719" t="s">
        <v>1424</v>
      </c>
      <c r="F76" s="502">
        <v>379</v>
      </c>
      <c r="G76" s="790">
        <v>0</v>
      </c>
    </row>
    <row r="77" spans="1:7" ht="11.25" customHeight="1">
      <c r="A77" s="458" t="s">
        <v>100</v>
      </c>
      <c r="B77" s="502">
        <v>110</v>
      </c>
      <c r="C77" s="719" t="s">
        <v>1423</v>
      </c>
      <c r="D77" s="501">
        <v>110</v>
      </c>
      <c r="E77" s="719" t="s">
        <v>1423</v>
      </c>
      <c r="F77" s="502">
        <v>200</v>
      </c>
      <c r="G77" s="790" t="s">
        <v>1422</v>
      </c>
    </row>
    <row r="78" spans="1:7" ht="11.25" customHeight="1">
      <c r="A78" s="458" t="s">
        <v>101</v>
      </c>
      <c r="B78" s="502">
        <v>110</v>
      </c>
      <c r="C78" s="719" t="s">
        <v>1423</v>
      </c>
      <c r="D78" s="501">
        <v>110</v>
      </c>
      <c r="E78" s="719" t="s">
        <v>1423</v>
      </c>
      <c r="F78" s="502">
        <v>200</v>
      </c>
      <c r="G78" s="790" t="s">
        <v>1422</v>
      </c>
    </row>
    <row r="79" spans="1:7" ht="11.25" customHeight="1">
      <c r="A79" s="458" t="s">
        <v>382</v>
      </c>
      <c r="B79" s="502">
        <v>3350000</v>
      </c>
      <c r="C79" s="719" t="s">
        <v>1108</v>
      </c>
      <c r="D79" s="501">
        <v>3350000</v>
      </c>
      <c r="E79" s="719" t="s">
        <v>1108</v>
      </c>
      <c r="F79" s="502">
        <v>5000000</v>
      </c>
      <c r="G79" s="790" t="s">
        <v>1110</v>
      </c>
    </row>
    <row r="80" spans="1:7" ht="11.25" customHeight="1">
      <c r="A80" s="458" t="s">
        <v>594</v>
      </c>
      <c r="B80" s="502">
        <v>3.0000000000000001E-3</v>
      </c>
      <c r="C80" s="719" t="s">
        <v>1091</v>
      </c>
      <c r="D80" s="501">
        <v>3.0000000000000001E-3</v>
      </c>
      <c r="E80" s="719" t="s">
        <v>1423</v>
      </c>
      <c r="F80" s="502">
        <v>3.0000000000000001E-3</v>
      </c>
      <c r="G80" s="790" t="s">
        <v>1091</v>
      </c>
    </row>
    <row r="81" spans="1:7" ht="11.25" customHeight="1">
      <c r="A81" s="458" t="s">
        <v>102</v>
      </c>
      <c r="B81" s="502">
        <v>200</v>
      </c>
      <c r="C81" s="719" t="s">
        <v>1105</v>
      </c>
      <c r="D81" s="501">
        <v>200</v>
      </c>
      <c r="E81" s="719" t="s">
        <v>1105</v>
      </c>
      <c r="F81" s="502">
        <v>550</v>
      </c>
      <c r="G81" s="790" t="s">
        <v>1111</v>
      </c>
    </row>
    <row r="82" spans="1:7" ht="11.25" customHeight="1">
      <c r="A82" s="458" t="s">
        <v>370</v>
      </c>
      <c r="B82" s="502">
        <v>3.4000000000000002E-2</v>
      </c>
      <c r="C82" s="719" t="s">
        <v>1422</v>
      </c>
      <c r="D82" s="501">
        <v>0.22</v>
      </c>
      <c r="E82" s="719" t="s">
        <v>1423</v>
      </c>
      <c r="F82" s="502">
        <v>3.4000000000000002E-2</v>
      </c>
      <c r="G82" s="790" t="s">
        <v>1422</v>
      </c>
    </row>
    <row r="83" spans="1:7" ht="11.25" customHeight="1">
      <c r="A83" s="458" t="s">
        <v>337</v>
      </c>
      <c r="B83" s="502">
        <v>3.6999999999999998E-2</v>
      </c>
      <c r="C83" s="719" t="s">
        <v>1422</v>
      </c>
      <c r="D83" s="501">
        <v>0.18</v>
      </c>
      <c r="E83" s="719" t="s">
        <v>1423</v>
      </c>
      <c r="F83" s="502">
        <v>3.6999999999999998E-2</v>
      </c>
      <c r="G83" s="790" t="s">
        <v>1422</v>
      </c>
    </row>
    <row r="84" spans="1:7" ht="11.25" customHeight="1">
      <c r="A84" s="458" t="s">
        <v>28</v>
      </c>
      <c r="B84" s="502">
        <v>0</v>
      </c>
      <c r="C84" s="719" t="s">
        <v>50</v>
      </c>
      <c r="D84" s="501">
        <v>0</v>
      </c>
      <c r="E84" s="719" t="s">
        <v>50</v>
      </c>
      <c r="F84" s="502">
        <v>0</v>
      </c>
      <c r="G84" s="790" t="s">
        <v>1420</v>
      </c>
    </row>
    <row r="85" spans="1:7" ht="11.25" customHeight="1">
      <c r="A85" s="458" t="s">
        <v>338</v>
      </c>
      <c r="B85" s="502">
        <v>140</v>
      </c>
      <c r="C85" s="719" t="s">
        <v>1422</v>
      </c>
      <c r="D85" s="501">
        <v>11000</v>
      </c>
      <c r="E85" s="719" t="s">
        <v>1423</v>
      </c>
      <c r="F85" s="502">
        <v>140</v>
      </c>
      <c r="G85" s="790" t="s">
        <v>1422</v>
      </c>
    </row>
    <row r="86" spans="1:7" ht="11.25" customHeight="1">
      <c r="A86" s="458" t="s">
        <v>339</v>
      </c>
      <c r="B86" s="502">
        <v>13</v>
      </c>
      <c r="C86" s="719" t="s">
        <v>1422</v>
      </c>
      <c r="D86" s="501">
        <v>1300</v>
      </c>
      <c r="E86" s="719" t="s">
        <v>1423</v>
      </c>
      <c r="F86" s="502">
        <v>13</v>
      </c>
      <c r="G86" s="790" t="s">
        <v>1422</v>
      </c>
    </row>
    <row r="87" spans="1:7" ht="11.25" customHeight="1">
      <c r="A87" s="458" t="s">
        <v>340</v>
      </c>
      <c r="B87" s="502">
        <v>300</v>
      </c>
      <c r="C87" s="719" t="s">
        <v>1031</v>
      </c>
      <c r="D87" s="501">
        <v>300</v>
      </c>
      <c r="E87" s="719" t="s">
        <v>1031</v>
      </c>
      <c r="F87" s="502">
        <v>300</v>
      </c>
      <c r="G87" s="790" t="s">
        <v>1031</v>
      </c>
    </row>
    <row r="88" spans="1:7" ht="11.25" customHeight="1">
      <c r="A88" s="458" t="s">
        <v>103</v>
      </c>
      <c r="B88" s="502">
        <v>21500</v>
      </c>
      <c r="C88" s="719" t="s">
        <v>1097</v>
      </c>
      <c r="D88" s="501">
        <v>21500</v>
      </c>
      <c r="E88" s="719" t="s">
        <v>1096</v>
      </c>
      <c r="F88" s="502">
        <v>21500</v>
      </c>
      <c r="G88" s="790" t="s">
        <v>1097</v>
      </c>
    </row>
    <row r="89" spans="1:7" ht="11.25" customHeight="1">
      <c r="A89" s="458" t="s">
        <v>341</v>
      </c>
      <c r="B89" s="502">
        <v>5.2999999999999999E-2</v>
      </c>
      <c r="C89" s="719" t="s">
        <v>1422</v>
      </c>
      <c r="D89" s="501">
        <v>0.52</v>
      </c>
      <c r="E89" s="719" t="s">
        <v>1423</v>
      </c>
      <c r="F89" s="502">
        <v>5.2999999999999999E-2</v>
      </c>
      <c r="G89" s="790" t="s">
        <v>1422</v>
      </c>
    </row>
    <row r="90" spans="1:7" ht="11.25" customHeight="1">
      <c r="A90" s="458" t="s">
        <v>342</v>
      </c>
      <c r="B90" s="502">
        <v>5.2999999999999999E-2</v>
      </c>
      <c r="C90" s="719" t="s">
        <v>1425</v>
      </c>
      <c r="D90" s="501">
        <v>0.52</v>
      </c>
      <c r="E90" s="719" t="s">
        <v>1424</v>
      </c>
      <c r="F90" s="502">
        <v>5.2999999999999999E-2</v>
      </c>
      <c r="G90" s="790" t="s">
        <v>1425</v>
      </c>
    </row>
    <row r="91" spans="1:7" ht="11.25" customHeight="1">
      <c r="A91" s="458" t="s">
        <v>371</v>
      </c>
      <c r="B91" s="502">
        <v>2.9999999999999997E-4</v>
      </c>
      <c r="C91" s="719" t="s">
        <v>1098</v>
      </c>
      <c r="D91" s="501">
        <v>2.9999999999999997E-4</v>
      </c>
      <c r="E91" s="719" t="s">
        <v>1098</v>
      </c>
      <c r="F91" s="502">
        <v>2.9999999999999997E-4</v>
      </c>
      <c r="G91" s="790" t="s">
        <v>1098</v>
      </c>
    </row>
    <row r="92" spans="1:7" ht="11.25" customHeight="1">
      <c r="A92" s="458" t="s">
        <v>343</v>
      </c>
      <c r="B92" s="502">
        <v>11</v>
      </c>
      <c r="C92" s="719" t="s">
        <v>1422</v>
      </c>
      <c r="D92" s="501">
        <v>30</v>
      </c>
      <c r="E92" s="719" t="s">
        <v>1423</v>
      </c>
      <c r="F92" s="502">
        <v>11</v>
      </c>
      <c r="G92" s="790" t="s">
        <v>1422</v>
      </c>
    </row>
    <row r="93" spans="1:7" ht="11.25" customHeight="1">
      <c r="A93" s="458" t="s">
        <v>364</v>
      </c>
      <c r="B93" s="502">
        <v>0.16</v>
      </c>
      <c r="C93" s="719" t="s">
        <v>1422</v>
      </c>
      <c r="D93" s="501">
        <v>2</v>
      </c>
      <c r="E93" s="719" t="s">
        <v>1423</v>
      </c>
      <c r="F93" s="502">
        <v>0.16</v>
      </c>
      <c r="G93" s="790" t="s">
        <v>1422</v>
      </c>
    </row>
    <row r="94" spans="1:7" ht="11.25" customHeight="1">
      <c r="A94" s="458" t="s">
        <v>344</v>
      </c>
      <c r="B94" s="502">
        <v>310</v>
      </c>
      <c r="C94" s="719" t="s">
        <v>1422</v>
      </c>
      <c r="D94" s="501">
        <v>330</v>
      </c>
      <c r="E94" s="719" t="s">
        <v>1423</v>
      </c>
      <c r="F94" s="502">
        <v>310</v>
      </c>
      <c r="G94" s="790" t="s">
        <v>1422</v>
      </c>
    </row>
    <row r="95" spans="1:7" ht="11.25" customHeight="1">
      <c r="A95" s="458" t="s">
        <v>104</v>
      </c>
      <c r="B95" s="502">
        <v>137000</v>
      </c>
      <c r="C95" s="719" t="s">
        <v>1097</v>
      </c>
      <c r="D95" s="501">
        <v>137000</v>
      </c>
      <c r="E95" s="719" t="s">
        <v>1096</v>
      </c>
      <c r="F95" s="502">
        <v>137000</v>
      </c>
      <c r="G95" s="790" t="s">
        <v>1097</v>
      </c>
    </row>
    <row r="96" spans="1:7" ht="11.25" customHeight="1">
      <c r="A96" s="458" t="s">
        <v>345</v>
      </c>
      <c r="B96" s="502">
        <v>300</v>
      </c>
      <c r="C96" s="719" t="s">
        <v>1031</v>
      </c>
      <c r="D96" s="501">
        <v>300</v>
      </c>
      <c r="E96" s="719" t="s">
        <v>1031</v>
      </c>
      <c r="F96" s="502">
        <v>300</v>
      </c>
      <c r="G96" s="790" t="s">
        <v>1031</v>
      </c>
    </row>
    <row r="97" spans="1:7" ht="11.25" customHeight="1">
      <c r="A97" s="458" t="s">
        <v>105</v>
      </c>
      <c r="B97" s="502">
        <v>4300</v>
      </c>
      <c r="C97" s="719" t="s">
        <v>1422</v>
      </c>
      <c r="D97" s="501">
        <v>39000</v>
      </c>
      <c r="E97" s="719" t="s">
        <v>1423</v>
      </c>
      <c r="F97" s="502">
        <v>4300</v>
      </c>
      <c r="G97" s="790" t="s">
        <v>1422</v>
      </c>
    </row>
    <row r="98" spans="1:7" ht="11.25" customHeight="1">
      <c r="A98" s="458" t="s">
        <v>346</v>
      </c>
      <c r="B98" s="502">
        <v>29</v>
      </c>
      <c r="C98" s="719" t="s">
        <v>1423</v>
      </c>
      <c r="D98" s="501">
        <v>29</v>
      </c>
      <c r="E98" s="719" t="s">
        <v>1423</v>
      </c>
      <c r="F98" s="502">
        <v>140</v>
      </c>
      <c r="G98" s="790" t="s">
        <v>1422</v>
      </c>
    </row>
    <row r="99" spans="1:7" ht="11.25" customHeight="1">
      <c r="A99" s="458" t="s">
        <v>347</v>
      </c>
      <c r="B99" s="502">
        <v>2.1</v>
      </c>
      <c r="C99" s="719" t="s">
        <v>1422</v>
      </c>
      <c r="D99" s="501">
        <v>2.4</v>
      </c>
      <c r="E99" s="719" t="s">
        <v>1423</v>
      </c>
      <c r="F99" s="502">
        <v>2.1</v>
      </c>
      <c r="G99" s="790" t="s">
        <v>1422</v>
      </c>
    </row>
    <row r="100" spans="1:7" ht="11.25" customHeight="1">
      <c r="A100" s="458" t="s">
        <v>348</v>
      </c>
      <c r="B100" s="502">
        <v>0.7</v>
      </c>
      <c r="C100" s="719" t="s">
        <v>1091</v>
      </c>
      <c r="D100" s="501">
        <v>0.7</v>
      </c>
      <c r="E100" s="719" t="s">
        <v>1424</v>
      </c>
      <c r="F100" s="502">
        <v>0.7</v>
      </c>
      <c r="G100" s="790" t="s">
        <v>1091</v>
      </c>
    </row>
    <row r="101" spans="1:7" ht="11.25" customHeight="1">
      <c r="A101" s="458" t="s">
        <v>350</v>
      </c>
      <c r="B101" s="502">
        <v>200000</v>
      </c>
      <c r="C101" s="719" t="s">
        <v>1424</v>
      </c>
      <c r="D101" s="501">
        <v>200000</v>
      </c>
      <c r="E101" s="719" t="s">
        <v>1424</v>
      </c>
      <c r="F101" s="502">
        <v>240000</v>
      </c>
      <c r="G101" s="790" t="s">
        <v>1425</v>
      </c>
    </row>
    <row r="102" spans="1:7" ht="11.25" customHeight="1">
      <c r="A102" s="458" t="s">
        <v>351</v>
      </c>
      <c r="B102" s="502">
        <v>2200</v>
      </c>
      <c r="C102" s="719" t="s">
        <v>1425</v>
      </c>
      <c r="D102" s="501">
        <v>2200</v>
      </c>
      <c r="E102" s="719" t="s">
        <v>1424</v>
      </c>
      <c r="F102" s="502">
        <v>2200</v>
      </c>
      <c r="G102" s="790" t="s">
        <v>1425</v>
      </c>
    </row>
    <row r="103" spans="1:7" ht="11.25" customHeight="1">
      <c r="A103" s="458" t="s">
        <v>352</v>
      </c>
      <c r="B103" s="502">
        <v>9.9000000000000005E-2</v>
      </c>
      <c r="C103" s="719" t="s">
        <v>1425</v>
      </c>
      <c r="D103" s="501">
        <v>9.9000000000000005E-2</v>
      </c>
      <c r="E103" s="719" t="s">
        <v>1424</v>
      </c>
      <c r="F103" s="502">
        <v>9.9000000000000005E-2</v>
      </c>
      <c r="G103" s="790" t="s">
        <v>1425</v>
      </c>
    </row>
    <row r="104" spans="1:7" ht="11.25" customHeight="1">
      <c r="A104" s="458" t="s">
        <v>353</v>
      </c>
      <c r="B104" s="502">
        <v>6500</v>
      </c>
      <c r="C104" s="719" t="s">
        <v>1424</v>
      </c>
      <c r="D104" s="501">
        <v>6500</v>
      </c>
      <c r="E104" s="719" t="s">
        <v>1424</v>
      </c>
      <c r="F104" s="502">
        <v>53000</v>
      </c>
      <c r="G104" s="790" t="s">
        <v>1425</v>
      </c>
    </row>
    <row r="105" spans="1:7" ht="11.25" customHeight="1">
      <c r="A105" s="458" t="s">
        <v>349</v>
      </c>
      <c r="B105" s="502">
        <v>8500</v>
      </c>
      <c r="C105" s="719" t="s">
        <v>1424</v>
      </c>
      <c r="D105" s="501">
        <v>8500</v>
      </c>
      <c r="E105" s="719" t="s">
        <v>1424</v>
      </c>
      <c r="F105" s="502">
        <v>26000</v>
      </c>
      <c r="G105" s="790" t="s">
        <v>1425</v>
      </c>
    </row>
    <row r="106" spans="1:7" ht="11.25" customHeight="1">
      <c r="A106" s="458" t="s">
        <v>590</v>
      </c>
      <c r="B106" s="502">
        <v>37</v>
      </c>
      <c r="C106" s="719" t="s">
        <v>1425</v>
      </c>
      <c r="D106" s="501">
        <v>37</v>
      </c>
      <c r="E106" s="719" t="s">
        <v>1424</v>
      </c>
      <c r="F106" s="502">
        <v>37</v>
      </c>
      <c r="G106" s="790" t="s">
        <v>1425</v>
      </c>
    </row>
    <row r="107" spans="1:7" ht="11.25" customHeight="1">
      <c r="A107" s="458" t="s">
        <v>591</v>
      </c>
      <c r="B107" s="502">
        <v>42</v>
      </c>
      <c r="C107" s="719" t="s">
        <v>1424</v>
      </c>
      <c r="D107" s="501">
        <v>42</v>
      </c>
      <c r="E107" s="719" t="s">
        <v>1424</v>
      </c>
      <c r="F107" s="502">
        <v>86</v>
      </c>
      <c r="G107" s="790" t="s">
        <v>1425</v>
      </c>
    </row>
    <row r="108" spans="1:7" ht="11.25" customHeight="1">
      <c r="A108" s="458" t="s">
        <v>465</v>
      </c>
      <c r="B108" s="502">
        <v>7200</v>
      </c>
      <c r="C108" s="719" t="s">
        <v>1424</v>
      </c>
      <c r="D108" s="501">
        <v>7200</v>
      </c>
      <c r="E108" s="719" t="s">
        <v>1424</v>
      </c>
      <c r="F108" s="502">
        <v>16000</v>
      </c>
      <c r="G108" s="790" t="s">
        <v>1425</v>
      </c>
    </row>
    <row r="109" spans="1:7" ht="11.25" customHeight="1">
      <c r="A109" s="458" t="s">
        <v>466</v>
      </c>
      <c r="B109" s="502">
        <v>770</v>
      </c>
      <c r="C109" s="719" t="s">
        <v>1423</v>
      </c>
      <c r="D109" s="501">
        <v>770</v>
      </c>
      <c r="E109" s="719" t="s">
        <v>1423</v>
      </c>
      <c r="F109" s="502">
        <v>780</v>
      </c>
      <c r="G109" s="790" t="s">
        <v>1422</v>
      </c>
    </row>
    <row r="110" spans="1:7" ht="11.25" customHeight="1">
      <c r="A110" s="458" t="s">
        <v>812</v>
      </c>
      <c r="B110" s="502">
        <v>5</v>
      </c>
      <c r="C110" s="719" t="s">
        <v>1423</v>
      </c>
      <c r="D110" s="501">
        <v>5</v>
      </c>
      <c r="E110" s="719" t="s">
        <v>1423</v>
      </c>
      <c r="F110" s="502">
        <v>75</v>
      </c>
      <c r="G110" s="790" t="s">
        <v>1422</v>
      </c>
    </row>
    <row r="111" spans="1:7" ht="11.25" customHeight="1">
      <c r="A111" s="458" t="s">
        <v>106</v>
      </c>
      <c r="B111" s="502">
        <v>2000</v>
      </c>
      <c r="C111" s="719" t="s">
        <v>1422</v>
      </c>
      <c r="D111" s="501">
        <v>9000</v>
      </c>
      <c r="E111" s="719" t="s">
        <v>1423</v>
      </c>
      <c r="F111" s="502">
        <v>2000</v>
      </c>
      <c r="G111" s="790" t="s">
        <v>1422</v>
      </c>
    </row>
    <row r="112" spans="1:7" ht="11.25" customHeight="1">
      <c r="A112" s="458" t="s">
        <v>107</v>
      </c>
      <c r="B112" s="502">
        <v>160</v>
      </c>
      <c r="C112" s="719" t="s">
        <v>1091</v>
      </c>
      <c r="D112" s="501">
        <v>160</v>
      </c>
      <c r="E112" s="719" t="s">
        <v>1424</v>
      </c>
      <c r="F112" s="502">
        <v>160</v>
      </c>
      <c r="G112" s="790" t="s">
        <v>1091</v>
      </c>
    </row>
    <row r="113" spans="1:7" ht="11.25" customHeight="1">
      <c r="A113" s="458" t="s">
        <v>108</v>
      </c>
      <c r="B113" s="502">
        <v>640</v>
      </c>
      <c r="C113" s="719" t="s">
        <v>1091</v>
      </c>
      <c r="D113" s="501">
        <v>640</v>
      </c>
      <c r="E113" s="719" t="s">
        <v>1424</v>
      </c>
      <c r="F113" s="502">
        <v>640</v>
      </c>
      <c r="G113" s="790" t="s">
        <v>1091</v>
      </c>
    </row>
    <row r="114" spans="1:7" ht="11.25" customHeight="1">
      <c r="A114" s="458" t="s">
        <v>109</v>
      </c>
      <c r="B114" s="502">
        <v>380</v>
      </c>
      <c r="C114" s="719" t="s">
        <v>1091</v>
      </c>
      <c r="D114" s="501">
        <v>380</v>
      </c>
      <c r="E114" s="719" t="s">
        <v>1424</v>
      </c>
      <c r="F114" s="502">
        <v>380</v>
      </c>
      <c r="G114" s="790" t="s">
        <v>1091</v>
      </c>
    </row>
    <row r="115" spans="1:7" ht="11.25" customHeight="1">
      <c r="A115" s="458" t="s">
        <v>110</v>
      </c>
      <c r="B115" s="502">
        <v>410</v>
      </c>
      <c r="C115" s="719" t="s">
        <v>1091</v>
      </c>
      <c r="D115" s="501">
        <v>410</v>
      </c>
      <c r="E115" s="719" t="s">
        <v>1424</v>
      </c>
      <c r="F115" s="502">
        <v>410</v>
      </c>
      <c r="G115" s="790" t="s">
        <v>1091</v>
      </c>
    </row>
    <row r="116" spans="1:7" ht="11.25" customHeight="1">
      <c r="A116" s="458" t="s">
        <v>467</v>
      </c>
      <c r="B116" s="502">
        <v>13</v>
      </c>
      <c r="C116" s="719" t="s">
        <v>1422</v>
      </c>
      <c r="D116" s="501">
        <v>20</v>
      </c>
      <c r="E116" s="719" t="s">
        <v>1423</v>
      </c>
      <c r="F116" s="502">
        <v>13</v>
      </c>
      <c r="G116" s="790" t="s">
        <v>1422</v>
      </c>
    </row>
    <row r="117" spans="1:7" ht="11.25" customHeight="1">
      <c r="A117" s="458" t="s">
        <v>111</v>
      </c>
      <c r="B117" s="502">
        <v>850000</v>
      </c>
      <c r="C117" s="719" t="s">
        <v>1130</v>
      </c>
      <c r="D117" s="501">
        <v>850000</v>
      </c>
      <c r="E117" s="719" t="s">
        <v>1130</v>
      </c>
      <c r="F117" s="502">
        <v>850000</v>
      </c>
      <c r="G117" s="790" t="s">
        <v>1130</v>
      </c>
    </row>
    <row r="118" spans="1:7" ht="11.25" customHeight="1">
      <c r="A118" s="458" t="s">
        <v>231</v>
      </c>
      <c r="B118" s="502">
        <v>5000</v>
      </c>
      <c r="C118" s="719" t="s">
        <v>1118</v>
      </c>
      <c r="D118" s="501">
        <v>5000</v>
      </c>
      <c r="E118" s="719" t="s">
        <v>1118</v>
      </c>
      <c r="F118" s="502">
        <v>5000</v>
      </c>
      <c r="G118" s="790" t="s">
        <v>1118</v>
      </c>
    </row>
    <row r="119" spans="1:7" ht="11.25" customHeight="1">
      <c r="A119" s="458" t="s">
        <v>468</v>
      </c>
      <c r="B119" s="502">
        <v>300</v>
      </c>
      <c r="C119" s="719" t="s">
        <v>1031</v>
      </c>
      <c r="D119" s="501">
        <v>300</v>
      </c>
      <c r="E119" s="719" t="s">
        <v>1031</v>
      </c>
      <c r="F119" s="502">
        <v>300</v>
      </c>
      <c r="G119" s="790" t="s">
        <v>1031</v>
      </c>
    </row>
    <row r="120" spans="1:7" ht="11.25" customHeight="1">
      <c r="A120" s="458" t="s">
        <v>469</v>
      </c>
      <c r="B120" s="502">
        <v>300</v>
      </c>
      <c r="C120" s="719" t="s">
        <v>1425</v>
      </c>
      <c r="D120" s="501">
        <v>4700</v>
      </c>
      <c r="E120" s="719" t="s">
        <v>1423</v>
      </c>
      <c r="F120" s="502">
        <v>300</v>
      </c>
      <c r="G120" s="790" t="s">
        <v>1425</v>
      </c>
    </row>
    <row r="121" spans="1:7" ht="11.25" customHeight="1">
      <c r="A121" s="458" t="s">
        <v>365</v>
      </c>
      <c r="B121" s="502">
        <v>2</v>
      </c>
      <c r="C121" s="719" t="s">
        <v>1423</v>
      </c>
      <c r="D121" s="501">
        <v>2</v>
      </c>
      <c r="E121" s="719" t="s">
        <v>1423</v>
      </c>
      <c r="F121" s="502">
        <v>10</v>
      </c>
      <c r="G121" s="790" t="s">
        <v>1422</v>
      </c>
    </row>
    <row r="122" spans="1:7" ht="11.25" customHeight="1">
      <c r="A122" s="458" t="s">
        <v>112</v>
      </c>
      <c r="B122" s="502">
        <v>425</v>
      </c>
      <c r="C122" s="719" t="s">
        <v>1097</v>
      </c>
      <c r="D122" s="501">
        <v>425</v>
      </c>
      <c r="E122" s="719" t="s">
        <v>1096</v>
      </c>
      <c r="F122" s="502">
        <v>425</v>
      </c>
      <c r="G122" s="790" t="s">
        <v>1097</v>
      </c>
    </row>
    <row r="123" spans="1:7" ht="11.25" customHeight="1">
      <c r="A123" s="458" t="s">
        <v>470</v>
      </c>
      <c r="B123" s="502">
        <v>300</v>
      </c>
      <c r="C123" s="719" t="s">
        <v>1031</v>
      </c>
      <c r="D123" s="501">
        <v>300</v>
      </c>
      <c r="E123" s="719" t="s">
        <v>1031</v>
      </c>
      <c r="F123" s="502">
        <v>300</v>
      </c>
      <c r="G123" s="790" t="s">
        <v>1031</v>
      </c>
    </row>
    <row r="124" spans="1:7" ht="11.25" customHeight="1">
      <c r="A124" s="458" t="s">
        <v>471</v>
      </c>
      <c r="B124" s="502">
        <v>20</v>
      </c>
      <c r="C124" s="719" t="s">
        <v>1423</v>
      </c>
      <c r="D124" s="501">
        <v>20</v>
      </c>
      <c r="E124" s="719" t="s">
        <v>1423</v>
      </c>
      <c r="F124" s="502">
        <v>300</v>
      </c>
      <c r="G124" s="790" t="s">
        <v>1422</v>
      </c>
    </row>
    <row r="125" spans="1:7" ht="11.25" customHeight="1">
      <c r="A125" s="458" t="s">
        <v>813</v>
      </c>
      <c r="B125" s="502">
        <v>1</v>
      </c>
      <c r="C125" s="719" t="s">
        <v>1423</v>
      </c>
      <c r="D125" s="501">
        <v>1</v>
      </c>
      <c r="E125" s="719" t="s">
        <v>1423</v>
      </c>
      <c r="F125" s="502">
        <v>2.2999999999999998</v>
      </c>
      <c r="G125" s="790" t="s">
        <v>1422</v>
      </c>
    </row>
    <row r="126" spans="1:7" ht="11.25" customHeight="1">
      <c r="A126" s="458" t="s">
        <v>113</v>
      </c>
      <c r="B126" s="502">
        <v>80</v>
      </c>
      <c r="C126" s="719" t="s">
        <v>1091</v>
      </c>
      <c r="D126" s="501">
        <v>80</v>
      </c>
      <c r="E126" s="719" t="s">
        <v>1424</v>
      </c>
      <c r="F126" s="502">
        <v>80</v>
      </c>
      <c r="G126" s="790" t="s">
        <v>1091</v>
      </c>
    </row>
    <row r="127" spans="1:7" ht="11.25" customHeight="1">
      <c r="A127" s="458" t="s">
        <v>472</v>
      </c>
      <c r="B127" s="502">
        <v>290</v>
      </c>
      <c r="C127" s="719" t="s">
        <v>1091</v>
      </c>
      <c r="D127" s="501">
        <v>290</v>
      </c>
      <c r="E127" s="719" t="s">
        <v>1424</v>
      </c>
      <c r="F127" s="502">
        <v>290</v>
      </c>
      <c r="G127" s="790" t="s">
        <v>1091</v>
      </c>
    </row>
    <row r="128" spans="1:7" ht="11.25" customHeight="1">
      <c r="A128" s="458" t="s">
        <v>114</v>
      </c>
      <c r="B128" s="502">
        <v>251.31929956026045</v>
      </c>
      <c r="C128" s="719" t="s">
        <v>1420</v>
      </c>
      <c r="D128" s="501">
        <v>23100</v>
      </c>
      <c r="E128" s="719" t="s">
        <v>1096</v>
      </c>
      <c r="F128" s="502">
        <v>251.31929956026045</v>
      </c>
      <c r="G128" s="790" t="s">
        <v>1420</v>
      </c>
    </row>
    <row r="129" spans="1:7" ht="11.25" customHeight="1">
      <c r="A129" s="458" t="s">
        <v>19</v>
      </c>
      <c r="B129" s="502">
        <v>180000</v>
      </c>
      <c r="C129" s="719" t="s">
        <v>1112</v>
      </c>
      <c r="D129" s="501">
        <v>180000</v>
      </c>
      <c r="E129" s="719" t="s">
        <v>1112</v>
      </c>
      <c r="F129" s="502">
        <v>180000</v>
      </c>
      <c r="G129" s="790" t="s">
        <v>1112</v>
      </c>
    </row>
    <row r="130" spans="1:7" ht="11.25" customHeight="1">
      <c r="A130" s="458" t="s">
        <v>473</v>
      </c>
      <c r="B130" s="502">
        <v>770</v>
      </c>
      <c r="C130" s="719" t="s">
        <v>1091</v>
      </c>
      <c r="D130" s="501">
        <v>3100</v>
      </c>
      <c r="E130" s="719" t="s">
        <v>1423</v>
      </c>
      <c r="F130" s="502">
        <v>770</v>
      </c>
      <c r="G130" s="790" t="s">
        <v>1091</v>
      </c>
    </row>
    <row r="131" spans="1:7" ht="11.25" customHeight="1">
      <c r="A131" s="458" t="s">
        <v>474</v>
      </c>
      <c r="B131" s="502">
        <v>910</v>
      </c>
      <c r="C131" s="719" t="s">
        <v>1424</v>
      </c>
      <c r="D131" s="501">
        <v>910</v>
      </c>
      <c r="E131" s="719" t="s">
        <v>1424</v>
      </c>
      <c r="F131" s="502">
        <v>3000</v>
      </c>
      <c r="G131" s="790" t="s">
        <v>1422</v>
      </c>
    </row>
    <row r="132" spans="1:7" ht="11.25" customHeight="1">
      <c r="A132" s="458" t="s">
        <v>475</v>
      </c>
      <c r="B132" s="502">
        <v>1800</v>
      </c>
      <c r="C132" s="719" t="s">
        <v>1423</v>
      </c>
      <c r="D132" s="501">
        <v>1800</v>
      </c>
      <c r="E132" s="719" t="s">
        <v>1423</v>
      </c>
      <c r="F132" s="502">
        <v>3400</v>
      </c>
      <c r="G132" s="790" t="s">
        <v>1422</v>
      </c>
    </row>
    <row r="133" spans="1:7" ht="11.25" customHeight="1">
      <c r="A133" s="458" t="s">
        <v>115</v>
      </c>
      <c r="B133" s="502">
        <v>11</v>
      </c>
      <c r="C133" s="719" t="s">
        <v>1091</v>
      </c>
      <c r="D133" s="501">
        <v>11</v>
      </c>
      <c r="E133" s="719" t="s">
        <v>1424</v>
      </c>
      <c r="F133" s="502">
        <v>11</v>
      </c>
      <c r="G133" s="790" t="s">
        <v>1091</v>
      </c>
    </row>
    <row r="134" spans="1:7" ht="11.25" customHeight="1">
      <c r="A134" s="458" t="s">
        <v>116</v>
      </c>
      <c r="B134" s="502">
        <v>1200</v>
      </c>
      <c r="C134" s="719" t="s">
        <v>1424</v>
      </c>
      <c r="D134" s="501">
        <v>1200</v>
      </c>
      <c r="E134" s="719" t="s">
        <v>1424</v>
      </c>
      <c r="F134" s="502">
        <v>1880</v>
      </c>
      <c r="G134" s="790" t="s">
        <v>1425</v>
      </c>
    </row>
    <row r="135" spans="1:7" ht="11.25" customHeight="1">
      <c r="A135" s="458" t="s">
        <v>476</v>
      </c>
      <c r="B135" s="502">
        <v>470</v>
      </c>
      <c r="C135" s="719" t="s">
        <v>1423</v>
      </c>
      <c r="D135" s="501">
        <v>470</v>
      </c>
      <c r="E135" s="719" t="s">
        <v>1423</v>
      </c>
      <c r="F135" s="502">
        <v>710</v>
      </c>
      <c r="G135" s="790" t="s">
        <v>1422</v>
      </c>
    </row>
    <row r="136" spans="1:7" ht="11.25" customHeight="1">
      <c r="A136" s="458" t="s">
        <v>366</v>
      </c>
      <c r="B136" s="502">
        <v>2100</v>
      </c>
      <c r="C136" s="719" t="s">
        <v>1422</v>
      </c>
      <c r="D136" s="501">
        <v>5800</v>
      </c>
      <c r="E136" s="719" t="s">
        <v>1423</v>
      </c>
      <c r="F136" s="502">
        <v>2100</v>
      </c>
      <c r="G136" s="790" t="s">
        <v>1422</v>
      </c>
    </row>
    <row r="137" spans="1:7" ht="11.25" customHeight="1">
      <c r="A137" s="458" t="s">
        <v>20</v>
      </c>
      <c r="B137" s="502">
        <v>0.21</v>
      </c>
      <c r="C137" s="719" t="s">
        <v>1422</v>
      </c>
      <c r="D137" s="501">
        <v>0.73</v>
      </c>
      <c r="E137" s="719" t="s">
        <v>1423</v>
      </c>
      <c r="F137" s="502">
        <v>0.21</v>
      </c>
      <c r="G137" s="790" t="s">
        <v>1422</v>
      </c>
    </row>
    <row r="138" spans="1:7" ht="11.25" customHeight="1">
      <c r="A138" s="458" t="s">
        <v>57</v>
      </c>
      <c r="B138" s="502">
        <v>5000</v>
      </c>
      <c r="C138" s="719" t="s">
        <v>769</v>
      </c>
      <c r="D138" s="501">
        <v>5000</v>
      </c>
      <c r="E138" s="719" t="s">
        <v>769</v>
      </c>
      <c r="F138" s="502">
        <v>5000</v>
      </c>
      <c r="G138" s="790" t="s">
        <v>769</v>
      </c>
    </row>
    <row r="139" spans="1:7" ht="11.25" customHeight="1">
      <c r="A139" s="458" t="s">
        <v>56</v>
      </c>
      <c r="B139" s="502">
        <v>2500</v>
      </c>
      <c r="C139" s="719" t="s">
        <v>769</v>
      </c>
      <c r="D139" s="501">
        <v>2500</v>
      </c>
      <c r="E139" s="719" t="s">
        <v>769</v>
      </c>
      <c r="F139" s="502">
        <v>2500</v>
      </c>
      <c r="G139" s="790" t="s">
        <v>769</v>
      </c>
    </row>
    <row r="140" spans="1:7" ht="11.25" customHeight="1">
      <c r="A140" s="458" t="s">
        <v>777</v>
      </c>
      <c r="B140" s="502">
        <v>2500</v>
      </c>
      <c r="C140" s="719" t="s">
        <v>769</v>
      </c>
      <c r="D140" s="501">
        <v>2500</v>
      </c>
      <c r="E140" s="719" t="s">
        <v>769</v>
      </c>
      <c r="F140" s="502">
        <v>2500</v>
      </c>
      <c r="G140" s="790" t="s">
        <v>769</v>
      </c>
    </row>
    <row r="141" spans="1:7" ht="11.25" customHeight="1">
      <c r="A141" s="458" t="s">
        <v>814</v>
      </c>
      <c r="B141" s="502">
        <v>420</v>
      </c>
      <c r="C141" s="719" t="s">
        <v>1424</v>
      </c>
      <c r="D141" s="501">
        <v>420</v>
      </c>
      <c r="E141" s="719" t="s">
        <v>1424</v>
      </c>
      <c r="F141" s="502">
        <v>700</v>
      </c>
      <c r="G141" s="790" t="s">
        <v>1425</v>
      </c>
    </row>
    <row r="142" spans="1:7" ht="11.25" customHeight="1">
      <c r="A142" s="458" t="s">
        <v>815</v>
      </c>
      <c r="B142" s="502">
        <v>6000</v>
      </c>
      <c r="C142" s="719" t="s">
        <v>1423</v>
      </c>
      <c r="D142" s="501">
        <v>6000</v>
      </c>
      <c r="E142" s="719" t="s">
        <v>1423</v>
      </c>
      <c r="F142" s="502">
        <v>10400</v>
      </c>
      <c r="G142" s="790" t="s">
        <v>1422</v>
      </c>
    </row>
    <row r="143" spans="1:7" ht="11.25" customHeight="1">
      <c r="A143" s="458" t="s">
        <v>477</v>
      </c>
      <c r="B143" s="502">
        <v>5200</v>
      </c>
      <c r="C143" s="719" t="s">
        <v>1425</v>
      </c>
      <c r="D143" s="501">
        <v>6000</v>
      </c>
      <c r="E143" s="719" t="s">
        <v>1423</v>
      </c>
      <c r="F143" s="502">
        <v>5200</v>
      </c>
      <c r="G143" s="790" t="s">
        <v>1425</v>
      </c>
    </row>
    <row r="144" spans="1:7" ht="11.25" customHeight="1">
      <c r="A144" s="458" t="s">
        <v>478</v>
      </c>
      <c r="B144" s="502">
        <v>700</v>
      </c>
      <c r="C144" s="719" t="s">
        <v>1422</v>
      </c>
      <c r="D144" s="501">
        <v>15000</v>
      </c>
      <c r="E144" s="719" t="s">
        <v>1423</v>
      </c>
      <c r="F144" s="502">
        <v>700</v>
      </c>
      <c r="G144" s="790" t="s">
        <v>1422</v>
      </c>
    </row>
    <row r="145" spans="1:7" ht="11.25" customHeight="1">
      <c r="A145" s="458" t="s">
        <v>479</v>
      </c>
      <c r="B145" s="502">
        <v>17</v>
      </c>
      <c r="C145" s="719" t="s">
        <v>1424</v>
      </c>
      <c r="D145" s="501">
        <v>17</v>
      </c>
      <c r="E145" s="719" t="s">
        <v>1424</v>
      </c>
      <c r="F145" s="502">
        <v>259</v>
      </c>
      <c r="G145" s="790" t="s">
        <v>1425</v>
      </c>
    </row>
    <row r="146" spans="1:7" ht="11.25" customHeight="1">
      <c r="A146" s="458" t="s">
        <v>480</v>
      </c>
      <c r="B146" s="502">
        <v>39</v>
      </c>
      <c r="C146" s="719" t="s">
        <v>1091</v>
      </c>
      <c r="D146" s="501">
        <v>39</v>
      </c>
      <c r="E146" s="719" t="s">
        <v>1424</v>
      </c>
      <c r="F146" s="502">
        <v>39</v>
      </c>
      <c r="G146" s="790" t="s">
        <v>1091</v>
      </c>
    </row>
    <row r="147" spans="1:7" ht="11.25" customHeight="1">
      <c r="A147" s="462" t="s">
        <v>117</v>
      </c>
      <c r="B147" s="502">
        <v>686</v>
      </c>
      <c r="C147" s="719" t="s">
        <v>764</v>
      </c>
      <c r="D147" s="501">
        <v>686</v>
      </c>
      <c r="E147" s="719" t="s">
        <v>764</v>
      </c>
      <c r="F147" s="502">
        <v>686</v>
      </c>
      <c r="G147" s="790" t="s">
        <v>764</v>
      </c>
    </row>
    <row r="148" spans="1:7" ht="11.25" customHeight="1">
      <c r="A148" s="458" t="s">
        <v>118</v>
      </c>
      <c r="B148" s="502">
        <v>270</v>
      </c>
      <c r="C148" s="719" t="s">
        <v>1091</v>
      </c>
      <c r="D148" s="501">
        <v>270</v>
      </c>
      <c r="E148" s="719" t="s">
        <v>1424</v>
      </c>
      <c r="F148" s="502">
        <v>270</v>
      </c>
      <c r="G148" s="790" t="s">
        <v>1091</v>
      </c>
    </row>
    <row r="149" spans="1:7" ht="11.25" customHeight="1">
      <c r="A149" s="458" t="s">
        <v>119</v>
      </c>
      <c r="B149" s="502">
        <v>140</v>
      </c>
      <c r="C149" s="719" t="s">
        <v>1117</v>
      </c>
      <c r="D149" s="501">
        <v>140</v>
      </c>
      <c r="E149" s="719" t="s">
        <v>1117</v>
      </c>
      <c r="F149" s="502">
        <v>140</v>
      </c>
      <c r="G149" s="790" t="s">
        <v>1117</v>
      </c>
    </row>
    <row r="150" spans="1:7" ht="11.25" customHeight="1">
      <c r="A150" s="458" t="s">
        <v>120</v>
      </c>
      <c r="B150" s="502">
        <v>3.3315808860737541</v>
      </c>
      <c r="C150" s="719" t="s">
        <v>1420</v>
      </c>
      <c r="D150" s="501">
        <v>3.3315808860737541</v>
      </c>
      <c r="E150" s="719" t="s">
        <v>1420</v>
      </c>
      <c r="F150" s="502">
        <v>3.3315808860737541</v>
      </c>
      <c r="G150" s="790" t="s">
        <v>1420</v>
      </c>
    </row>
    <row r="151" spans="1:7" ht="11.25" customHeight="1">
      <c r="A151" s="458" t="s">
        <v>602</v>
      </c>
      <c r="B151" s="502">
        <v>20.5</v>
      </c>
      <c r="C151" s="719" t="s">
        <v>1091</v>
      </c>
      <c r="D151" s="501">
        <v>20.5</v>
      </c>
      <c r="E151" s="719" t="s">
        <v>1424</v>
      </c>
      <c r="F151" s="502">
        <v>20.5</v>
      </c>
      <c r="G151" s="790" t="s">
        <v>1091</v>
      </c>
    </row>
    <row r="152" spans="1:7" ht="11.25" customHeight="1">
      <c r="A152" s="458" t="s">
        <v>939</v>
      </c>
      <c r="B152" s="502">
        <v>27</v>
      </c>
      <c r="C152" s="719" t="s">
        <v>1424</v>
      </c>
      <c r="D152" s="501">
        <v>27</v>
      </c>
      <c r="E152" s="719" t="s">
        <v>1424</v>
      </c>
      <c r="F152" s="502">
        <v>30</v>
      </c>
      <c r="G152" s="790" t="s">
        <v>1425</v>
      </c>
    </row>
    <row r="153" spans="1:7" ht="11.25" customHeight="1">
      <c r="A153" s="458" t="s">
        <v>603</v>
      </c>
      <c r="B153" s="502">
        <v>39.469382156875795</v>
      </c>
      <c r="C153" s="719" t="s">
        <v>1420</v>
      </c>
      <c r="D153" s="501">
        <v>39.469382156875795</v>
      </c>
      <c r="E153" s="719" t="s">
        <v>1420</v>
      </c>
      <c r="F153" s="502">
        <v>39.469382156875795</v>
      </c>
      <c r="G153" s="790" t="s">
        <v>1420</v>
      </c>
    </row>
    <row r="154" spans="1:7" ht="11.25" customHeight="1">
      <c r="A154" s="458" t="s">
        <v>605</v>
      </c>
      <c r="B154" s="502">
        <v>210</v>
      </c>
      <c r="C154" s="719" t="s">
        <v>1424</v>
      </c>
      <c r="D154" s="501">
        <v>210</v>
      </c>
      <c r="E154" s="719" t="s">
        <v>1424</v>
      </c>
      <c r="F154" s="502">
        <v>570</v>
      </c>
      <c r="G154" s="790" t="s">
        <v>1425</v>
      </c>
    </row>
    <row r="155" spans="1:7" ht="11.25" customHeight="1">
      <c r="A155" s="458" t="s">
        <v>481</v>
      </c>
      <c r="B155" s="502">
        <v>90</v>
      </c>
      <c r="C155" s="719" t="s">
        <v>1425</v>
      </c>
      <c r="D155" s="501">
        <v>120</v>
      </c>
      <c r="E155" s="719" t="s">
        <v>1424</v>
      </c>
      <c r="F155" s="502">
        <v>90</v>
      </c>
      <c r="G155" s="790" t="s">
        <v>1425</v>
      </c>
    </row>
    <row r="156" spans="1:7" ht="11.25" customHeight="1">
      <c r="A156" s="458" t="s">
        <v>482</v>
      </c>
      <c r="B156" s="502">
        <v>8400</v>
      </c>
      <c r="C156" s="719" t="s">
        <v>767</v>
      </c>
      <c r="D156" s="501">
        <v>8400</v>
      </c>
      <c r="E156" s="719" t="s">
        <v>1424</v>
      </c>
      <c r="F156" s="502">
        <v>8400</v>
      </c>
      <c r="G156" s="790" t="s">
        <v>767</v>
      </c>
    </row>
    <row r="157" spans="1:7" ht="11.25" customHeight="1">
      <c r="A157" s="458" t="s">
        <v>483</v>
      </c>
      <c r="B157" s="502">
        <v>230</v>
      </c>
      <c r="C157" s="719" t="s">
        <v>1425</v>
      </c>
      <c r="D157" s="501">
        <v>240</v>
      </c>
      <c r="E157" s="719" t="s">
        <v>1424</v>
      </c>
      <c r="F157" s="502">
        <v>230</v>
      </c>
      <c r="G157" s="790" t="s">
        <v>1425</v>
      </c>
    </row>
    <row r="158" spans="1:7" ht="11.25" customHeight="1" thickBot="1">
      <c r="A158" s="516" t="s">
        <v>484</v>
      </c>
      <c r="B158" s="509">
        <v>22</v>
      </c>
      <c r="C158" s="721" t="s">
        <v>1423</v>
      </c>
      <c r="D158" s="627">
        <v>22</v>
      </c>
      <c r="E158" s="721" t="s">
        <v>1423</v>
      </c>
      <c r="F158" s="509">
        <v>95</v>
      </c>
      <c r="G158" s="791" t="s">
        <v>1422</v>
      </c>
    </row>
    <row r="159" spans="1:7" ht="11.25" customHeight="1" thickTop="1">
      <c r="A159" s="474" t="s">
        <v>488</v>
      </c>
      <c r="B159" s="475"/>
      <c r="C159" s="3"/>
      <c r="G159" s="749"/>
    </row>
    <row r="160" spans="1:7" ht="11.25" customHeight="1">
      <c r="A160" s="479" t="s">
        <v>1133</v>
      </c>
      <c r="B160" s="475"/>
      <c r="C160" s="3"/>
      <c r="G160" s="749"/>
    </row>
    <row r="161" spans="1:7" ht="11.25" customHeight="1">
      <c r="A161" s="479" t="s">
        <v>1131</v>
      </c>
      <c r="B161" s="475"/>
      <c r="C161" s="3"/>
      <c r="G161" s="749"/>
    </row>
    <row r="162" spans="1:7" ht="11.25" customHeight="1" thickBot="1">
      <c r="A162" s="706" t="s">
        <v>1132</v>
      </c>
      <c r="B162" s="663"/>
      <c r="C162" s="487"/>
      <c r="D162" s="663"/>
      <c r="E162" s="580"/>
      <c r="F162" s="663"/>
      <c r="G162" s="786"/>
    </row>
    <row r="163" spans="1:7" ht="10.5" thickTop="1"/>
  </sheetData>
  <sheetProtection algorithmName="SHA-512" hashValue="yUV+t1ZXOHe7Y/QK2lbLGsHaycxH4ur/2sDGxvLjPt8yYDdodMQLPfhgPCzOurJw3lPlEPYuWia1xltmo1L3zQ==" saltValue="0OIqbOHmmOc+6kl1GpAxWQ==" spinCount="100000" sheet="1" objects="1" scenarios="1"/>
  <mergeCells count="1">
    <mergeCell ref="A3:A4"/>
  </mergeCells>
  <phoneticPr fontId="18" type="noConversion"/>
  <printOptions horizontalCentered="1"/>
  <pageMargins left="0.75" right="0.75" top="0.57999999999999996" bottom="1" header="0.5" footer="0.5"/>
  <pageSetup scale="84" fitToHeight="4" orientation="landscape" r:id="rId1"/>
  <headerFooter alignWithMargins="0">
    <oddFooter>&amp;LHawai'i DOH
Spring 2024&amp;CPage &amp;P of &amp;N&amp;R&amp;A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29"/>
    <pageSetUpPr fitToPage="1"/>
  </sheetPr>
  <dimension ref="A1:F162"/>
  <sheetViews>
    <sheetView zoomScaleNormal="100" workbookViewId="0">
      <pane ySplit="1875" topLeftCell="A5" activePane="bottomLeft"/>
      <selection activeCell="B7" sqref="B7"/>
      <selection pane="bottomLeft" activeCell="B7" sqref="B7"/>
    </sheetView>
  </sheetViews>
  <sheetFormatPr defaultColWidth="9.1328125" defaultRowHeight="12.75"/>
  <cols>
    <col min="1" max="1" width="40.73046875" style="1" customWidth="1"/>
    <col min="2" max="4" width="12.73046875" style="481" customWidth="1"/>
    <col min="5" max="5" width="13.265625" style="481" customWidth="1"/>
    <col min="6" max="6" width="9.1328125" style="2"/>
    <col min="7" max="16384" width="9.1328125" style="1"/>
  </cols>
  <sheetData>
    <row r="1" spans="1:6" s="510" customFormat="1" ht="30">
      <c r="A1" s="751" t="s">
        <v>154</v>
      </c>
      <c r="B1" s="530"/>
      <c r="C1" s="530"/>
      <c r="D1" s="530"/>
      <c r="E1" s="530"/>
      <c r="F1" s="2"/>
    </row>
    <row r="2" spans="1:6" s="510" customFormat="1" ht="13.15" thickBot="1">
      <c r="A2" s="694"/>
      <c r="B2" s="724"/>
      <c r="C2" s="724"/>
      <c r="D2" s="724"/>
      <c r="E2" s="724"/>
      <c r="F2" s="2"/>
    </row>
    <row r="3" spans="1:6" s="510" customFormat="1" ht="23.25" customHeight="1" thickTop="1">
      <c r="A3" s="792"/>
      <c r="B3" s="698" t="s">
        <v>124</v>
      </c>
      <c r="C3" s="793"/>
      <c r="D3" s="794" t="s">
        <v>125</v>
      </c>
      <c r="E3" s="795"/>
      <c r="F3" s="2"/>
    </row>
    <row r="4" spans="1:6" s="510" customFormat="1" ht="12.75" customHeight="1" thickBot="1">
      <c r="A4" s="796" t="s">
        <v>613</v>
      </c>
      <c r="B4" s="702" t="s">
        <v>809</v>
      </c>
      <c r="C4" s="703" t="s">
        <v>810</v>
      </c>
      <c r="D4" s="702" t="s">
        <v>809</v>
      </c>
      <c r="E4" s="704" t="s">
        <v>810</v>
      </c>
    </row>
    <row r="5" spans="1:6" s="510" customFormat="1" ht="12.75" customHeight="1">
      <c r="A5" s="797" t="s">
        <v>548</v>
      </c>
      <c r="B5" s="565"/>
      <c r="C5" s="460">
        <v>570</v>
      </c>
      <c r="D5" s="501"/>
      <c r="E5" s="461">
        <v>320</v>
      </c>
    </row>
    <row r="6" spans="1:6" s="510" customFormat="1" ht="12.75" customHeight="1">
      <c r="A6" s="503" t="s">
        <v>549</v>
      </c>
      <c r="B6" s="565"/>
      <c r="C6" s="460"/>
      <c r="D6" s="501"/>
      <c r="E6" s="461"/>
    </row>
    <row r="7" spans="1:6" s="510" customFormat="1" ht="12.75" customHeight="1">
      <c r="A7" s="503" t="s">
        <v>550</v>
      </c>
      <c r="B7" s="565"/>
      <c r="C7" s="460"/>
      <c r="D7" s="501"/>
      <c r="E7" s="461"/>
    </row>
    <row r="8" spans="1:6" s="510" customFormat="1" ht="12.75" customHeight="1">
      <c r="A8" s="503" t="s">
        <v>551</v>
      </c>
      <c r="B8" s="565"/>
      <c r="C8" s="460">
        <v>3</v>
      </c>
      <c r="D8" s="501"/>
      <c r="E8" s="461">
        <v>1.3</v>
      </c>
    </row>
    <row r="9" spans="1:6" s="510" customFormat="1" ht="12.75" customHeight="1">
      <c r="A9" s="503" t="s">
        <v>161</v>
      </c>
      <c r="B9" s="798"/>
      <c r="C9" s="799"/>
      <c r="D9" s="800"/>
      <c r="E9" s="801"/>
    </row>
    <row r="10" spans="1:6" s="510" customFormat="1" ht="12.75" customHeight="1">
      <c r="A10" s="515" t="s">
        <v>162</v>
      </c>
      <c r="B10" s="798"/>
      <c r="C10" s="799"/>
      <c r="D10" s="800"/>
      <c r="E10" s="801"/>
    </row>
    <row r="11" spans="1:6" s="510" customFormat="1" ht="12.75" customHeight="1">
      <c r="A11" s="503" t="s">
        <v>94</v>
      </c>
      <c r="B11" s="798"/>
      <c r="C11" s="799"/>
      <c r="D11" s="800"/>
      <c r="E11" s="801"/>
    </row>
    <row r="12" spans="1:6" s="510" customFormat="1" ht="12.75" customHeight="1">
      <c r="A12" s="503" t="s">
        <v>552</v>
      </c>
      <c r="B12" s="565"/>
      <c r="C12" s="460"/>
      <c r="D12" s="501"/>
      <c r="E12" s="461"/>
    </row>
    <row r="13" spans="1:6" s="510" customFormat="1" ht="12.75" customHeight="1">
      <c r="A13" s="503" t="s">
        <v>553</v>
      </c>
      <c r="B13" s="565"/>
      <c r="C13" s="460">
        <v>3000</v>
      </c>
      <c r="D13" s="501"/>
      <c r="E13" s="461"/>
    </row>
    <row r="14" spans="1:6" s="510" customFormat="1" ht="12.75" customHeight="1">
      <c r="A14" s="503" t="s">
        <v>686</v>
      </c>
      <c r="B14" s="565">
        <v>190</v>
      </c>
      <c r="C14" s="460">
        <v>360</v>
      </c>
      <c r="D14" s="501">
        <v>36</v>
      </c>
      <c r="E14" s="461">
        <v>69</v>
      </c>
    </row>
    <row r="15" spans="1:6" s="510" customFormat="1" ht="12.75" customHeight="1">
      <c r="A15" s="503" t="s">
        <v>95</v>
      </c>
      <c r="B15" s="798"/>
      <c r="C15" s="799"/>
      <c r="D15" s="800"/>
      <c r="E15" s="801"/>
    </row>
    <row r="16" spans="1:6" s="510" customFormat="1" ht="12.75" customHeight="1">
      <c r="A16" s="503" t="s">
        <v>687</v>
      </c>
      <c r="B16" s="565"/>
      <c r="C16" s="460"/>
      <c r="D16" s="501"/>
      <c r="E16" s="461"/>
    </row>
    <row r="17" spans="1:5" s="510" customFormat="1" ht="12.75" customHeight="1">
      <c r="A17" s="458" t="s">
        <v>1156</v>
      </c>
      <c r="B17" s="501"/>
      <c r="C17" s="460"/>
      <c r="D17" s="501"/>
      <c r="E17" s="461"/>
    </row>
    <row r="18" spans="1:5" s="510" customFormat="1" ht="12.75" customHeight="1">
      <c r="A18" s="503" t="s">
        <v>688</v>
      </c>
      <c r="B18" s="565"/>
      <c r="C18" s="460">
        <v>1800</v>
      </c>
      <c r="D18" s="501"/>
      <c r="E18" s="461">
        <v>1700</v>
      </c>
    </row>
    <row r="19" spans="1:5" s="510" customFormat="1" ht="12.75" customHeight="1">
      <c r="A19" s="503" t="s">
        <v>689</v>
      </c>
      <c r="B19" s="565"/>
      <c r="C19" s="460"/>
      <c r="D19" s="501"/>
      <c r="E19" s="461"/>
    </row>
    <row r="20" spans="1:5" s="510" customFormat="1" ht="12.75" customHeight="1">
      <c r="A20" s="503" t="s">
        <v>690</v>
      </c>
      <c r="B20" s="565"/>
      <c r="C20" s="460"/>
      <c r="D20" s="501"/>
      <c r="E20" s="461"/>
    </row>
    <row r="21" spans="1:5" s="510" customFormat="1" ht="12.75" customHeight="1">
      <c r="A21" s="503" t="s">
        <v>691</v>
      </c>
      <c r="B21" s="565"/>
      <c r="C21" s="460"/>
      <c r="D21" s="501"/>
      <c r="E21" s="461"/>
    </row>
    <row r="22" spans="1:5" s="510" customFormat="1" ht="12.75" customHeight="1">
      <c r="A22" s="503" t="s">
        <v>692</v>
      </c>
      <c r="B22" s="565"/>
      <c r="C22" s="460"/>
      <c r="D22" s="501"/>
      <c r="E22" s="461"/>
    </row>
    <row r="23" spans="1:5" s="510" customFormat="1" ht="12.75" customHeight="1">
      <c r="A23" s="503" t="s">
        <v>693</v>
      </c>
      <c r="B23" s="565"/>
      <c r="C23" s="460"/>
      <c r="D23" s="501"/>
      <c r="E23" s="461"/>
    </row>
    <row r="24" spans="1:5" s="510" customFormat="1" ht="12.75" customHeight="1">
      <c r="A24" s="503" t="s">
        <v>126</v>
      </c>
      <c r="B24" s="565"/>
      <c r="C24" s="460">
        <v>43</v>
      </c>
      <c r="D24" s="501"/>
      <c r="E24" s="461"/>
    </row>
    <row r="25" spans="1:5" s="510" customFormat="1" ht="12.75" customHeight="1">
      <c r="A25" s="503" t="s">
        <v>233</v>
      </c>
      <c r="B25" s="565"/>
      <c r="C25" s="460"/>
      <c r="D25" s="501"/>
      <c r="E25" s="461"/>
    </row>
    <row r="26" spans="1:5" s="510" customFormat="1" ht="12.75" customHeight="1">
      <c r="A26" s="503" t="s">
        <v>127</v>
      </c>
      <c r="B26" s="565"/>
      <c r="C26" s="460"/>
      <c r="D26" s="501"/>
      <c r="E26" s="461"/>
    </row>
    <row r="27" spans="1:5" s="510" customFormat="1" ht="12.75" customHeight="1">
      <c r="A27" s="503" t="s">
        <v>1103</v>
      </c>
      <c r="B27" s="565"/>
      <c r="C27" s="460"/>
      <c r="D27" s="501"/>
      <c r="E27" s="461"/>
    </row>
    <row r="28" spans="1:5" s="510" customFormat="1" ht="12.75" customHeight="1">
      <c r="A28" s="503" t="s">
        <v>128</v>
      </c>
      <c r="B28" s="565"/>
      <c r="C28" s="460"/>
      <c r="D28" s="501"/>
      <c r="E28" s="461"/>
    </row>
    <row r="29" spans="1:5" s="510" customFormat="1" ht="12.75" customHeight="1">
      <c r="A29" s="503" t="s">
        <v>129</v>
      </c>
      <c r="B29" s="565"/>
      <c r="C29" s="460"/>
      <c r="D29" s="501"/>
      <c r="E29" s="461"/>
    </row>
    <row r="30" spans="1:5" s="510" customFormat="1" ht="12.75" customHeight="1">
      <c r="A30" s="503" t="s">
        <v>130</v>
      </c>
      <c r="B30" s="565"/>
      <c r="C30" s="460"/>
      <c r="D30" s="501"/>
      <c r="E30" s="461"/>
    </row>
    <row r="31" spans="1:5" s="510" customFormat="1" ht="12.75" customHeight="1">
      <c r="A31" s="503" t="s">
        <v>131</v>
      </c>
      <c r="B31" s="565"/>
      <c r="C31" s="460"/>
      <c r="D31" s="501"/>
      <c r="E31" s="461"/>
    </row>
    <row r="32" spans="1:5" s="510" customFormat="1" ht="12.75" customHeight="1">
      <c r="A32" s="503" t="s">
        <v>132</v>
      </c>
      <c r="B32" s="565"/>
      <c r="C32" s="460"/>
      <c r="D32" s="501"/>
      <c r="E32" s="461"/>
    </row>
    <row r="33" spans="1:6" s="510" customFormat="1" ht="12.75" customHeight="1">
      <c r="A33" s="503" t="s">
        <v>133</v>
      </c>
      <c r="B33" s="565">
        <v>3</v>
      </c>
      <c r="C33" s="460">
        <v>3</v>
      </c>
      <c r="D33" s="501">
        <v>9.3000000000000007</v>
      </c>
      <c r="E33" s="461">
        <v>43</v>
      </c>
    </row>
    <row r="34" spans="1:6" s="510" customFormat="1" ht="12.75" customHeight="1">
      <c r="A34" s="503" t="s">
        <v>134</v>
      </c>
      <c r="B34" s="565"/>
      <c r="C34" s="460">
        <v>12000</v>
      </c>
      <c r="D34" s="501"/>
      <c r="E34" s="461">
        <v>16000</v>
      </c>
    </row>
    <row r="35" spans="1:6" s="510" customFormat="1" ht="12.75" customHeight="1">
      <c r="A35" s="503" t="s">
        <v>614</v>
      </c>
      <c r="B35" s="565">
        <v>4.3E-3</v>
      </c>
      <c r="C35" s="460">
        <v>2.4</v>
      </c>
      <c r="D35" s="501">
        <v>4.0000000000000001E-3</v>
      </c>
      <c r="E35" s="461">
        <v>0.09</v>
      </c>
    </row>
    <row r="36" spans="1:6" s="510" customFormat="1" ht="12.75" customHeight="1">
      <c r="A36" s="503" t="s">
        <v>135</v>
      </c>
      <c r="B36" s="565"/>
      <c r="C36" s="460"/>
      <c r="D36" s="501"/>
      <c r="E36" s="461"/>
    </row>
    <row r="37" spans="1:6" s="510" customFormat="1" ht="12.75" customHeight="1">
      <c r="A37" s="503" t="s">
        <v>136</v>
      </c>
      <c r="B37" s="565"/>
      <c r="C37" s="460"/>
      <c r="D37" s="501"/>
      <c r="E37" s="461"/>
    </row>
    <row r="38" spans="1:6" ht="11.25" customHeight="1">
      <c r="A38" s="503" t="s">
        <v>781</v>
      </c>
      <c r="B38" s="565"/>
      <c r="C38" s="460"/>
      <c r="D38" s="501"/>
      <c r="E38" s="461"/>
      <c r="F38" s="1"/>
    </row>
    <row r="39" spans="1:6" ht="11.25" customHeight="1">
      <c r="A39" s="503" t="s">
        <v>137</v>
      </c>
      <c r="B39" s="565"/>
      <c r="C39" s="460">
        <v>9600</v>
      </c>
      <c r="D39" s="501"/>
      <c r="E39" s="461"/>
      <c r="F39" s="1"/>
    </row>
    <row r="40" spans="1:6" ht="11.25" customHeight="1">
      <c r="A40" s="503" t="s">
        <v>782</v>
      </c>
      <c r="B40" s="565"/>
      <c r="C40" s="460"/>
      <c r="D40" s="501"/>
      <c r="E40" s="461"/>
      <c r="F40" s="1"/>
    </row>
    <row r="41" spans="1:6" ht="11.25" customHeight="1">
      <c r="A41" s="503" t="s">
        <v>138</v>
      </c>
      <c r="B41" s="565"/>
      <c r="C41" s="460">
        <v>1400</v>
      </c>
      <c r="D41" s="501"/>
      <c r="E41" s="461"/>
      <c r="F41" s="1"/>
    </row>
    <row r="42" spans="1:6" ht="11.25" customHeight="1">
      <c r="A42" s="503" t="s">
        <v>612</v>
      </c>
      <c r="B42" s="565"/>
      <c r="C42" s="460"/>
      <c r="D42" s="501"/>
      <c r="E42" s="461"/>
      <c r="F42" s="1"/>
    </row>
    <row r="43" spans="1:6" ht="11.25" customHeight="1">
      <c r="A43" s="503" t="s">
        <v>779</v>
      </c>
      <c r="B43" s="565"/>
      <c r="C43" s="460"/>
      <c r="D43" s="501"/>
      <c r="E43" s="461"/>
      <c r="F43" s="1"/>
    </row>
    <row r="44" spans="1:6" ht="11.25" customHeight="1">
      <c r="A44" s="503" t="s">
        <v>780</v>
      </c>
      <c r="B44" s="565">
        <v>11</v>
      </c>
      <c r="C44" s="460">
        <v>16</v>
      </c>
      <c r="D44" s="501">
        <v>50</v>
      </c>
      <c r="E44" s="461">
        <v>1100</v>
      </c>
      <c r="F44" s="1"/>
    </row>
    <row r="45" spans="1:6" ht="11.25" customHeight="1">
      <c r="A45" s="503" t="s">
        <v>139</v>
      </c>
      <c r="B45" s="565"/>
      <c r="C45" s="460"/>
      <c r="D45" s="501"/>
      <c r="E45" s="461"/>
      <c r="F45" s="1"/>
    </row>
    <row r="46" spans="1:6" ht="11.25" customHeight="1">
      <c r="A46" s="503" t="s">
        <v>140</v>
      </c>
      <c r="B46" s="565"/>
      <c r="C46" s="460"/>
      <c r="D46" s="501"/>
      <c r="E46" s="461"/>
      <c r="F46" s="1"/>
    </row>
    <row r="47" spans="1:6" ht="11.25" customHeight="1">
      <c r="A47" s="503" t="s">
        <v>141</v>
      </c>
      <c r="B47" s="565">
        <v>6</v>
      </c>
      <c r="C47" s="460">
        <v>6</v>
      </c>
      <c r="D47" s="501">
        <v>2.9</v>
      </c>
      <c r="E47" s="461">
        <v>2.9</v>
      </c>
      <c r="F47" s="1"/>
    </row>
    <row r="48" spans="1:6" ht="11.25" customHeight="1">
      <c r="A48" s="503" t="s">
        <v>142</v>
      </c>
      <c r="B48" s="565">
        <v>5.2</v>
      </c>
      <c r="C48" s="460">
        <v>22</v>
      </c>
      <c r="D48" s="501">
        <v>1</v>
      </c>
      <c r="E48" s="461">
        <v>1</v>
      </c>
      <c r="F48" s="1"/>
    </row>
    <row r="49" spans="1:6" ht="11.25" customHeight="1">
      <c r="A49" s="503" t="s">
        <v>96</v>
      </c>
      <c r="B49" s="798"/>
      <c r="C49" s="799"/>
      <c r="D49" s="800"/>
      <c r="E49" s="801"/>
      <c r="F49" s="1"/>
    </row>
    <row r="50" spans="1:6" ht="11.25" customHeight="1">
      <c r="A50" s="503" t="s">
        <v>97</v>
      </c>
      <c r="B50" s="798"/>
      <c r="C50" s="799"/>
      <c r="D50" s="800"/>
      <c r="E50" s="801"/>
      <c r="F50" s="1"/>
    </row>
    <row r="51" spans="1:6" ht="11.25" customHeight="1">
      <c r="A51" s="503" t="s">
        <v>143</v>
      </c>
      <c r="B51" s="565"/>
      <c r="C51" s="460"/>
      <c r="D51" s="501"/>
      <c r="E51" s="461"/>
      <c r="F51" s="1"/>
    </row>
    <row r="52" spans="1:6" ht="11.25" customHeight="1">
      <c r="A52" s="503" t="s">
        <v>77</v>
      </c>
      <c r="B52" s="565"/>
      <c r="C52" s="460"/>
      <c r="D52" s="501"/>
      <c r="E52" s="461"/>
      <c r="F52" s="1"/>
    </row>
    <row r="53" spans="1:6" ht="11.25" customHeight="1">
      <c r="A53" s="503" t="s">
        <v>144</v>
      </c>
      <c r="B53" s="565"/>
      <c r="C53" s="460"/>
      <c r="D53" s="501"/>
      <c r="E53" s="461"/>
      <c r="F53" s="1"/>
    </row>
    <row r="54" spans="1:6" ht="11.25" customHeight="1">
      <c r="A54" s="503" t="s">
        <v>487</v>
      </c>
      <c r="B54" s="565"/>
      <c r="C54" s="460"/>
      <c r="D54" s="501"/>
      <c r="E54" s="461"/>
      <c r="F54" s="1"/>
    </row>
    <row r="55" spans="1:6" ht="11.25" customHeight="1">
      <c r="A55" s="503" t="s">
        <v>145</v>
      </c>
      <c r="B55" s="565"/>
      <c r="C55" s="460">
        <v>370</v>
      </c>
      <c r="D55" s="501"/>
      <c r="E55" s="461">
        <v>660</v>
      </c>
      <c r="F55" s="1"/>
    </row>
    <row r="56" spans="1:6" ht="11.25" customHeight="1">
      <c r="A56" s="503" t="s">
        <v>225</v>
      </c>
      <c r="B56" s="565"/>
      <c r="C56" s="460">
        <v>370</v>
      </c>
      <c r="D56" s="501"/>
      <c r="E56" s="461">
        <v>660</v>
      </c>
      <c r="F56" s="1"/>
    </row>
    <row r="57" spans="1:6" ht="11.25" customHeight="1">
      <c r="A57" s="503" t="s">
        <v>226</v>
      </c>
      <c r="B57" s="565"/>
      <c r="C57" s="460">
        <v>370</v>
      </c>
      <c r="D57" s="501"/>
      <c r="E57" s="461">
        <v>660</v>
      </c>
      <c r="F57" s="1"/>
    </row>
    <row r="58" spans="1:6" ht="11.25" customHeight="1">
      <c r="A58" s="503" t="s">
        <v>227</v>
      </c>
      <c r="B58" s="565"/>
      <c r="C58" s="460"/>
      <c r="D58" s="501"/>
      <c r="E58" s="461"/>
      <c r="F58" s="1"/>
    </row>
    <row r="59" spans="1:6" ht="11.25" customHeight="1">
      <c r="A59" s="503" t="s">
        <v>361</v>
      </c>
      <c r="B59" s="565"/>
      <c r="C59" s="460"/>
      <c r="D59" s="501"/>
      <c r="E59" s="461"/>
      <c r="F59" s="1"/>
    </row>
    <row r="60" spans="1:6" ht="11.25" customHeight="1">
      <c r="A60" s="503" t="s">
        <v>362</v>
      </c>
      <c r="B60" s="565"/>
      <c r="C60" s="460"/>
      <c r="D60" s="501"/>
      <c r="E60" s="461"/>
      <c r="F60" s="1"/>
    </row>
    <row r="61" spans="1:6" ht="11.25" customHeight="1">
      <c r="A61" s="503" t="s">
        <v>363</v>
      </c>
      <c r="B61" s="565">
        <v>1E-3</v>
      </c>
      <c r="C61" s="460">
        <v>1.1000000000000001</v>
      </c>
      <c r="D61" s="501">
        <v>1E-3</v>
      </c>
      <c r="E61" s="461">
        <v>1.2999999999999999E-2</v>
      </c>
      <c r="F61" s="1"/>
    </row>
    <row r="62" spans="1:6" ht="11.25" customHeight="1">
      <c r="A62" s="503" t="s">
        <v>234</v>
      </c>
      <c r="B62" s="565"/>
      <c r="C62" s="460"/>
      <c r="D62" s="501"/>
      <c r="E62" s="461"/>
      <c r="F62" s="1"/>
    </row>
    <row r="63" spans="1:6" ht="11.25" customHeight="1">
      <c r="A63" s="503" t="s">
        <v>235</v>
      </c>
      <c r="B63" s="565"/>
      <c r="C63" s="460">
        <v>39000</v>
      </c>
      <c r="D63" s="501"/>
      <c r="E63" s="461">
        <v>38000</v>
      </c>
      <c r="F63" s="1"/>
    </row>
    <row r="64" spans="1:6" ht="11.25" customHeight="1">
      <c r="A64" s="503" t="s">
        <v>294</v>
      </c>
      <c r="B64" s="565"/>
      <c r="C64" s="460">
        <v>3900</v>
      </c>
      <c r="D64" s="501"/>
      <c r="E64" s="461">
        <v>75000</v>
      </c>
      <c r="F64" s="1"/>
    </row>
    <row r="65" spans="1:6" ht="11.25" customHeight="1">
      <c r="A65" s="503" t="s">
        <v>295</v>
      </c>
      <c r="B65" s="565"/>
      <c r="C65" s="460"/>
      <c r="D65" s="501"/>
      <c r="E65" s="461"/>
      <c r="F65" s="1"/>
    </row>
    <row r="66" spans="1:6" ht="11.25" customHeight="1">
      <c r="A66" s="503" t="s">
        <v>228</v>
      </c>
      <c r="B66" s="565"/>
      <c r="C66" s="460"/>
      <c r="D66" s="501"/>
      <c r="E66" s="461"/>
      <c r="F66" s="1"/>
    </row>
    <row r="67" spans="1:6" ht="11.25" customHeight="1">
      <c r="A67" s="503" t="s">
        <v>942</v>
      </c>
      <c r="B67" s="565"/>
      <c r="C67" s="460">
        <v>670</v>
      </c>
      <c r="D67" s="501"/>
      <c r="E67" s="461"/>
      <c r="F67" s="1"/>
    </row>
    <row r="68" spans="1:6" ht="11.25" customHeight="1">
      <c r="A68" s="503" t="s">
        <v>98</v>
      </c>
      <c r="B68" s="798"/>
      <c r="C68" s="799"/>
      <c r="D68" s="800"/>
      <c r="E68" s="801"/>
      <c r="F68" s="1"/>
    </row>
    <row r="69" spans="1:6" ht="11.25" customHeight="1">
      <c r="A69" s="503" t="s">
        <v>943</v>
      </c>
      <c r="B69" s="565"/>
      <c r="C69" s="460">
        <v>7700</v>
      </c>
      <c r="D69" s="501"/>
      <c r="E69" s="461">
        <v>3400</v>
      </c>
      <c r="F69" s="1"/>
    </row>
    <row r="70" spans="1:6" ht="11.25" customHeight="1">
      <c r="A70" s="503" t="s">
        <v>296</v>
      </c>
      <c r="B70" s="565"/>
      <c r="C70" s="460">
        <v>2000</v>
      </c>
      <c r="D70" s="501"/>
      <c r="E70" s="461">
        <v>260</v>
      </c>
      <c r="F70" s="1"/>
    </row>
    <row r="71" spans="1:6" ht="11.25" customHeight="1">
      <c r="A71" s="503" t="s">
        <v>944</v>
      </c>
      <c r="B71" s="565">
        <v>1.9E-3</v>
      </c>
      <c r="C71" s="460">
        <v>2.5</v>
      </c>
      <c r="D71" s="501">
        <v>1.9E-3</v>
      </c>
      <c r="E71" s="461">
        <v>0.71</v>
      </c>
      <c r="F71" s="1"/>
    </row>
    <row r="72" spans="1:6" ht="11.25" customHeight="1">
      <c r="A72" s="503" t="s">
        <v>945</v>
      </c>
      <c r="B72" s="565"/>
      <c r="C72" s="460"/>
      <c r="D72" s="501"/>
      <c r="E72" s="461"/>
      <c r="F72" s="1"/>
    </row>
    <row r="73" spans="1:6" ht="11.25" customHeight="1">
      <c r="A73" s="503" t="s">
        <v>947</v>
      </c>
      <c r="B73" s="565"/>
      <c r="C73" s="460">
        <v>700</v>
      </c>
      <c r="D73" s="501"/>
      <c r="E73" s="461"/>
      <c r="F73" s="1"/>
    </row>
    <row r="74" spans="1:6" ht="11.25" customHeight="1">
      <c r="A74" s="503" t="s">
        <v>946</v>
      </c>
      <c r="B74" s="565"/>
      <c r="C74" s="460"/>
      <c r="D74" s="501"/>
      <c r="E74" s="461"/>
      <c r="F74" s="1"/>
    </row>
    <row r="75" spans="1:6" ht="11.25" customHeight="1">
      <c r="A75" s="503" t="s">
        <v>99</v>
      </c>
      <c r="B75" s="798"/>
      <c r="C75" s="799"/>
      <c r="D75" s="800"/>
      <c r="E75" s="801"/>
      <c r="F75" s="1"/>
    </row>
    <row r="76" spans="1:6" ht="11.25" customHeight="1">
      <c r="A76" s="503" t="s">
        <v>297</v>
      </c>
      <c r="B76" s="565"/>
      <c r="C76" s="460"/>
      <c r="D76" s="501"/>
      <c r="E76" s="461"/>
      <c r="F76" s="1"/>
    </row>
    <row r="77" spans="1:6" ht="11.25" customHeight="1">
      <c r="A77" s="503" t="s">
        <v>100</v>
      </c>
      <c r="B77" s="798"/>
      <c r="C77" s="799">
        <v>110</v>
      </c>
      <c r="D77" s="800"/>
      <c r="E77" s="801">
        <v>200</v>
      </c>
      <c r="F77" s="1"/>
    </row>
    <row r="78" spans="1:6" ht="11.25" customHeight="1">
      <c r="A78" s="503" t="s">
        <v>101</v>
      </c>
      <c r="B78" s="798"/>
      <c r="C78" s="799">
        <v>110</v>
      </c>
      <c r="D78" s="800"/>
      <c r="E78" s="801">
        <v>200</v>
      </c>
      <c r="F78" s="1"/>
    </row>
    <row r="79" spans="1:6" ht="11.25" customHeight="1">
      <c r="A79" s="503" t="s">
        <v>382</v>
      </c>
      <c r="B79" s="565"/>
      <c r="C79" s="460"/>
      <c r="D79" s="501"/>
      <c r="E79" s="461"/>
      <c r="F79" s="1"/>
    </row>
    <row r="80" spans="1:6" ht="11.25" customHeight="1">
      <c r="A80" s="458" t="s">
        <v>594</v>
      </c>
      <c r="B80" s="501"/>
      <c r="C80" s="460">
        <v>3.0000000000000001E-3</v>
      </c>
      <c r="D80" s="501"/>
      <c r="E80" s="461"/>
      <c r="F80" s="1"/>
    </row>
    <row r="81" spans="1:6" ht="11.25" customHeight="1">
      <c r="A81" s="458" t="s">
        <v>102</v>
      </c>
      <c r="B81" s="800"/>
      <c r="C81" s="799"/>
      <c r="D81" s="800"/>
      <c r="E81" s="801"/>
      <c r="F81" s="1"/>
    </row>
    <row r="82" spans="1:6" ht="11.25" customHeight="1">
      <c r="A82" s="458" t="s">
        <v>370</v>
      </c>
      <c r="B82" s="501">
        <v>5.6000000000000001E-2</v>
      </c>
      <c r="C82" s="460">
        <v>0.22</v>
      </c>
      <c r="D82" s="501">
        <v>8.6999999999999994E-3</v>
      </c>
      <c r="E82" s="461">
        <v>3.4000000000000002E-2</v>
      </c>
      <c r="F82" s="1"/>
    </row>
    <row r="83" spans="1:6" ht="11.25" customHeight="1">
      <c r="A83" s="458" t="s">
        <v>337</v>
      </c>
      <c r="B83" s="501">
        <v>2.3E-3</v>
      </c>
      <c r="C83" s="460">
        <v>0.18</v>
      </c>
      <c r="D83" s="501">
        <v>2.3E-3</v>
      </c>
      <c r="E83" s="461">
        <v>3.6999999999999998E-2</v>
      </c>
      <c r="F83" s="1"/>
    </row>
    <row r="84" spans="1:6" ht="11.25" customHeight="1">
      <c r="A84" s="458" t="s">
        <v>28</v>
      </c>
      <c r="B84" s="501"/>
      <c r="C84" s="460"/>
      <c r="D84" s="501"/>
      <c r="E84" s="461"/>
      <c r="F84" s="1"/>
    </row>
    <row r="85" spans="1:6" ht="11.25" customHeight="1">
      <c r="A85" s="458" t="s">
        <v>338</v>
      </c>
      <c r="B85" s="501"/>
      <c r="C85" s="460">
        <v>11000</v>
      </c>
      <c r="D85" s="501"/>
      <c r="E85" s="461">
        <v>140</v>
      </c>
      <c r="F85" s="1"/>
    </row>
    <row r="86" spans="1:6" ht="11.25" customHeight="1">
      <c r="A86" s="458" t="s">
        <v>339</v>
      </c>
      <c r="B86" s="501"/>
      <c r="C86" s="460">
        <v>1300</v>
      </c>
      <c r="D86" s="501"/>
      <c r="E86" s="461">
        <v>13</v>
      </c>
      <c r="F86" s="1"/>
    </row>
    <row r="87" spans="1:6" ht="11.25" customHeight="1">
      <c r="A87" s="458" t="s">
        <v>340</v>
      </c>
      <c r="B87" s="501"/>
      <c r="C87" s="460"/>
      <c r="D87" s="501"/>
      <c r="E87" s="461"/>
      <c r="F87" s="1"/>
    </row>
    <row r="88" spans="1:6" ht="11.25" customHeight="1">
      <c r="A88" s="458" t="s">
        <v>103</v>
      </c>
      <c r="B88" s="800"/>
      <c r="C88" s="799"/>
      <c r="D88" s="800"/>
      <c r="E88" s="801"/>
      <c r="F88" s="1"/>
    </row>
    <row r="89" spans="1:6" ht="11.25" customHeight="1">
      <c r="A89" s="458" t="s">
        <v>341</v>
      </c>
      <c r="B89" s="501">
        <v>3.8E-3</v>
      </c>
      <c r="C89" s="460">
        <v>0.52</v>
      </c>
      <c r="D89" s="501">
        <v>3.5999999999999999E-3</v>
      </c>
      <c r="E89" s="461">
        <v>5.2999999999999999E-2</v>
      </c>
      <c r="F89" s="1"/>
    </row>
    <row r="90" spans="1:6" ht="11.25" customHeight="1">
      <c r="A90" s="458" t="s">
        <v>342</v>
      </c>
      <c r="B90" s="501"/>
      <c r="C90" s="460"/>
      <c r="D90" s="501"/>
      <c r="E90" s="461"/>
      <c r="F90" s="1"/>
    </row>
    <row r="91" spans="1:6" ht="11.25" customHeight="1">
      <c r="A91" s="458" t="s">
        <v>371</v>
      </c>
      <c r="B91" s="501"/>
      <c r="C91" s="460"/>
      <c r="D91" s="501"/>
      <c r="E91" s="461"/>
      <c r="F91" s="1"/>
    </row>
    <row r="92" spans="1:6" ht="11.25" customHeight="1">
      <c r="A92" s="458" t="s">
        <v>343</v>
      </c>
      <c r="B92" s="501"/>
      <c r="C92" s="460">
        <v>30</v>
      </c>
      <c r="D92" s="501"/>
      <c r="E92" s="461">
        <v>11</v>
      </c>
      <c r="F92" s="1"/>
    </row>
    <row r="93" spans="1:6" ht="11.25" customHeight="1">
      <c r="A93" s="458" t="s">
        <v>364</v>
      </c>
      <c r="B93" s="501">
        <v>0.08</v>
      </c>
      <c r="C93" s="460">
        <v>2</v>
      </c>
      <c r="D93" s="501"/>
      <c r="E93" s="461">
        <v>0.16</v>
      </c>
      <c r="F93" s="1"/>
    </row>
    <row r="94" spans="1:6" ht="11.25" customHeight="1">
      <c r="A94" s="458" t="s">
        <v>344</v>
      </c>
      <c r="B94" s="501"/>
      <c r="C94" s="460">
        <v>330</v>
      </c>
      <c r="D94" s="501"/>
      <c r="E94" s="461">
        <v>310</v>
      </c>
      <c r="F94" s="1"/>
    </row>
    <row r="95" spans="1:6" ht="11.25" customHeight="1">
      <c r="A95" s="458" t="s">
        <v>104</v>
      </c>
      <c r="B95" s="800"/>
      <c r="C95" s="799"/>
      <c r="D95" s="800"/>
      <c r="E95" s="801"/>
      <c r="F95" s="1"/>
    </row>
    <row r="96" spans="1:6" ht="11.25" customHeight="1">
      <c r="A96" s="458" t="s">
        <v>345</v>
      </c>
      <c r="B96" s="501"/>
      <c r="C96" s="460"/>
      <c r="D96" s="501"/>
      <c r="E96" s="461"/>
      <c r="F96" s="1"/>
    </row>
    <row r="97" spans="1:6" ht="11.25" customHeight="1">
      <c r="A97" s="458" t="s">
        <v>105</v>
      </c>
      <c r="B97" s="800"/>
      <c r="C97" s="799">
        <v>39000</v>
      </c>
      <c r="D97" s="800"/>
      <c r="E97" s="801">
        <v>4300</v>
      </c>
      <c r="F97" s="1"/>
    </row>
    <row r="98" spans="1:6" ht="11.25" customHeight="1">
      <c r="A98" s="458" t="s">
        <v>346</v>
      </c>
      <c r="B98" s="501">
        <v>29</v>
      </c>
      <c r="C98" s="460">
        <v>29</v>
      </c>
      <c r="D98" s="501">
        <v>5.6</v>
      </c>
      <c r="E98" s="461">
        <v>140</v>
      </c>
      <c r="F98" s="1"/>
    </row>
    <row r="99" spans="1:6" ht="11.25" customHeight="1">
      <c r="A99" s="458" t="s">
        <v>347</v>
      </c>
      <c r="B99" s="501">
        <v>0.55000000000000004</v>
      </c>
      <c r="C99" s="460">
        <v>2.4</v>
      </c>
      <c r="D99" s="501">
        <v>2.5000000000000001E-2</v>
      </c>
      <c r="E99" s="461">
        <v>2.1</v>
      </c>
      <c r="F99" s="1"/>
    </row>
    <row r="100" spans="1:6" ht="11.25" customHeight="1">
      <c r="A100" s="458" t="s">
        <v>348</v>
      </c>
      <c r="B100" s="501">
        <v>0.03</v>
      </c>
      <c r="C100" s="460"/>
      <c r="D100" s="501">
        <v>0.03</v>
      </c>
      <c r="E100" s="461"/>
      <c r="F100" s="1"/>
    </row>
    <row r="101" spans="1:6" ht="11.25" customHeight="1">
      <c r="A101" s="458" t="s">
        <v>350</v>
      </c>
      <c r="B101" s="501"/>
      <c r="C101" s="460"/>
      <c r="D101" s="501"/>
      <c r="E101" s="461"/>
      <c r="F101" s="1"/>
    </row>
    <row r="102" spans="1:6" ht="11.25" customHeight="1">
      <c r="A102" s="458" t="s">
        <v>351</v>
      </c>
      <c r="B102" s="501"/>
      <c r="C102" s="460"/>
      <c r="D102" s="501"/>
      <c r="E102" s="461"/>
      <c r="F102" s="1"/>
    </row>
    <row r="103" spans="1:6" ht="11.25" customHeight="1">
      <c r="A103" s="458" t="s">
        <v>352</v>
      </c>
      <c r="B103" s="501"/>
      <c r="C103" s="460"/>
      <c r="D103" s="501"/>
      <c r="E103" s="461"/>
      <c r="F103" s="1"/>
    </row>
    <row r="104" spans="1:6" ht="11.25" customHeight="1">
      <c r="A104" s="458" t="s">
        <v>353</v>
      </c>
      <c r="B104" s="501"/>
      <c r="C104" s="460"/>
      <c r="D104" s="501"/>
      <c r="E104" s="461"/>
      <c r="F104" s="1"/>
    </row>
    <row r="105" spans="1:6" ht="11.25" customHeight="1">
      <c r="A105" s="458" t="s">
        <v>349</v>
      </c>
      <c r="B105" s="501"/>
      <c r="C105" s="460"/>
      <c r="D105" s="501"/>
      <c r="E105" s="461"/>
      <c r="F105" s="1"/>
    </row>
    <row r="106" spans="1:6" ht="11.25" customHeight="1">
      <c r="A106" s="458" t="s">
        <v>590</v>
      </c>
      <c r="B106" s="501"/>
      <c r="C106" s="460"/>
      <c r="D106" s="501"/>
      <c r="E106" s="461"/>
      <c r="F106" s="1"/>
    </row>
    <row r="107" spans="1:6" ht="11.25" customHeight="1">
      <c r="A107" s="458" t="s">
        <v>591</v>
      </c>
      <c r="B107" s="501"/>
      <c r="C107" s="460"/>
      <c r="D107" s="501"/>
      <c r="E107" s="461"/>
      <c r="F107" s="1"/>
    </row>
    <row r="108" spans="1:6" ht="11.25" customHeight="1">
      <c r="A108" s="458" t="s">
        <v>465</v>
      </c>
      <c r="B108" s="501"/>
      <c r="C108" s="460"/>
      <c r="D108" s="501"/>
      <c r="E108" s="461"/>
      <c r="F108" s="1"/>
    </row>
    <row r="109" spans="1:6" ht="11.25" customHeight="1">
      <c r="A109" s="458" t="s">
        <v>466</v>
      </c>
      <c r="B109" s="501"/>
      <c r="C109" s="460">
        <v>770</v>
      </c>
      <c r="D109" s="501"/>
      <c r="E109" s="461">
        <v>780</v>
      </c>
      <c r="F109" s="1"/>
    </row>
    <row r="110" spans="1:6" ht="11.25" customHeight="1">
      <c r="A110" s="458" t="s">
        <v>812</v>
      </c>
      <c r="B110" s="501">
        <v>5</v>
      </c>
      <c r="C110" s="460">
        <v>5</v>
      </c>
      <c r="D110" s="501">
        <v>8.3000000000000007</v>
      </c>
      <c r="E110" s="461">
        <v>75</v>
      </c>
      <c r="F110" s="1"/>
    </row>
    <row r="111" spans="1:6" ht="11.25" customHeight="1">
      <c r="A111" s="458" t="s">
        <v>106</v>
      </c>
      <c r="B111" s="800"/>
      <c r="C111" s="799">
        <v>9000</v>
      </c>
      <c r="D111" s="800"/>
      <c r="E111" s="801">
        <v>2000</v>
      </c>
      <c r="F111" s="1"/>
    </row>
    <row r="112" spans="1:6" ht="11.25" customHeight="1">
      <c r="A112" s="458" t="s">
        <v>107</v>
      </c>
      <c r="B112" s="800"/>
      <c r="C112" s="799"/>
      <c r="D112" s="800"/>
      <c r="E112" s="801"/>
      <c r="F112" s="1"/>
    </row>
    <row r="113" spans="1:6" ht="11.25" customHeight="1">
      <c r="A113" s="458" t="s">
        <v>108</v>
      </c>
      <c r="B113" s="800"/>
      <c r="C113" s="799"/>
      <c r="D113" s="800"/>
      <c r="E113" s="801"/>
      <c r="F113" s="1"/>
    </row>
    <row r="114" spans="1:6" ht="11.25" customHeight="1">
      <c r="A114" s="458" t="s">
        <v>109</v>
      </c>
      <c r="B114" s="800"/>
      <c r="C114" s="799"/>
      <c r="D114" s="800"/>
      <c r="E114" s="801"/>
      <c r="F114" s="1"/>
    </row>
    <row r="115" spans="1:6" ht="11.25" customHeight="1">
      <c r="A115" s="458" t="s">
        <v>110</v>
      </c>
      <c r="B115" s="800"/>
      <c r="C115" s="799"/>
      <c r="D115" s="800"/>
      <c r="E115" s="801"/>
      <c r="F115" s="1"/>
    </row>
    <row r="116" spans="1:6" ht="11.25" customHeight="1">
      <c r="A116" s="458" t="s">
        <v>467</v>
      </c>
      <c r="B116" s="501">
        <v>13</v>
      </c>
      <c r="C116" s="460">
        <v>20</v>
      </c>
      <c r="D116" s="501"/>
      <c r="E116" s="461">
        <v>13</v>
      </c>
      <c r="F116" s="1"/>
    </row>
    <row r="117" spans="1:6" ht="11.25" customHeight="1">
      <c r="A117" s="458" t="s">
        <v>111</v>
      </c>
      <c r="B117" s="800"/>
      <c r="C117" s="799"/>
      <c r="D117" s="800"/>
      <c r="E117" s="801"/>
      <c r="F117" s="1"/>
    </row>
    <row r="118" spans="1:6" ht="11.25" customHeight="1">
      <c r="A118" s="458" t="s">
        <v>231</v>
      </c>
      <c r="B118" s="501"/>
      <c r="C118" s="460"/>
      <c r="D118" s="501"/>
      <c r="E118" s="461"/>
      <c r="F118" s="1"/>
    </row>
    <row r="119" spans="1:6" ht="11.25" customHeight="1">
      <c r="A119" s="458" t="s">
        <v>468</v>
      </c>
      <c r="B119" s="501"/>
      <c r="C119" s="460"/>
      <c r="D119" s="501"/>
      <c r="E119" s="461"/>
      <c r="F119" s="1"/>
    </row>
    <row r="120" spans="1:6" ht="11.25" customHeight="1">
      <c r="A120" s="458" t="s">
        <v>469</v>
      </c>
      <c r="B120" s="501"/>
      <c r="C120" s="460">
        <v>4700</v>
      </c>
      <c r="D120" s="501"/>
      <c r="E120" s="461"/>
      <c r="F120" s="1"/>
    </row>
    <row r="121" spans="1:6" ht="11.25" customHeight="1">
      <c r="A121" s="458" t="s">
        <v>365</v>
      </c>
      <c r="B121" s="501">
        <v>1.4E-2</v>
      </c>
      <c r="C121" s="460">
        <v>2</v>
      </c>
      <c r="D121" s="501">
        <v>0.03</v>
      </c>
      <c r="E121" s="461">
        <v>10</v>
      </c>
      <c r="F121" s="1"/>
    </row>
    <row r="122" spans="1:6" ht="11.25" customHeight="1">
      <c r="A122" s="458" t="s">
        <v>112</v>
      </c>
      <c r="B122" s="800"/>
      <c r="C122" s="799"/>
      <c r="D122" s="800"/>
      <c r="E122" s="801"/>
      <c r="F122" s="1"/>
    </row>
    <row r="123" spans="1:6" ht="11.25" customHeight="1">
      <c r="A123" s="458" t="s">
        <v>470</v>
      </c>
      <c r="B123" s="501"/>
      <c r="C123" s="460"/>
      <c r="D123" s="501"/>
      <c r="E123" s="461"/>
      <c r="F123" s="1"/>
    </row>
    <row r="124" spans="1:6" ht="11.25" customHeight="1">
      <c r="A124" s="458" t="s">
        <v>471</v>
      </c>
      <c r="B124" s="501">
        <v>5</v>
      </c>
      <c r="C124" s="460">
        <v>20</v>
      </c>
      <c r="D124" s="501">
        <v>71</v>
      </c>
      <c r="E124" s="461">
        <v>300</v>
      </c>
      <c r="F124" s="1"/>
    </row>
    <row r="125" spans="1:6" ht="11.25" customHeight="1">
      <c r="A125" s="458" t="s">
        <v>813</v>
      </c>
      <c r="B125" s="501">
        <v>1</v>
      </c>
      <c r="C125" s="460">
        <v>1</v>
      </c>
      <c r="D125" s="501"/>
      <c r="E125" s="461">
        <v>2.2999999999999998</v>
      </c>
      <c r="F125" s="1"/>
    </row>
    <row r="126" spans="1:6" ht="11.25" customHeight="1">
      <c r="A126" s="458" t="s">
        <v>113</v>
      </c>
      <c r="B126" s="800"/>
      <c r="C126" s="799"/>
      <c r="D126" s="800"/>
      <c r="E126" s="801"/>
      <c r="F126" s="1"/>
    </row>
    <row r="127" spans="1:6" ht="11.25" customHeight="1">
      <c r="A127" s="458" t="s">
        <v>472</v>
      </c>
      <c r="B127" s="501"/>
      <c r="C127" s="460"/>
      <c r="D127" s="501"/>
      <c r="E127" s="461"/>
      <c r="F127" s="1"/>
    </row>
    <row r="128" spans="1:6" ht="11.25" customHeight="1">
      <c r="A128" s="458" t="s">
        <v>114</v>
      </c>
      <c r="B128" s="800"/>
      <c r="C128" s="799"/>
      <c r="D128" s="800"/>
      <c r="E128" s="801"/>
      <c r="F128" s="1"/>
    </row>
    <row r="129" spans="1:6" ht="11.25" customHeight="1">
      <c r="A129" s="458" t="s">
        <v>19</v>
      </c>
      <c r="B129" s="501"/>
      <c r="C129" s="460"/>
      <c r="D129" s="501"/>
      <c r="E129" s="461"/>
      <c r="F129" s="1"/>
    </row>
    <row r="130" spans="1:6" ht="11.25" customHeight="1">
      <c r="A130" s="458" t="s">
        <v>473</v>
      </c>
      <c r="B130" s="501"/>
      <c r="C130" s="460">
        <v>3100</v>
      </c>
      <c r="D130" s="501"/>
      <c r="E130" s="461"/>
      <c r="F130" s="1"/>
    </row>
    <row r="131" spans="1:6" ht="11.25" customHeight="1">
      <c r="A131" s="458" t="s">
        <v>474</v>
      </c>
      <c r="B131" s="501"/>
      <c r="C131" s="460"/>
      <c r="D131" s="501"/>
      <c r="E131" s="461">
        <v>3000</v>
      </c>
      <c r="F131" s="1"/>
    </row>
    <row r="132" spans="1:6" ht="11.25" customHeight="1">
      <c r="A132" s="458" t="s">
        <v>475</v>
      </c>
      <c r="B132" s="501"/>
      <c r="C132" s="460">
        <v>1800</v>
      </c>
      <c r="D132" s="802">
        <v>145</v>
      </c>
      <c r="E132" s="461">
        <v>3400</v>
      </c>
      <c r="F132" s="1"/>
    </row>
    <row r="133" spans="1:6" ht="11.25" customHeight="1">
      <c r="A133" s="458" t="s">
        <v>115</v>
      </c>
      <c r="B133" s="800"/>
      <c r="C133" s="799"/>
      <c r="D133" s="800"/>
      <c r="E133" s="801"/>
      <c r="F133" s="1"/>
    </row>
    <row r="134" spans="1:6" ht="11.25" customHeight="1">
      <c r="A134" s="458" t="s">
        <v>116</v>
      </c>
      <c r="B134" s="800"/>
      <c r="C134" s="799"/>
      <c r="D134" s="800"/>
      <c r="E134" s="801"/>
      <c r="F134" s="1"/>
    </row>
    <row r="135" spans="1:6" ht="11.25" customHeight="1">
      <c r="A135" s="458" t="s">
        <v>476</v>
      </c>
      <c r="B135" s="501"/>
      <c r="C135" s="460">
        <v>470</v>
      </c>
      <c r="D135" s="501"/>
      <c r="E135" s="461">
        <v>710</v>
      </c>
      <c r="F135" s="1"/>
    </row>
    <row r="136" spans="1:6" ht="11.25" customHeight="1">
      <c r="A136" s="458" t="s">
        <v>366</v>
      </c>
      <c r="B136" s="501"/>
      <c r="C136" s="799">
        <v>5800</v>
      </c>
      <c r="D136" s="501"/>
      <c r="E136" s="461">
        <v>2100</v>
      </c>
      <c r="F136" s="1"/>
    </row>
    <row r="137" spans="1:6" ht="11.25" customHeight="1">
      <c r="A137" s="458" t="s">
        <v>20</v>
      </c>
      <c r="B137" s="501">
        <v>2.0000000000000001E-4</v>
      </c>
      <c r="C137" s="460">
        <v>0.73</v>
      </c>
      <c r="D137" s="501">
        <v>2.0000000000000001E-4</v>
      </c>
      <c r="E137" s="461">
        <v>0.21</v>
      </c>
      <c r="F137" s="1"/>
    </row>
    <row r="138" spans="1:6" ht="11.25" customHeight="1">
      <c r="A138" s="458" t="s">
        <v>57</v>
      </c>
      <c r="B138" s="803"/>
      <c r="C138" s="460"/>
      <c r="D138" s="803"/>
      <c r="E138" s="461"/>
      <c r="F138" s="1"/>
    </row>
    <row r="139" spans="1:6" ht="11.25" customHeight="1">
      <c r="A139" s="458" t="s">
        <v>56</v>
      </c>
      <c r="B139" s="803"/>
      <c r="C139" s="460"/>
      <c r="D139" s="501"/>
      <c r="E139" s="461"/>
      <c r="F139" s="1"/>
    </row>
    <row r="140" spans="1:6" ht="11.25" customHeight="1">
      <c r="A140" s="458" t="s">
        <v>777</v>
      </c>
      <c r="B140" s="803"/>
      <c r="C140" s="460"/>
      <c r="D140" s="501"/>
      <c r="E140" s="461"/>
      <c r="F140" s="1"/>
    </row>
    <row r="141" spans="1:6" ht="11.25" customHeight="1">
      <c r="A141" s="458" t="s">
        <v>814</v>
      </c>
      <c r="B141" s="501"/>
      <c r="C141" s="460"/>
      <c r="D141" s="501"/>
      <c r="E141" s="461"/>
      <c r="F141" s="1"/>
    </row>
    <row r="142" spans="1:6" ht="11.25" customHeight="1">
      <c r="A142" s="458" t="s">
        <v>815</v>
      </c>
      <c r="B142" s="501"/>
      <c r="C142" s="460">
        <v>6000</v>
      </c>
      <c r="D142" s="501"/>
      <c r="E142" s="461">
        <v>10400</v>
      </c>
      <c r="F142" s="1"/>
    </row>
    <row r="143" spans="1:6" ht="11.25" customHeight="1">
      <c r="A143" s="458" t="s">
        <v>477</v>
      </c>
      <c r="B143" s="501"/>
      <c r="C143" s="460">
        <v>6000</v>
      </c>
      <c r="D143" s="501"/>
      <c r="E143" s="461"/>
      <c r="F143" s="1"/>
    </row>
    <row r="144" spans="1:6" ht="11.25" customHeight="1">
      <c r="A144" s="458" t="s">
        <v>478</v>
      </c>
      <c r="B144" s="501"/>
      <c r="C144" s="460">
        <v>15000</v>
      </c>
      <c r="D144" s="501"/>
      <c r="E144" s="461">
        <v>700</v>
      </c>
      <c r="F144" s="1"/>
    </row>
    <row r="145" spans="1:6" ht="11.25" customHeight="1">
      <c r="A145" s="458" t="s">
        <v>479</v>
      </c>
      <c r="B145" s="501"/>
      <c r="C145" s="720"/>
      <c r="D145" s="501"/>
      <c r="E145" s="461"/>
      <c r="F145" s="1"/>
    </row>
    <row r="146" spans="1:6" ht="11.25" customHeight="1">
      <c r="A146" s="458" t="s">
        <v>480</v>
      </c>
      <c r="B146" s="501"/>
      <c r="C146" s="720"/>
      <c r="D146" s="501"/>
      <c r="E146" s="461"/>
      <c r="F146" s="1"/>
    </row>
    <row r="147" spans="1:6" ht="11.25" customHeight="1">
      <c r="A147" s="462" t="s">
        <v>117</v>
      </c>
      <c r="B147" s="501"/>
      <c r="C147" s="720"/>
      <c r="D147" s="501"/>
      <c r="E147" s="461"/>
      <c r="F147" s="1"/>
    </row>
    <row r="148" spans="1:6" ht="11.25" customHeight="1">
      <c r="A148" s="458" t="s">
        <v>118</v>
      </c>
      <c r="B148" s="800"/>
      <c r="C148" s="804"/>
      <c r="D148" s="800"/>
      <c r="E148" s="801"/>
      <c r="F148" s="1"/>
    </row>
    <row r="149" spans="1:6" ht="11.25" customHeight="1">
      <c r="A149" s="458" t="s">
        <v>119</v>
      </c>
      <c r="B149" s="800"/>
      <c r="C149" s="799"/>
      <c r="D149" s="800"/>
      <c r="E149" s="801"/>
      <c r="F149" s="1"/>
    </row>
    <row r="150" spans="1:6" ht="11.25" customHeight="1">
      <c r="A150" s="458" t="s">
        <v>120</v>
      </c>
      <c r="B150" s="800"/>
      <c r="C150" s="799"/>
      <c r="D150" s="800"/>
      <c r="E150" s="801"/>
      <c r="F150" s="1"/>
    </row>
    <row r="151" spans="1:6" ht="11.25" customHeight="1">
      <c r="A151" s="458" t="s">
        <v>602</v>
      </c>
      <c r="B151" s="800"/>
      <c r="C151" s="799"/>
      <c r="D151" s="800"/>
      <c r="E151" s="801"/>
      <c r="F151" s="1"/>
    </row>
    <row r="152" spans="1:6" ht="11.25" customHeight="1">
      <c r="A152" s="503" t="s">
        <v>939</v>
      </c>
      <c r="B152" s="798"/>
      <c r="C152" s="799"/>
      <c r="D152" s="800"/>
      <c r="E152" s="801"/>
      <c r="F152" s="1"/>
    </row>
    <row r="153" spans="1:6" ht="11.25" customHeight="1">
      <c r="A153" s="503" t="s">
        <v>603</v>
      </c>
      <c r="B153" s="798"/>
      <c r="C153" s="799"/>
      <c r="D153" s="800"/>
      <c r="E153" s="801"/>
      <c r="F153" s="1"/>
    </row>
    <row r="154" spans="1:6" ht="11.25" customHeight="1">
      <c r="A154" s="503" t="s">
        <v>605</v>
      </c>
      <c r="B154" s="798"/>
      <c r="C154" s="799"/>
      <c r="D154" s="800"/>
      <c r="E154" s="801"/>
      <c r="F154" s="1"/>
    </row>
    <row r="155" spans="1:6" ht="11.25" customHeight="1">
      <c r="A155" s="503" t="s">
        <v>481</v>
      </c>
      <c r="B155" s="565"/>
      <c r="C155" s="460"/>
      <c r="D155" s="501"/>
      <c r="E155" s="461"/>
      <c r="F155" s="1"/>
    </row>
    <row r="156" spans="1:6" ht="11.25" customHeight="1">
      <c r="A156" s="503" t="s">
        <v>482</v>
      </c>
      <c r="B156" s="565"/>
      <c r="C156" s="460"/>
      <c r="D156" s="501"/>
      <c r="E156" s="461"/>
      <c r="F156" s="1"/>
    </row>
    <row r="157" spans="1:6" ht="11.25" customHeight="1">
      <c r="A157" s="503" t="s">
        <v>483</v>
      </c>
      <c r="B157" s="565"/>
      <c r="C157" s="460"/>
      <c r="D157" s="501"/>
      <c r="E157" s="461"/>
      <c r="F157" s="1"/>
    </row>
    <row r="158" spans="1:6" ht="11.25" customHeight="1" thickBot="1">
      <c r="A158" s="516" t="s">
        <v>484</v>
      </c>
      <c r="B158" s="575">
        <v>22</v>
      </c>
      <c r="C158" s="468">
        <v>22</v>
      </c>
      <c r="D158" s="627">
        <v>86</v>
      </c>
      <c r="E158" s="469">
        <v>95</v>
      </c>
      <c r="F158" s="1"/>
    </row>
    <row r="159" spans="1:6" ht="11.25" customHeight="1" thickTop="1">
      <c r="A159" s="470"/>
      <c r="B159" s="805"/>
      <c r="C159" s="805"/>
      <c r="D159" s="805"/>
      <c r="E159" s="528"/>
    </row>
    <row r="160" spans="1:6" ht="11.25" customHeight="1">
      <c r="A160" s="474" t="s">
        <v>811</v>
      </c>
      <c r="B160" s="724"/>
      <c r="C160" s="724"/>
      <c r="D160" s="510"/>
      <c r="E160" s="806"/>
    </row>
    <row r="161" spans="1:5" ht="11.25" customHeight="1" thickBot="1">
      <c r="A161" s="807" t="s">
        <v>1330</v>
      </c>
      <c r="B161" s="808"/>
      <c r="C161" s="808"/>
      <c r="D161" s="809"/>
      <c r="E161" s="584"/>
    </row>
    <row r="162" spans="1:5" ht="13.15" thickTop="1"/>
  </sheetData>
  <sheetProtection algorithmName="SHA-512" hashValue="z2BfJWUTwcdxHFFRCne1yMUX6x9gWVKvkvkFsbFTKC0pe2hH32RXJBn1rfXPly9B/eoL35hHTDoFB/3E+It2VQ==" saltValue="IAK/hYkiUnuWTEfIrTUHFQ==" spinCount="100000" sheet="1" objects="1" scenarios="1"/>
  <phoneticPr fontId="18" type="noConversion"/>
  <printOptions horizontalCentered="1"/>
  <pageMargins left="0.75" right="0.75" top="0.51" bottom="1" header="0.5" footer="0.5"/>
  <pageSetup scale="98" fitToHeight="4" orientation="portrait" r:id="rId1"/>
  <headerFooter alignWithMargins="0">
    <oddFooter>&amp;LHawai'i DOH
Spring 2024&amp;CPage &amp;P of &amp;N&amp;R&amp;A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29"/>
    <pageSetUpPr fitToPage="1"/>
  </sheetPr>
  <dimension ref="A1:Q180"/>
  <sheetViews>
    <sheetView zoomScaleNormal="100" workbookViewId="0">
      <pane ySplit="2715" topLeftCell="A6" activePane="bottomLeft"/>
      <selection activeCell="B7" sqref="B7"/>
      <selection pane="bottomLeft" activeCell="B7" sqref="B7"/>
    </sheetView>
  </sheetViews>
  <sheetFormatPr defaultColWidth="9.1328125" defaultRowHeight="12.75"/>
  <cols>
    <col min="1" max="1" width="40.73046875" style="1" customWidth="1"/>
    <col min="2" max="4" width="10.73046875" style="481" customWidth="1"/>
    <col min="5" max="5" width="25.73046875" style="609" customWidth="1"/>
    <col min="6" max="6" width="10.73046875" style="481" customWidth="1"/>
    <col min="7" max="7" width="25.73046875" style="481" customWidth="1"/>
    <col min="8" max="10" width="10.73046875" style="481" customWidth="1"/>
    <col min="11" max="11" width="25.73046875" style="632" customWidth="1"/>
    <col min="12" max="12" width="10.73046875" style="481" customWidth="1"/>
    <col min="13" max="13" width="25.73046875" style="481" customWidth="1"/>
    <col min="14" max="15" width="9" style="417"/>
    <col min="16" max="16" width="9.1328125" style="1"/>
    <col min="17" max="17" width="9.1328125" style="3"/>
    <col min="18" max="16384" width="9.1328125" style="1"/>
  </cols>
  <sheetData>
    <row r="1" spans="1:17" s="510" customFormat="1" ht="15">
      <c r="A1" s="751" t="s">
        <v>158</v>
      </c>
      <c r="B1" s="530"/>
      <c r="C1" s="530"/>
      <c r="D1" s="530"/>
      <c r="E1" s="530"/>
      <c r="F1" s="530"/>
      <c r="G1" s="530"/>
      <c r="H1" s="530"/>
      <c r="I1" s="530"/>
      <c r="J1" s="530"/>
      <c r="K1" s="694"/>
      <c r="L1" s="530"/>
      <c r="M1" s="530"/>
      <c r="Q1" s="588"/>
    </row>
    <row r="2" spans="1:17" s="510" customFormat="1" ht="13.9">
      <c r="A2" s="693" t="s">
        <v>30</v>
      </c>
      <c r="B2" s="530"/>
      <c r="C2" s="530"/>
      <c r="D2" s="530"/>
      <c r="E2" s="530"/>
      <c r="F2" s="530"/>
      <c r="G2" s="530"/>
      <c r="H2" s="530"/>
      <c r="I2" s="530"/>
      <c r="J2" s="530"/>
      <c r="K2" s="694"/>
      <c r="L2" s="530"/>
      <c r="M2" s="530"/>
      <c r="Q2" s="588"/>
    </row>
    <row r="3" spans="1:17" s="510" customFormat="1" ht="10.5" thickBot="1">
      <c r="A3" s="694"/>
      <c r="B3" s="724"/>
      <c r="C3" s="724"/>
      <c r="D3" s="724"/>
      <c r="E3" s="695"/>
      <c r="F3" s="724"/>
      <c r="G3" s="724"/>
      <c r="H3" s="724"/>
      <c r="I3" s="724"/>
      <c r="J3" s="724"/>
      <c r="K3" s="753"/>
      <c r="L3" s="724"/>
      <c r="M3" s="724"/>
      <c r="Q3" s="588"/>
    </row>
    <row r="4" spans="1:17" s="510" customFormat="1" ht="23.25" customHeight="1" thickTop="1" thickBot="1">
      <c r="A4" s="526"/>
      <c r="B4" s="1446" t="s">
        <v>695</v>
      </c>
      <c r="C4" s="1447"/>
      <c r="D4" s="1447"/>
      <c r="E4" s="1447"/>
      <c r="F4" s="1447"/>
      <c r="G4" s="1448"/>
      <c r="H4" s="1449" t="s">
        <v>67</v>
      </c>
      <c r="I4" s="1450"/>
      <c r="J4" s="1450"/>
      <c r="K4" s="1450"/>
      <c r="L4" s="1450"/>
      <c r="M4" s="1451"/>
      <c r="Q4" s="588"/>
    </row>
    <row r="5" spans="1:17" s="510" customFormat="1" ht="60" customHeight="1" thickBot="1">
      <c r="A5" s="713" t="s">
        <v>613</v>
      </c>
      <c r="B5" s="777" t="s">
        <v>1092</v>
      </c>
      <c r="C5" s="493" t="s">
        <v>1093</v>
      </c>
      <c r="D5" s="810" t="s">
        <v>771</v>
      </c>
      <c r="E5" s="811" t="s">
        <v>485</v>
      </c>
      <c r="F5" s="810" t="s">
        <v>770</v>
      </c>
      <c r="G5" s="812" t="s">
        <v>485</v>
      </c>
      <c r="H5" s="813" t="s">
        <v>1092</v>
      </c>
      <c r="I5" s="493" t="s">
        <v>1093</v>
      </c>
      <c r="J5" s="810" t="s">
        <v>771</v>
      </c>
      <c r="K5" s="814" t="s">
        <v>485</v>
      </c>
      <c r="L5" s="810" t="s">
        <v>770</v>
      </c>
      <c r="M5" s="815" t="s">
        <v>485</v>
      </c>
      <c r="Q5" s="588"/>
    </row>
    <row r="6" spans="1:17" s="510" customFormat="1" ht="11.25" customHeight="1">
      <c r="A6" s="458" t="s">
        <v>548</v>
      </c>
      <c r="B6" s="502">
        <v>15</v>
      </c>
      <c r="C6" s="460"/>
      <c r="D6" s="720"/>
      <c r="E6" s="816"/>
      <c r="F6" s="718">
        <v>300</v>
      </c>
      <c r="G6" s="717" t="s">
        <v>1031</v>
      </c>
      <c r="H6" s="591">
        <v>20</v>
      </c>
      <c r="I6" s="460"/>
      <c r="J6" s="720"/>
      <c r="K6" s="817"/>
      <c r="L6" s="720">
        <v>300</v>
      </c>
      <c r="M6" s="790" t="s">
        <v>1031</v>
      </c>
      <c r="Q6" s="588"/>
    </row>
    <row r="7" spans="1:17" s="510" customFormat="1" ht="11.25" customHeight="1">
      <c r="A7" s="458" t="s">
        <v>549</v>
      </c>
      <c r="B7" s="502">
        <v>13</v>
      </c>
      <c r="C7" s="460"/>
      <c r="D7" s="720"/>
      <c r="E7" s="816"/>
      <c r="F7" s="720">
        <v>300</v>
      </c>
      <c r="G7" s="719" t="s">
        <v>1031</v>
      </c>
      <c r="H7" s="591">
        <v>307</v>
      </c>
      <c r="I7" s="460"/>
      <c r="J7" s="720"/>
      <c r="K7" s="817"/>
      <c r="L7" s="720">
        <v>300</v>
      </c>
      <c r="M7" s="790" t="s">
        <v>1031</v>
      </c>
      <c r="Q7" s="588"/>
    </row>
    <row r="8" spans="1:17" s="510" customFormat="1" ht="11.25" customHeight="1">
      <c r="A8" s="458" t="s">
        <v>550</v>
      </c>
      <c r="B8" s="502">
        <v>1700</v>
      </c>
      <c r="C8" s="460">
        <v>15000</v>
      </c>
      <c r="D8" s="720"/>
      <c r="E8" s="816"/>
      <c r="F8" s="720"/>
      <c r="G8" s="719"/>
      <c r="H8" s="591">
        <v>1500</v>
      </c>
      <c r="I8" s="460">
        <v>28000</v>
      </c>
      <c r="J8" s="720"/>
      <c r="K8" s="817"/>
      <c r="L8" s="720"/>
      <c r="M8" s="790"/>
      <c r="Q8" s="588"/>
    </row>
    <row r="9" spans="1:17" s="510" customFormat="1" ht="11.25" customHeight="1">
      <c r="A9" s="458" t="s">
        <v>551</v>
      </c>
      <c r="B9" s="502">
        <v>3.5000000000000003E-2</v>
      </c>
      <c r="C9" s="460">
        <v>3</v>
      </c>
      <c r="D9" s="720"/>
      <c r="E9" s="816"/>
      <c r="F9" s="720"/>
      <c r="G9" s="719"/>
      <c r="H9" s="591">
        <v>1.3999999999999999E-4</v>
      </c>
      <c r="I9" s="460">
        <v>1.3</v>
      </c>
      <c r="J9" s="720"/>
      <c r="K9" s="817"/>
      <c r="L9" s="720"/>
      <c r="M9" s="790"/>
      <c r="Q9" s="588"/>
    </row>
    <row r="10" spans="1:17" s="510" customFormat="1" ht="11.25" customHeight="1">
      <c r="A10" s="458" t="s">
        <v>161</v>
      </c>
      <c r="B10" s="818"/>
      <c r="C10" s="799"/>
      <c r="D10" s="804">
        <v>700</v>
      </c>
      <c r="E10" s="819" t="s">
        <v>1096</v>
      </c>
      <c r="F10" s="804">
        <v>1800</v>
      </c>
      <c r="G10" s="820" t="s">
        <v>1096</v>
      </c>
      <c r="H10" s="821"/>
      <c r="I10" s="799"/>
      <c r="J10" s="804">
        <v>700</v>
      </c>
      <c r="K10" s="822" t="s">
        <v>1097</v>
      </c>
      <c r="L10" s="804">
        <v>1800</v>
      </c>
      <c r="M10" s="823" t="s">
        <v>1097</v>
      </c>
      <c r="Q10" s="588"/>
    </row>
    <row r="11" spans="1:17" s="510" customFormat="1" ht="11.25" customHeight="1">
      <c r="A11" s="462" t="s">
        <v>162</v>
      </c>
      <c r="B11" s="818">
        <v>18</v>
      </c>
      <c r="C11" s="799">
        <v>160</v>
      </c>
      <c r="D11" s="804"/>
      <c r="E11" s="819"/>
      <c r="F11" s="804"/>
      <c r="G11" s="820"/>
      <c r="H11" s="821">
        <v>20</v>
      </c>
      <c r="I11" s="799">
        <v>180</v>
      </c>
      <c r="J11" s="804"/>
      <c r="K11" s="824"/>
      <c r="L11" s="804"/>
      <c r="M11" s="823"/>
      <c r="Q11" s="588"/>
    </row>
    <row r="12" spans="1:17" s="510" customFormat="1" ht="11.25" customHeight="1">
      <c r="A12" s="462" t="s">
        <v>94</v>
      </c>
      <c r="B12" s="818">
        <v>11</v>
      </c>
      <c r="C12" s="799">
        <v>98</v>
      </c>
      <c r="D12" s="804"/>
      <c r="E12" s="819"/>
      <c r="F12" s="804"/>
      <c r="G12" s="820"/>
      <c r="H12" s="821"/>
      <c r="I12" s="799"/>
      <c r="J12" s="804">
        <v>11</v>
      </c>
      <c r="K12" s="825" t="s">
        <v>1091</v>
      </c>
      <c r="L12" s="804">
        <v>98</v>
      </c>
      <c r="M12" s="826" t="s">
        <v>1091</v>
      </c>
      <c r="Q12" s="588"/>
    </row>
    <row r="13" spans="1:17" s="510" customFormat="1" ht="11.25" customHeight="1">
      <c r="A13" s="458" t="s">
        <v>552</v>
      </c>
      <c r="B13" s="502">
        <v>0.02</v>
      </c>
      <c r="C13" s="460">
        <v>0.18</v>
      </c>
      <c r="D13" s="720"/>
      <c r="E13" s="816"/>
      <c r="F13" s="720"/>
      <c r="G13" s="719"/>
      <c r="H13" s="591">
        <v>0.73</v>
      </c>
      <c r="I13" s="460">
        <v>13</v>
      </c>
      <c r="J13" s="720"/>
      <c r="K13" s="817"/>
      <c r="L13" s="720">
        <v>300</v>
      </c>
      <c r="M13" s="790" t="s">
        <v>1031</v>
      </c>
      <c r="Q13" s="588"/>
    </row>
    <row r="14" spans="1:17" s="510" customFormat="1" ht="11.25" customHeight="1">
      <c r="A14" s="458" t="s">
        <v>553</v>
      </c>
      <c r="B14" s="502">
        <v>130</v>
      </c>
      <c r="C14" s="460">
        <v>300</v>
      </c>
      <c r="D14" s="720"/>
      <c r="E14" s="816"/>
      <c r="F14" s="720"/>
      <c r="G14" s="719"/>
      <c r="H14" s="591">
        <v>30</v>
      </c>
      <c r="I14" s="460">
        <v>180</v>
      </c>
      <c r="J14" s="720"/>
      <c r="K14" s="816"/>
      <c r="L14" s="720"/>
      <c r="M14" s="790"/>
      <c r="Q14" s="588"/>
    </row>
    <row r="15" spans="1:17" s="510" customFormat="1" ht="11.25" customHeight="1">
      <c r="A15" s="458" t="s">
        <v>686</v>
      </c>
      <c r="B15" s="502">
        <v>150</v>
      </c>
      <c r="C15" s="460">
        <v>340</v>
      </c>
      <c r="D15" s="720"/>
      <c r="E15" s="816"/>
      <c r="F15" s="720"/>
      <c r="G15" s="719"/>
      <c r="H15" s="591">
        <v>36</v>
      </c>
      <c r="I15" s="460">
        <v>69</v>
      </c>
      <c r="J15" s="720"/>
      <c r="K15" s="816"/>
      <c r="L15" s="720"/>
      <c r="M15" s="790"/>
      <c r="Q15" s="588"/>
    </row>
    <row r="16" spans="1:17" s="510" customFormat="1" ht="11.25" customHeight="1">
      <c r="A16" s="458" t="s">
        <v>95</v>
      </c>
      <c r="B16" s="818">
        <v>12</v>
      </c>
      <c r="C16" s="799">
        <v>330</v>
      </c>
      <c r="D16" s="804"/>
      <c r="E16" s="819"/>
      <c r="F16" s="804"/>
      <c r="G16" s="820"/>
      <c r="H16" s="821"/>
      <c r="I16" s="799"/>
      <c r="J16" s="804">
        <v>12</v>
      </c>
      <c r="K16" s="825" t="s">
        <v>1091</v>
      </c>
      <c r="L16" s="804">
        <v>330</v>
      </c>
      <c r="M16" s="826" t="s">
        <v>1091</v>
      </c>
      <c r="Q16" s="588"/>
    </row>
    <row r="17" spans="1:17" s="510" customFormat="1" ht="11.25" customHeight="1">
      <c r="A17" s="458" t="s">
        <v>687</v>
      </c>
      <c r="B17" s="502">
        <v>220</v>
      </c>
      <c r="C17" s="460">
        <v>2000</v>
      </c>
      <c r="D17" s="720"/>
      <c r="E17" s="743"/>
      <c r="F17" s="720"/>
      <c r="G17" s="719"/>
      <c r="H17" s="591">
        <v>220</v>
      </c>
      <c r="I17" s="460">
        <v>2000</v>
      </c>
      <c r="J17" s="720"/>
      <c r="K17" s="743"/>
      <c r="L17" s="720"/>
      <c r="M17" s="790"/>
      <c r="Q17" s="588"/>
    </row>
    <row r="18" spans="1:17" s="510" customFormat="1" ht="11.25" customHeight="1">
      <c r="A18" s="458" t="s">
        <v>1156</v>
      </c>
      <c r="B18" s="502"/>
      <c r="C18" s="460"/>
      <c r="D18" s="720">
        <v>0.14000000000000001</v>
      </c>
      <c r="E18" s="817" t="s">
        <v>1158</v>
      </c>
      <c r="F18" s="720">
        <v>2.8</v>
      </c>
      <c r="G18" s="719" t="s">
        <v>1157</v>
      </c>
      <c r="H18" s="591"/>
      <c r="I18" s="460"/>
      <c r="J18" s="720">
        <v>0.14000000000000001</v>
      </c>
      <c r="K18" s="817" t="s">
        <v>1159</v>
      </c>
      <c r="L18" s="720">
        <v>2.8</v>
      </c>
      <c r="M18" s="790" t="s">
        <v>1160</v>
      </c>
      <c r="Q18" s="588"/>
    </row>
    <row r="19" spans="1:17" s="510" customFormat="1" ht="11.25" customHeight="1">
      <c r="A19" s="458" t="s">
        <v>688</v>
      </c>
      <c r="B19" s="502">
        <v>160</v>
      </c>
      <c r="C19" s="460">
        <v>700</v>
      </c>
      <c r="D19" s="720"/>
      <c r="E19" s="816"/>
      <c r="F19" s="720"/>
      <c r="G19" s="719"/>
      <c r="H19" s="591">
        <v>71.3</v>
      </c>
      <c r="I19" s="460"/>
      <c r="J19" s="720"/>
      <c r="K19" s="817"/>
      <c r="L19" s="720">
        <v>700</v>
      </c>
      <c r="M19" s="826" t="s">
        <v>1091</v>
      </c>
      <c r="Q19" s="588"/>
    </row>
    <row r="20" spans="1:17" s="510" customFormat="1" ht="11.25" customHeight="1">
      <c r="A20" s="458" t="s">
        <v>689</v>
      </c>
      <c r="B20" s="502">
        <v>4.7</v>
      </c>
      <c r="C20" s="460"/>
      <c r="D20" s="720"/>
      <c r="E20" s="816"/>
      <c r="F20" s="720">
        <v>300</v>
      </c>
      <c r="G20" s="719" t="s">
        <v>1031</v>
      </c>
      <c r="H20" s="591">
        <v>2.7E-2</v>
      </c>
      <c r="I20" s="460"/>
      <c r="J20" s="720"/>
      <c r="K20" s="817"/>
      <c r="L20" s="720">
        <v>300</v>
      </c>
      <c r="M20" s="790" t="s">
        <v>1031</v>
      </c>
      <c r="Q20" s="588"/>
    </row>
    <row r="21" spans="1:17" s="510" customFormat="1" ht="11.25" customHeight="1">
      <c r="A21" s="458" t="s">
        <v>690</v>
      </c>
      <c r="B21" s="502">
        <v>0.06</v>
      </c>
      <c r="C21" s="460"/>
      <c r="D21" s="720"/>
      <c r="E21" s="816"/>
      <c r="F21" s="720">
        <v>300</v>
      </c>
      <c r="G21" s="719" t="s">
        <v>1031</v>
      </c>
      <c r="H21" s="591">
        <v>0.3</v>
      </c>
      <c r="I21" s="460"/>
      <c r="J21" s="720"/>
      <c r="K21" s="817"/>
      <c r="L21" s="720">
        <v>300</v>
      </c>
      <c r="M21" s="790" t="s">
        <v>1031</v>
      </c>
      <c r="Q21" s="588"/>
    </row>
    <row r="22" spans="1:17" s="510" customFormat="1" ht="11.25" customHeight="1">
      <c r="A22" s="458" t="s">
        <v>691</v>
      </c>
      <c r="B22" s="502">
        <v>2.6</v>
      </c>
      <c r="C22" s="460"/>
      <c r="D22" s="720"/>
      <c r="E22" s="827"/>
      <c r="F22" s="720">
        <v>300</v>
      </c>
      <c r="G22" s="719" t="s">
        <v>1031</v>
      </c>
      <c r="H22" s="591">
        <v>0.68</v>
      </c>
      <c r="I22" s="460"/>
      <c r="J22" s="720"/>
      <c r="K22" s="817"/>
      <c r="L22" s="720">
        <v>300</v>
      </c>
      <c r="M22" s="790" t="s">
        <v>1031</v>
      </c>
      <c r="Q22" s="588"/>
    </row>
    <row r="23" spans="1:17" s="510" customFormat="1" ht="11.25" customHeight="1">
      <c r="A23" s="458" t="s">
        <v>692</v>
      </c>
      <c r="B23" s="502">
        <v>0.44</v>
      </c>
      <c r="C23" s="460"/>
      <c r="D23" s="720"/>
      <c r="E23" s="816"/>
      <c r="F23" s="720">
        <v>300</v>
      </c>
      <c r="G23" s="719" t="s">
        <v>1031</v>
      </c>
      <c r="H23" s="591">
        <v>0.44</v>
      </c>
      <c r="I23" s="460"/>
      <c r="J23" s="720"/>
      <c r="K23" s="817"/>
      <c r="L23" s="720">
        <v>300</v>
      </c>
      <c r="M23" s="790" t="s">
        <v>1031</v>
      </c>
      <c r="Q23" s="588"/>
    </row>
    <row r="24" spans="1:17" s="510" customFormat="1" ht="11.25" customHeight="1">
      <c r="A24" s="458" t="s">
        <v>693</v>
      </c>
      <c r="B24" s="502">
        <v>0.64</v>
      </c>
      <c r="C24" s="460"/>
      <c r="D24" s="720"/>
      <c r="E24" s="816"/>
      <c r="F24" s="720">
        <v>300</v>
      </c>
      <c r="G24" s="719" t="s">
        <v>1031</v>
      </c>
      <c r="H24" s="591">
        <v>0.64</v>
      </c>
      <c r="I24" s="460"/>
      <c r="J24" s="720"/>
      <c r="K24" s="817"/>
      <c r="L24" s="720">
        <v>300</v>
      </c>
      <c r="M24" s="790" t="s">
        <v>1031</v>
      </c>
      <c r="Q24" s="588"/>
    </row>
    <row r="25" spans="1:17" s="510" customFormat="1" ht="11.25" customHeight="1">
      <c r="A25" s="458" t="s">
        <v>126</v>
      </c>
      <c r="B25" s="502">
        <v>11</v>
      </c>
      <c r="C25" s="460">
        <v>93</v>
      </c>
      <c r="D25" s="720"/>
      <c r="E25" s="743"/>
      <c r="F25" s="720"/>
      <c r="G25" s="719"/>
      <c r="H25" s="591">
        <v>0.66</v>
      </c>
      <c r="I25" s="460">
        <v>35</v>
      </c>
      <c r="J25" s="720"/>
      <c r="K25" s="743"/>
      <c r="L25" s="720"/>
      <c r="M25" s="790"/>
      <c r="Q25" s="588"/>
    </row>
    <row r="26" spans="1:17" s="510" customFormat="1" ht="11.25" customHeight="1">
      <c r="A26" s="458" t="s">
        <v>233</v>
      </c>
      <c r="B26" s="502">
        <v>6.5</v>
      </c>
      <c r="C26" s="460">
        <v>26</v>
      </c>
      <c r="D26" s="720"/>
      <c r="E26" s="816"/>
      <c r="F26" s="720"/>
      <c r="G26" s="719"/>
      <c r="H26" s="591">
        <v>14</v>
      </c>
      <c r="I26" s="460"/>
      <c r="J26" s="720"/>
      <c r="K26" s="817"/>
      <c r="L26" s="720">
        <v>26</v>
      </c>
      <c r="M26" s="826" t="s">
        <v>1091</v>
      </c>
      <c r="Q26" s="588"/>
    </row>
    <row r="27" spans="1:17" s="510" customFormat="1" ht="11.25" customHeight="1">
      <c r="A27" s="458" t="s">
        <v>127</v>
      </c>
      <c r="B27" s="502"/>
      <c r="C27" s="460"/>
      <c r="D27" s="720">
        <v>2380</v>
      </c>
      <c r="E27" s="816" t="s">
        <v>1126</v>
      </c>
      <c r="F27" s="720">
        <v>23800</v>
      </c>
      <c r="G27" s="719" t="s">
        <v>1127</v>
      </c>
      <c r="H27" s="591"/>
      <c r="I27" s="460"/>
      <c r="J27" s="720">
        <v>2380</v>
      </c>
      <c r="K27" s="816" t="s">
        <v>1128</v>
      </c>
      <c r="L27" s="720">
        <v>23800</v>
      </c>
      <c r="M27" s="828" t="s">
        <v>1129</v>
      </c>
      <c r="Q27" s="588"/>
    </row>
    <row r="28" spans="1:17" s="510" customFormat="1" ht="11.25" customHeight="1">
      <c r="A28" s="503" t="s">
        <v>1103</v>
      </c>
      <c r="B28" s="502"/>
      <c r="C28" s="460"/>
      <c r="D28" s="720"/>
      <c r="E28" s="816"/>
      <c r="F28" s="720"/>
      <c r="G28" s="719"/>
      <c r="H28" s="591"/>
      <c r="I28" s="460"/>
      <c r="J28" s="720"/>
      <c r="K28" s="817"/>
      <c r="L28" s="720"/>
      <c r="M28" s="790"/>
      <c r="Q28" s="588"/>
    </row>
    <row r="29" spans="1:17" s="510" customFormat="1" ht="11.25" customHeight="1">
      <c r="A29" s="458" t="s">
        <v>128</v>
      </c>
      <c r="B29" s="502">
        <v>3</v>
      </c>
      <c r="C29" s="460">
        <v>27</v>
      </c>
      <c r="D29" s="720"/>
      <c r="E29" s="816"/>
      <c r="F29" s="720"/>
      <c r="G29" s="719"/>
      <c r="H29" s="591">
        <v>3</v>
      </c>
      <c r="I29" s="460">
        <v>27</v>
      </c>
      <c r="J29" s="720"/>
      <c r="K29" s="817"/>
      <c r="L29" s="720"/>
      <c r="M29" s="790"/>
      <c r="Q29" s="588"/>
    </row>
    <row r="30" spans="1:17" s="510" customFormat="1" ht="11.25" customHeight="1">
      <c r="A30" s="458" t="s">
        <v>129</v>
      </c>
      <c r="B30" s="502">
        <v>7200</v>
      </c>
      <c r="C30" s="460">
        <v>34000</v>
      </c>
      <c r="D30" s="720"/>
      <c r="E30" s="743"/>
      <c r="F30" s="720"/>
      <c r="G30" s="719"/>
      <c r="H30" s="591">
        <v>1000</v>
      </c>
      <c r="I30" s="460"/>
      <c r="J30" s="720"/>
      <c r="K30" s="743"/>
      <c r="L30" s="720">
        <v>34000</v>
      </c>
      <c r="M30" s="826" t="s">
        <v>1091</v>
      </c>
      <c r="Q30" s="588"/>
    </row>
    <row r="31" spans="1:17" s="510" customFormat="1" ht="11.25" customHeight="1">
      <c r="A31" s="458" t="s">
        <v>130</v>
      </c>
      <c r="B31" s="502">
        <v>340</v>
      </c>
      <c r="C31" s="460">
        <v>3100</v>
      </c>
      <c r="D31" s="720"/>
      <c r="E31" s="816"/>
      <c r="F31" s="720"/>
      <c r="G31" s="719"/>
      <c r="H31" s="591"/>
      <c r="I31" s="460"/>
      <c r="J31" s="720">
        <v>340</v>
      </c>
      <c r="K31" s="825" t="s">
        <v>1091</v>
      </c>
      <c r="L31" s="720">
        <v>3100</v>
      </c>
      <c r="M31" s="826" t="s">
        <v>1091</v>
      </c>
      <c r="Q31" s="588"/>
    </row>
    <row r="32" spans="1:17" s="510" customFormat="1" ht="11.25" customHeight="1">
      <c r="A32" s="458" t="s">
        <v>131</v>
      </c>
      <c r="B32" s="502">
        <v>230</v>
      </c>
      <c r="C32" s="460">
        <v>1100</v>
      </c>
      <c r="D32" s="720"/>
      <c r="E32" s="816"/>
      <c r="F32" s="720"/>
      <c r="G32" s="719"/>
      <c r="H32" s="591">
        <v>320</v>
      </c>
      <c r="I32" s="460">
        <v>2300</v>
      </c>
      <c r="J32" s="720"/>
      <c r="K32" s="817"/>
      <c r="L32" s="720"/>
      <c r="M32" s="790"/>
      <c r="Q32" s="588"/>
    </row>
    <row r="33" spans="1:17" s="510" customFormat="1" ht="11.25" customHeight="1">
      <c r="A33" s="458" t="s">
        <v>132</v>
      </c>
      <c r="B33" s="502">
        <v>16</v>
      </c>
      <c r="C33" s="460">
        <v>38</v>
      </c>
      <c r="D33" s="720"/>
      <c r="E33" s="816"/>
      <c r="F33" s="720"/>
      <c r="G33" s="719"/>
      <c r="H33" s="591"/>
      <c r="I33" s="460"/>
      <c r="J33" s="720">
        <v>16</v>
      </c>
      <c r="K33" s="825" t="s">
        <v>1091</v>
      </c>
      <c r="L33" s="720">
        <v>38</v>
      </c>
      <c r="M33" s="826" t="s">
        <v>1091</v>
      </c>
      <c r="Q33" s="588"/>
    </row>
    <row r="34" spans="1:17" s="510" customFormat="1" ht="11.25" customHeight="1">
      <c r="A34" s="458" t="s">
        <v>133</v>
      </c>
      <c r="B34" s="502">
        <v>0.25</v>
      </c>
      <c r="C34" s="460">
        <v>2</v>
      </c>
      <c r="D34" s="720"/>
      <c r="E34" s="743"/>
      <c r="F34" s="720"/>
      <c r="G34" s="719"/>
      <c r="H34" s="591">
        <v>8.8000000000000007</v>
      </c>
      <c r="I34" s="460">
        <v>40</v>
      </c>
      <c r="J34" s="720"/>
      <c r="K34" s="743"/>
      <c r="L34" s="720"/>
      <c r="M34" s="790"/>
      <c r="Q34" s="588"/>
    </row>
    <row r="35" spans="1:17" s="510" customFormat="1" ht="11.25" customHeight="1">
      <c r="A35" s="458" t="s">
        <v>134</v>
      </c>
      <c r="B35" s="502">
        <v>77</v>
      </c>
      <c r="C35" s="460">
        <v>690</v>
      </c>
      <c r="D35" s="720"/>
      <c r="E35" s="816"/>
      <c r="F35" s="720"/>
      <c r="G35" s="719"/>
      <c r="H35" s="591">
        <v>9.8000000000000007</v>
      </c>
      <c r="I35" s="460">
        <v>180</v>
      </c>
      <c r="J35" s="720"/>
      <c r="K35" s="817"/>
      <c r="L35" s="720"/>
      <c r="M35" s="790"/>
      <c r="Q35" s="588"/>
    </row>
    <row r="36" spans="1:17" s="510" customFormat="1" ht="11.25" customHeight="1">
      <c r="A36" s="458" t="s">
        <v>614</v>
      </c>
      <c r="B36" s="502">
        <v>4.3E-3</v>
      </c>
      <c r="C36" s="460">
        <v>2.4</v>
      </c>
      <c r="D36" s="720"/>
      <c r="E36" s="816"/>
      <c r="F36" s="720"/>
      <c r="G36" s="719"/>
      <c r="H36" s="591">
        <v>5.9000000000000003E-4</v>
      </c>
      <c r="I36" s="460">
        <v>4.0000000000000001E-3</v>
      </c>
      <c r="J36" s="720"/>
      <c r="K36" s="817"/>
      <c r="L36" s="720"/>
      <c r="M36" s="790"/>
      <c r="Q36" s="588"/>
    </row>
    <row r="37" spans="1:17" s="510" customFormat="1" ht="11.25" customHeight="1">
      <c r="A37" s="458" t="s">
        <v>135</v>
      </c>
      <c r="B37" s="502">
        <v>19</v>
      </c>
      <c r="C37" s="460">
        <v>459</v>
      </c>
      <c r="D37" s="720"/>
      <c r="E37" s="816"/>
      <c r="F37" s="720"/>
      <c r="G37" s="719"/>
      <c r="H37" s="591"/>
      <c r="I37" s="460"/>
      <c r="J37" s="720">
        <v>19</v>
      </c>
      <c r="K37" s="825" t="s">
        <v>1091</v>
      </c>
      <c r="L37" s="720">
        <v>459</v>
      </c>
      <c r="M37" s="826" t="s">
        <v>1091</v>
      </c>
      <c r="Q37" s="588"/>
    </row>
    <row r="38" spans="1:17" s="510" customFormat="1" ht="11.25" customHeight="1">
      <c r="A38" s="458" t="s">
        <v>136</v>
      </c>
      <c r="B38" s="502">
        <v>25</v>
      </c>
      <c r="C38" s="460">
        <v>220</v>
      </c>
      <c r="D38" s="720"/>
      <c r="E38" s="816"/>
      <c r="F38" s="720"/>
      <c r="G38" s="719"/>
      <c r="H38" s="591">
        <v>64</v>
      </c>
      <c r="I38" s="460">
        <v>1100</v>
      </c>
      <c r="J38" s="720"/>
      <c r="K38" s="817"/>
      <c r="L38" s="720"/>
      <c r="M38" s="790"/>
      <c r="Q38" s="588"/>
    </row>
    <row r="39" spans="1:17" ht="11.25" customHeight="1">
      <c r="A39" s="458" t="s">
        <v>781</v>
      </c>
      <c r="B39" s="502"/>
      <c r="C39" s="460"/>
      <c r="D39" s="720"/>
      <c r="E39" s="829"/>
      <c r="F39" s="720"/>
      <c r="G39" s="719"/>
      <c r="H39" s="569"/>
      <c r="I39" s="830"/>
      <c r="J39" s="831"/>
      <c r="K39" s="825"/>
      <c r="L39" s="831"/>
      <c r="M39" s="832"/>
      <c r="Q39" s="588"/>
    </row>
    <row r="40" spans="1:17" ht="11.25" customHeight="1">
      <c r="A40" s="458" t="s">
        <v>137</v>
      </c>
      <c r="B40" s="502">
        <v>140</v>
      </c>
      <c r="C40" s="460">
        <v>1300</v>
      </c>
      <c r="D40" s="720"/>
      <c r="E40" s="829"/>
      <c r="F40" s="720"/>
      <c r="G40" s="719"/>
      <c r="H40" s="569">
        <v>28</v>
      </c>
      <c r="I40" s="830">
        <v>490</v>
      </c>
      <c r="J40" s="831"/>
      <c r="K40" s="825"/>
      <c r="L40" s="831"/>
      <c r="M40" s="832"/>
      <c r="Q40" s="588"/>
    </row>
    <row r="41" spans="1:17" ht="11.25" customHeight="1">
      <c r="A41" s="458" t="s">
        <v>782</v>
      </c>
      <c r="B41" s="502"/>
      <c r="C41" s="460"/>
      <c r="D41" s="720"/>
      <c r="E41" s="829"/>
      <c r="F41" s="720"/>
      <c r="G41" s="719"/>
      <c r="H41" s="569"/>
      <c r="I41" s="830"/>
      <c r="J41" s="831"/>
      <c r="K41" s="825"/>
      <c r="L41" s="720"/>
      <c r="M41" s="832"/>
      <c r="Q41" s="588"/>
    </row>
    <row r="42" spans="1:17" ht="11.25" customHeight="1">
      <c r="A42" s="458" t="s">
        <v>138</v>
      </c>
      <c r="B42" s="502">
        <v>32</v>
      </c>
      <c r="C42" s="460">
        <v>290</v>
      </c>
      <c r="D42" s="720"/>
      <c r="E42" s="829"/>
      <c r="F42" s="720"/>
      <c r="G42" s="719"/>
      <c r="H42" s="569">
        <v>400</v>
      </c>
      <c r="I42" s="830"/>
      <c r="J42" s="831"/>
      <c r="K42" s="825"/>
      <c r="L42" s="831">
        <v>400</v>
      </c>
      <c r="M42" s="790" t="s">
        <v>1095</v>
      </c>
      <c r="Q42" s="588"/>
    </row>
    <row r="43" spans="1:17" ht="11.25" customHeight="1">
      <c r="A43" s="458" t="s">
        <v>612</v>
      </c>
      <c r="B43" s="502"/>
      <c r="C43" s="460"/>
      <c r="D43" s="720">
        <v>11</v>
      </c>
      <c r="E43" s="743" t="s">
        <v>1094</v>
      </c>
      <c r="F43" s="720">
        <v>16</v>
      </c>
      <c r="G43" s="719" t="s">
        <v>1094</v>
      </c>
      <c r="H43" s="569"/>
      <c r="I43" s="830"/>
      <c r="J43" s="720">
        <v>50</v>
      </c>
      <c r="K43" s="743" t="s">
        <v>1094</v>
      </c>
      <c r="L43" s="720">
        <v>1000</v>
      </c>
      <c r="M43" s="790" t="s">
        <v>1094</v>
      </c>
      <c r="Q43" s="588"/>
    </row>
    <row r="44" spans="1:17" ht="11.25" customHeight="1">
      <c r="A44" s="458" t="s">
        <v>779</v>
      </c>
      <c r="B44" s="502">
        <v>74</v>
      </c>
      <c r="C44" s="460">
        <v>570</v>
      </c>
      <c r="D44" s="720"/>
      <c r="E44" s="743"/>
      <c r="F44" s="720"/>
      <c r="G44" s="719"/>
      <c r="H44" s="569">
        <v>20</v>
      </c>
      <c r="I44" s="830"/>
      <c r="J44" s="831"/>
      <c r="K44" s="825"/>
      <c r="L44" s="831">
        <v>570</v>
      </c>
      <c r="M44" s="826" t="s">
        <v>1091</v>
      </c>
      <c r="Q44" s="588"/>
    </row>
    <row r="45" spans="1:17" ht="11.25" customHeight="1">
      <c r="A45" s="458" t="s">
        <v>780</v>
      </c>
      <c r="B45" s="502">
        <v>11</v>
      </c>
      <c r="C45" s="460">
        <v>16</v>
      </c>
      <c r="D45" s="720"/>
      <c r="E45" s="829"/>
      <c r="F45" s="720"/>
      <c r="G45" s="719"/>
      <c r="H45" s="569">
        <v>50</v>
      </c>
      <c r="I45" s="830">
        <v>1100</v>
      </c>
      <c r="J45" s="831"/>
      <c r="K45" s="825"/>
      <c r="L45" s="831"/>
      <c r="M45" s="832"/>
      <c r="Q45" s="588"/>
    </row>
    <row r="46" spans="1:17" ht="11.25" customHeight="1">
      <c r="A46" s="458" t="s">
        <v>139</v>
      </c>
      <c r="B46" s="502">
        <v>4.7</v>
      </c>
      <c r="C46" s="460"/>
      <c r="D46" s="720"/>
      <c r="E46" s="829"/>
      <c r="F46" s="720">
        <v>300</v>
      </c>
      <c r="G46" s="719" t="s">
        <v>1031</v>
      </c>
      <c r="H46" s="591">
        <v>2</v>
      </c>
      <c r="I46" s="460"/>
      <c r="J46" s="831"/>
      <c r="K46" s="825"/>
      <c r="L46" s="720">
        <v>300</v>
      </c>
      <c r="M46" s="790" t="s">
        <v>1031</v>
      </c>
      <c r="Q46" s="588"/>
    </row>
    <row r="47" spans="1:17" ht="11.25" customHeight="1">
      <c r="A47" s="458" t="s">
        <v>140</v>
      </c>
      <c r="B47" s="502">
        <v>19</v>
      </c>
      <c r="C47" s="460">
        <v>120</v>
      </c>
      <c r="D47" s="720"/>
      <c r="E47" s="829"/>
      <c r="F47" s="720"/>
      <c r="G47" s="719"/>
      <c r="H47" s="569">
        <v>23</v>
      </c>
      <c r="I47" s="830">
        <v>1500</v>
      </c>
      <c r="J47" s="831"/>
      <c r="K47" s="825"/>
      <c r="L47" s="831"/>
      <c r="M47" s="832"/>
      <c r="Q47" s="588"/>
    </row>
    <row r="48" spans="1:17" ht="11.25" customHeight="1">
      <c r="A48" s="458" t="s">
        <v>141</v>
      </c>
      <c r="B48" s="502">
        <v>9</v>
      </c>
      <c r="C48" s="460">
        <v>13</v>
      </c>
      <c r="D48" s="720"/>
      <c r="E48" s="829"/>
      <c r="F48" s="720"/>
      <c r="G48" s="719"/>
      <c r="H48" s="569">
        <v>3.1</v>
      </c>
      <c r="I48" s="830">
        <v>4.8</v>
      </c>
      <c r="J48" s="831"/>
      <c r="K48" s="825"/>
      <c r="L48" s="831"/>
      <c r="M48" s="832"/>
      <c r="Q48" s="588"/>
    </row>
    <row r="49" spans="1:17" ht="11.25" customHeight="1">
      <c r="A49" s="458" t="s">
        <v>142</v>
      </c>
      <c r="B49" s="502">
        <v>5.2</v>
      </c>
      <c r="C49" s="460">
        <v>22</v>
      </c>
      <c r="D49" s="720"/>
      <c r="E49" s="829"/>
      <c r="F49" s="720"/>
      <c r="G49" s="719"/>
      <c r="H49" s="569">
        <v>1</v>
      </c>
      <c r="I49" s="830">
        <v>1</v>
      </c>
      <c r="J49" s="831"/>
      <c r="K49" s="825"/>
      <c r="L49" s="831"/>
      <c r="M49" s="832"/>
      <c r="Q49" s="588"/>
    </row>
    <row r="50" spans="1:17" ht="11.25" customHeight="1">
      <c r="A50" s="462" t="s">
        <v>96</v>
      </c>
      <c r="B50" s="818">
        <v>79</v>
      </c>
      <c r="C50" s="799">
        <v>520</v>
      </c>
      <c r="D50" s="804"/>
      <c r="E50" s="827"/>
      <c r="F50" s="804"/>
      <c r="G50" s="820"/>
      <c r="H50" s="833">
        <v>190</v>
      </c>
      <c r="I50" s="834">
        <v>700</v>
      </c>
      <c r="J50" s="835"/>
      <c r="K50" s="822"/>
      <c r="L50" s="835"/>
      <c r="M50" s="836"/>
      <c r="Q50" s="588"/>
    </row>
    <row r="51" spans="1:17" ht="11.25" customHeight="1">
      <c r="A51" s="458" t="s">
        <v>97</v>
      </c>
      <c r="B51" s="818"/>
      <c r="C51" s="799"/>
      <c r="D51" s="804">
        <v>300</v>
      </c>
      <c r="E51" s="827" t="s">
        <v>1104</v>
      </c>
      <c r="F51" s="804">
        <v>3000</v>
      </c>
      <c r="G51" s="820" t="s">
        <v>1114</v>
      </c>
      <c r="H51" s="833"/>
      <c r="I51" s="834"/>
      <c r="J51" s="804">
        <v>300</v>
      </c>
      <c r="K51" s="827" t="s">
        <v>1116</v>
      </c>
      <c r="L51" s="804">
        <v>3000</v>
      </c>
      <c r="M51" s="823" t="s">
        <v>1114</v>
      </c>
      <c r="Q51" s="588"/>
    </row>
    <row r="52" spans="1:17" ht="11.25" customHeight="1">
      <c r="A52" s="458" t="s">
        <v>143</v>
      </c>
      <c r="B52" s="502">
        <v>0.8</v>
      </c>
      <c r="C52" s="460"/>
      <c r="D52" s="720"/>
      <c r="E52" s="829" t="s">
        <v>1115</v>
      </c>
      <c r="F52" s="720">
        <v>300</v>
      </c>
      <c r="G52" s="719" t="s">
        <v>1031</v>
      </c>
      <c r="H52" s="591">
        <v>7.1</v>
      </c>
      <c r="I52" s="460"/>
      <c r="J52" s="831"/>
      <c r="K52" s="825"/>
      <c r="L52" s="720">
        <v>300</v>
      </c>
      <c r="M52" s="790" t="s">
        <v>1031</v>
      </c>
      <c r="Q52" s="588"/>
    </row>
    <row r="53" spans="1:17" ht="11.25" customHeight="1">
      <c r="A53" s="458" t="s">
        <v>77</v>
      </c>
      <c r="B53" s="502"/>
      <c r="C53" s="460"/>
      <c r="D53" s="720"/>
      <c r="E53" s="460"/>
      <c r="F53" s="720"/>
      <c r="G53" s="719"/>
      <c r="H53" s="569"/>
      <c r="I53" s="830"/>
      <c r="J53" s="831"/>
      <c r="K53" s="837"/>
      <c r="L53" s="831"/>
      <c r="M53" s="832"/>
      <c r="Q53" s="588"/>
    </row>
    <row r="54" spans="1:17" ht="11.25" customHeight="1">
      <c r="A54" s="458" t="s">
        <v>144</v>
      </c>
      <c r="B54" s="502">
        <v>320</v>
      </c>
      <c r="C54" s="460">
        <v>2900</v>
      </c>
      <c r="D54" s="720"/>
      <c r="E54" s="829"/>
      <c r="F54" s="720"/>
      <c r="G54" s="719"/>
      <c r="H54" s="569">
        <v>34</v>
      </c>
      <c r="I54" s="830"/>
      <c r="J54" s="831"/>
      <c r="K54" s="825"/>
      <c r="L54" s="720">
        <v>2900</v>
      </c>
      <c r="M54" s="826" t="s">
        <v>1091</v>
      </c>
      <c r="Q54" s="588"/>
    </row>
    <row r="55" spans="1:17" ht="11.25" customHeight="1">
      <c r="A55" s="458" t="s">
        <v>487</v>
      </c>
      <c r="B55" s="502"/>
      <c r="C55" s="460"/>
      <c r="D55" s="720">
        <v>1400</v>
      </c>
      <c r="E55" s="829" t="s">
        <v>358</v>
      </c>
      <c r="F55" s="720">
        <v>1400</v>
      </c>
      <c r="G55" s="719" t="s">
        <v>358</v>
      </c>
      <c r="H55" s="569"/>
      <c r="I55" s="830"/>
      <c r="J55" s="720">
        <v>1400</v>
      </c>
      <c r="K55" s="829" t="s">
        <v>358</v>
      </c>
      <c r="L55" s="720">
        <v>1400</v>
      </c>
      <c r="M55" s="790" t="s">
        <v>358</v>
      </c>
      <c r="Q55" s="588"/>
    </row>
    <row r="56" spans="1:17" ht="11.25" customHeight="1">
      <c r="A56" s="458" t="s">
        <v>145</v>
      </c>
      <c r="B56" s="502">
        <v>23</v>
      </c>
      <c r="C56" s="460">
        <v>130</v>
      </c>
      <c r="D56" s="720"/>
      <c r="E56" s="829"/>
      <c r="F56" s="720"/>
      <c r="G56" s="719"/>
      <c r="H56" s="569">
        <v>14</v>
      </c>
      <c r="I56" s="830">
        <v>260</v>
      </c>
      <c r="J56" s="831"/>
      <c r="K56" s="825"/>
      <c r="L56" s="831"/>
      <c r="M56" s="832"/>
      <c r="Q56" s="588"/>
    </row>
    <row r="57" spans="1:17" ht="11.25" customHeight="1">
      <c r="A57" s="458" t="s">
        <v>225</v>
      </c>
      <c r="B57" s="502">
        <v>22</v>
      </c>
      <c r="C57" s="460">
        <v>79</v>
      </c>
      <c r="D57" s="720"/>
      <c r="E57" s="829"/>
      <c r="F57" s="720"/>
      <c r="G57" s="719"/>
      <c r="H57" s="569">
        <v>71</v>
      </c>
      <c r="I57" s="830">
        <v>630</v>
      </c>
      <c r="J57" s="831"/>
      <c r="K57" s="825"/>
      <c r="L57" s="831"/>
      <c r="M57" s="832"/>
      <c r="Q57" s="588"/>
    </row>
    <row r="58" spans="1:17" ht="11.25" customHeight="1">
      <c r="A58" s="458" t="s">
        <v>226</v>
      </c>
      <c r="B58" s="502">
        <v>9.4</v>
      </c>
      <c r="C58" s="460">
        <v>57</v>
      </c>
      <c r="D58" s="720"/>
      <c r="E58" s="829"/>
      <c r="F58" s="720"/>
      <c r="G58" s="719"/>
      <c r="H58" s="569">
        <v>15</v>
      </c>
      <c r="I58" s="830">
        <v>180</v>
      </c>
      <c r="J58" s="831"/>
      <c r="K58" s="825"/>
      <c r="L58" s="831"/>
      <c r="M58" s="832"/>
      <c r="Q58" s="588"/>
    </row>
    <row r="59" spans="1:17" ht="11.25" customHeight="1">
      <c r="A59" s="458" t="s">
        <v>227</v>
      </c>
      <c r="B59" s="502">
        <v>4.5</v>
      </c>
      <c r="C59" s="460">
        <v>41</v>
      </c>
      <c r="D59" s="720"/>
      <c r="E59" s="829"/>
      <c r="F59" s="720"/>
      <c r="G59" s="719"/>
      <c r="H59" s="569"/>
      <c r="I59" s="830"/>
      <c r="J59" s="720">
        <v>4.5</v>
      </c>
      <c r="K59" s="825" t="s">
        <v>1091</v>
      </c>
      <c r="L59" s="720">
        <v>41</v>
      </c>
      <c r="M59" s="826" t="s">
        <v>1091</v>
      </c>
      <c r="Q59" s="588"/>
    </row>
    <row r="60" spans="1:17" ht="11.25" customHeight="1">
      <c r="A60" s="458" t="s">
        <v>361</v>
      </c>
      <c r="B60" s="502">
        <v>1.0999999999999999E-2</v>
      </c>
      <c r="C60" s="460">
        <v>0.19</v>
      </c>
      <c r="D60" s="720"/>
      <c r="E60" s="743"/>
      <c r="F60" s="720"/>
      <c r="G60" s="719"/>
      <c r="H60" s="569">
        <v>1.0999999999999999E-2</v>
      </c>
      <c r="I60" s="830">
        <v>0.19</v>
      </c>
      <c r="J60" s="831"/>
      <c r="K60" s="825"/>
      <c r="L60" s="831"/>
      <c r="M60" s="832"/>
      <c r="Q60" s="588"/>
    </row>
    <row r="61" spans="1:17" ht="11.25" customHeight="1">
      <c r="A61" s="458" t="s">
        <v>362</v>
      </c>
      <c r="B61" s="502">
        <v>0.41</v>
      </c>
      <c r="C61" s="460">
        <v>7</v>
      </c>
      <c r="D61" s="720"/>
      <c r="E61" s="743"/>
      <c r="F61" s="720"/>
      <c r="G61" s="719"/>
      <c r="H61" s="569"/>
      <c r="I61" s="830"/>
      <c r="J61" s="720">
        <v>0.41</v>
      </c>
      <c r="K61" s="825" t="s">
        <v>1091</v>
      </c>
      <c r="L61" s="720">
        <v>7</v>
      </c>
      <c r="M61" s="826" t="s">
        <v>1091</v>
      </c>
      <c r="Q61" s="588"/>
    </row>
    <row r="62" spans="1:17" ht="11.25" customHeight="1">
      <c r="A62" s="458" t="s">
        <v>363</v>
      </c>
      <c r="B62" s="502">
        <v>3.2000000000000002E-3</v>
      </c>
      <c r="C62" s="460">
        <v>1.1000000000000001</v>
      </c>
      <c r="D62" s="720"/>
      <c r="E62" s="829"/>
      <c r="F62" s="720"/>
      <c r="G62" s="719"/>
      <c r="H62" s="569">
        <v>1E-3</v>
      </c>
      <c r="I62" s="830">
        <v>0.13</v>
      </c>
      <c r="J62" s="831"/>
      <c r="K62" s="825"/>
      <c r="L62" s="831"/>
      <c r="M62" s="832"/>
      <c r="Q62" s="588"/>
    </row>
    <row r="63" spans="1:17" ht="11.25" customHeight="1">
      <c r="A63" s="458" t="s">
        <v>234</v>
      </c>
      <c r="B63" s="502">
        <v>410</v>
      </c>
      <c r="C63" s="460">
        <v>3700</v>
      </c>
      <c r="D63" s="720"/>
      <c r="E63" s="829"/>
      <c r="F63" s="720"/>
      <c r="G63" s="719"/>
      <c r="H63" s="569">
        <v>47</v>
      </c>
      <c r="I63" s="830">
        <v>830</v>
      </c>
      <c r="J63" s="831"/>
      <c r="K63" s="825"/>
      <c r="L63" s="720"/>
      <c r="M63" s="832"/>
      <c r="Q63" s="588"/>
    </row>
    <row r="64" spans="1:17" ht="11.25" customHeight="1">
      <c r="A64" s="458" t="s">
        <v>235</v>
      </c>
      <c r="B64" s="502">
        <v>2000</v>
      </c>
      <c r="C64" s="460">
        <v>8200</v>
      </c>
      <c r="D64" s="720"/>
      <c r="E64" s="829"/>
      <c r="F64" s="720"/>
      <c r="G64" s="719"/>
      <c r="H64" s="569">
        <v>910</v>
      </c>
      <c r="I64" s="830">
        <v>8800</v>
      </c>
      <c r="J64" s="831"/>
      <c r="K64" s="825"/>
      <c r="L64" s="831"/>
      <c r="M64" s="832"/>
      <c r="Q64" s="588"/>
    </row>
    <row r="65" spans="1:17" ht="11.25" customHeight="1">
      <c r="A65" s="458" t="s">
        <v>294</v>
      </c>
      <c r="B65" s="502">
        <v>130</v>
      </c>
      <c r="C65" s="460">
        <v>1200</v>
      </c>
      <c r="D65" s="720"/>
      <c r="E65" s="829"/>
      <c r="F65" s="720"/>
      <c r="G65" s="719"/>
      <c r="H65" s="569">
        <v>25</v>
      </c>
      <c r="I65" s="830">
        <v>450</v>
      </c>
      <c r="J65" s="831"/>
      <c r="K65" s="825"/>
      <c r="L65" s="831"/>
      <c r="M65" s="832"/>
      <c r="Q65" s="588"/>
    </row>
    <row r="66" spans="1:17" ht="11.25" customHeight="1">
      <c r="A66" s="458" t="s">
        <v>295</v>
      </c>
      <c r="B66" s="502">
        <v>620</v>
      </c>
      <c r="C66" s="460">
        <v>5500</v>
      </c>
      <c r="D66" s="720"/>
      <c r="E66" s="829"/>
      <c r="F66" s="720"/>
      <c r="G66" s="719"/>
      <c r="H66" s="569"/>
      <c r="I66" s="830"/>
      <c r="J66" s="720">
        <v>620</v>
      </c>
      <c r="K66" s="825" t="s">
        <v>1091</v>
      </c>
      <c r="L66" s="720">
        <v>5500</v>
      </c>
      <c r="M66" s="838" t="s">
        <v>1091</v>
      </c>
      <c r="Q66" s="588"/>
    </row>
    <row r="67" spans="1:17" ht="11.25" customHeight="1">
      <c r="A67" s="458" t="s">
        <v>228</v>
      </c>
      <c r="B67" s="502">
        <v>558</v>
      </c>
      <c r="C67" s="460">
        <v>10046</v>
      </c>
      <c r="D67" s="720"/>
      <c r="E67" s="829"/>
      <c r="F67" s="720"/>
      <c r="G67" s="719"/>
      <c r="H67" s="569"/>
      <c r="I67" s="830"/>
      <c r="J67" s="720">
        <v>558</v>
      </c>
      <c r="K67" s="825" t="s">
        <v>1091</v>
      </c>
      <c r="L67" s="720">
        <v>10046</v>
      </c>
      <c r="M67" s="838" t="s">
        <v>1091</v>
      </c>
      <c r="Q67" s="588"/>
    </row>
    <row r="68" spans="1:17" ht="11.25" customHeight="1">
      <c r="A68" s="458" t="s">
        <v>942</v>
      </c>
      <c r="B68" s="502">
        <v>11</v>
      </c>
      <c r="C68" s="460">
        <v>110</v>
      </c>
      <c r="D68" s="720"/>
      <c r="E68" s="829"/>
      <c r="F68" s="720"/>
      <c r="G68" s="719"/>
      <c r="H68" s="569">
        <v>790</v>
      </c>
      <c r="I68" s="830"/>
      <c r="J68" s="831"/>
      <c r="K68" s="825"/>
      <c r="L68" s="831">
        <v>790</v>
      </c>
      <c r="M68" s="832" t="s">
        <v>1095</v>
      </c>
      <c r="Q68" s="588"/>
    </row>
    <row r="69" spans="1:17" ht="11.25" customHeight="1">
      <c r="A69" s="458" t="s">
        <v>98</v>
      </c>
      <c r="B69" s="818">
        <v>79.2</v>
      </c>
      <c r="C69" s="799">
        <v>130</v>
      </c>
      <c r="D69" s="804"/>
      <c r="E69" s="827"/>
      <c r="F69" s="804"/>
      <c r="G69" s="820"/>
      <c r="H69" s="833">
        <v>70</v>
      </c>
      <c r="I69" s="834"/>
      <c r="J69" s="835"/>
      <c r="K69" s="822"/>
      <c r="L69" s="804">
        <v>130</v>
      </c>
      <c r="M69" s="838" t="s">
        <v>1091</v>
      </c>
      <c r="Q69" s="588"/>
    </row>
    <row r="70" spans="1:17" ht="11.25" customHeight="1">
      <c r="A70" s="458" t="s">
        <v>943</v>
      </c>
      <c r="B70" s="502">
        <v>520</v>
      </c>
      <c r="C70" s="460">
        <v>3300</v>
      </c>
      <c r="D70" s="720"/>
      <c r="E70" s="829"/>
      <c r="F70" s="720"/>
      <c r="G70" s="719"/>
      <c r="H70" s="569"/>
      <c r="I70" s="830">
        <v>3400</v>
      </c>
      <c r="J70" s="831">
        <v>520</v>
      </c>
      <c r="K70" s="825" t="s">
        <v>1091</v>
      </c>
      <c r="L70" s="831"/>
      <c r="M70" s="832"/>
      <c r="Q70" s="588"/>
    </row>
    <row r="71" spans="1:17" ht="11.25" customHeight="1">
      <c r="A71" s="458" t="s">
        <v>296</v>
      </c>
      <c r="B71" s="502">
        <v>1.7</v>
      </c>
      <c r="C71" s="460">
        <v>15</v>
      </c>
      <c r="D71" s="720"/>
      <c r="E71" s="829"/>
      <c r="F71" s="720"/>
      <c r="G71" s="719"/>
      <c r="H71" s="569">
        <v>0.06</v>
      </c>
      <c r="I71" s="830">
        <v>0.99</v>
      </c>
      <c r="J71" s="831"/>
      <c r="K71" s="825"/>
      <c r="L71" s="831"/>
      <c r="M71" s="832"/>
      <c r="Q71" s="588"/>
    </row>
    <row r="72" spans="1:17" ht="11.25" customHeight="1">
      <c r="A72" s="458" t="s">
        <v>944</v>
      </c>
      <c r="B72" s="502">
        <v>5.6000000000000001E-2</v>
      </c>
      <c r="C72" s="460">
        <v>0.24</v>
      </c>
      <c r="D72" s="720"/>
      <c r="E72" s="829"/>
      <c r="F72" s="720"/>
      <c r="G72" s="719"/>
      <c r="H72" s="569">
        <v>1.9E-3</v>
      </c>
      <c r="I72" s="830">
        <v>0.71</v>
      </c>
      <c r="J72" s="831"/>
      <c r="K72" s="825"/>
      <c r="L72" s="831"/>
      <c r="M72" s="832"/>
      <c r="Q72" s="588"/>
    </row>
    <row r="73" spans="1:17" ht="11.25" customHeight="1">
      <c r="A73" s="458" t="s">
        <v>945</v>
      </c>
      <c r="B73" s="502">
        <v>220</v>
      </c>
      <c r="C73" s="830">
        <v>980</v>
      </c>
      <c r="D73" s="720"/>
      <c r="E73" s="829"/>
      <c r="F73" s="720"/>
      <c r="G73" s="719"/>
      <c r="H73" s="569">
        <v>210</v>
      </c>
      <c r="I73" s="830">
        <v>1800</v>
      </c>
      <c r="J73" s="831"/>
      <c r="K73" s="825"/>
      <c r="L73" s="831"/>
      <c r="M73" s="826"/>
      <c r="Q73" s="588"/>
    </row>
    <row r="74" spans="1:17" ht="11.25" customHeight="1">
      <c r="A74" s="458" t="s">
        <v>947</v>
      </c>
      <c r="B74" s="502">
        <v>120</v>
      </c>
      <c r="C74" s="460">
        <v>1100</v>
      </c>
      <c r="D74" s="720"/>
      <c r="E74" s="829"/>
      <c r="F74" s="720"/>
      <c r="G74" s="719"/>
      <c r="H74" s="569"/>
      <c r="I74" s="830"/>
      <c r="J74" s="720">
        <v>120</v>
      </c>
      <c r="K74" s="825" t="s">
        <v>1091</v>
      </c>
      <c r="L74" s="720">
        <v>1100</v>
      </c>
      <c r="M74" s="838" t="s">
        <v>1091</v>
      </c>
      <c r="Q74" s="588"/>
    </row>
    <row r="75" spans="1:17" ht="11.25" customHeight="1">
      <c r="A75" s="458" t="s">
        <v>946</v>
      </c>
      <c r="B75" s="502">
        <v>1100</v>
      </c>
      <c r="C75" s="830">
        <v>3200</v>
      </c>
      <c r="D75" s="720"/>
      <c r="E75" s="829"/>
      <c r="F75" s="720"/>
      <c r="G75" s="719"/>
      <c r="H75" s="569">
        <v>2900</v>
      </c>
      <c r="I75" s="830"/>
      <c r="J75" s="831"/>
      <c r="K75" s="825"/>
      <c r="L75" s="831">
        <v>3200</v>
      </c>
      <c r="M75" s="838" t="s">
        <v>1091</v>
      </c>
      <c r="Q75" s="588"/>
    </row>
    <row r="76" spans="1:17" ht="11.25" customHeight="1">
      <c r="A76" s="462" t="s">
        <v>99</v>
      </c>
      <c r="B76" s="818">
        <v>22</v>
      </c>
      <c r="C76" s="799">
        <v>100</v>
      </c>
      <c r="D76" s="804"/>
      <c r="E76" s="827"/>
      <c r="F76" s="804"/>
      <c r="G76" s="820"/>
      <c r="H76" s="833">
        <v>10</v>
      </c>
      <c r="I76" s="834">
        <v>110</v>
      </c>
      <c r="J76" s="835"/>
      <c r="K76" s="822"/>
      <c r="L76" s="835"/>
      <c r="M76" s="838" t="s">
        <v>1091</v>
      </c>
      <c r="Q76" s="588"/>
    </row>
    <row r="77" spans="1:17" ht="11.25" customHeight="1">
      <c r="A77" s="458" t="s">
        <v>297</v>
      </c>
      <c r="B77" s="502">
        <v>71</v>
      </c>
      <c r="C77" s="460">
        <v>379</v>
      </c>
      <c r="D77" s="720"/>
      <c r="E77" s="829"/>
      <c r="F77" s="720"/>
      <c r="G77" s="719"/>
      <c r="H77" s="569">
        <v>14.3</v>
      </c>
      <c r="I77" s="830"/>
      <c r="J77" s="831"/>
      <c r="K77" s="825"/>
      <c r="L77" s="720">
        <v>379</v>
      </c>
      <c r="M77" s="832"/>
      <c r="Q77" s="588"/>
    </row>
    <row r="78" spans="1:17" ht="11.25" customHeight="1">
      <c r="A78" s="462" t="s">
        <v>100</v>
      </c>
      <c r="B78" s="818">
        <v>44</v>
      </c>
      <c r="C78" s="799">
        <v>390</v>
      </c>
      <c r="D78" s="804"/>
      <c r="E78" s="827"/>
      <c r="F78" s="804"/>
      <c r="G78" s="820"/>
      <c r="H78" s="833">
        <v>9.1</v>
      </c>
      <c r="I78" s="834">
        <v>200</v>
      </c>
      <c r="J78" s="835"/>
      <c r="K78" s="839"/>
      <c r="L78" s="835"/>
      <c r="M78" s="836"/>
      <c r="Q78" s="588"/>
    </row>
    <row r="79" spans="1:17" ht="11.25" customHeight="1">
      <c r="A79" s="462" t="s">
        <v>101</v>
      </c>
      <c r="B79" s="818">
        <v>81</v>
      </c>
      <c r="C79" s="799">
        <v>730</v>
      </c>
      <c r="D79" s="804"/>
      <c r="E79" s="840"/>
      <c r="F79" s="804"/>
      <c r="G79" s="841"/>
      <c r="H79" s="821"/>
      <c r="I79" s="799">
        <v>200</v>
      </c>
      <c r="J79" s="804">
        <v>81</v>
      </c>
      <c r="K79" s="825" t="s">
        <v>1091</v>
      </c>
      <c r="L79" s="804"/>
      <c r="M79" s="823"/>
      <c r="Q79" s="588"/>
    </row>
    <row r="80" spans="1:17" ht="11.25" customHeight="1">
      <c r="A80" s="458" t="s">
        <v>382</v>
      </c>
      <c r="B80" s="502"/>
      <c r="C80" s="460"/>
      <c r="D80" s="720">
        <v>335000</v>
      </c>
      <c r="E80" s="829" t="s">
        <v>1107</v>
      </c>
      <c r="F80" s="720">
        <v>3350000</v>
      </c>
      <c r="G80" s="820" t="s">
        <v>1108</v>
      </c>
      <c r="H80" s="569"/>
      <c r="I80" s="830"/>
      <c r="J80" s="831">
        <v>500000</v>
      </c>
      <c r="K80" s="842" t="s">
        <v>1109</v>
      </c>
      <c r="L80" s="831">
        <v>5000000</v>
      </c>
      <c r="M80" s="832" t="s">
        <v>1110</v>
      </c>
      <c r="Q80" s="588"/>
    </row>
    <row r="81" spans="1:17" ht="11.25" customHeight="1">
      <c r="A81" s="458" t="s">
        <v>594</v>
      </c>
      <c r="B81" s="502">
        <v>3.1E-9</v>
      </c>
      <c r="C81" s="460">
        <v>3.0000000000000001E-3</v>
      </c>
      <c r="D81" s="720"/>
      <c r="E81" s="829"/>
      <c r="F81" s="720"/>
      <c r="G81" s="719"/>
      <c r="H81" s="569"/>
      <c r="I81" s="830"/>
      <c r="J81" s="720">
        <v>3.1E-9</v>
      </c>
      <c r="K81" s="825" t="s">
        <v>1091</v>
      </c>
      <c r="L81" s="720">
        <v>3.0000000000000001E-3</v>
      </c>
      <c r="M81" s="838" t="s">
        <v>1091</v>
      </c>
      <c r="Q81" s="588"/>
    </row>
    <row r="82" spans="1:17" ht="11.25" customHeight="1">
      <c r="A82" s="458" t="s">
        <v>102</v>
      </c>
      <c r="B82" s="818"/>
      <c r="C82" s="799"/>
      <c r="D82" s="804">
        <v>60</v>
      </c>
      <c r="E82" s="827" t="s">
        <v>1106</v>
      </c>
      <c r="F82" s="804">
        <v>200</v>
      </c>
      <c r="G82" s="820" t="s">
        <v>1105</v>
      </c>
      <c r="H82" s="833"/>
      <c r="I82" s="834"/>
      <c r="J82" s="804">
        <v>60</v>
      </c>
      <c r="K82" s="827" t="s">
        <v>1106</v>
      </c>
      <c r="L82" s="835">
        <v>550</v>
      </c>
      <c r="M82" s="836" t="s">
        <v>1111</v>
      </c>
      <c r="Q82" s="588"/>
    </row>
    <row r="83" spans="1:17" ht="11.25" customHeight="1">
      <c r="A83" s="458" t="s">
        <v>370</v>
      </c>
      <c r="B83" s="502">
        <v>0.01</v>
      </c>
      <c r="C83" s="460">
        <v>0.11</v>
      </c>
      <c r="D83" s="720"/>
      <c r="E83" s="829"/>
      <c r="F83" s="720"/>
      <c r="G83" s="719"/>
      <c r="H83" s="569">
        <v>8.6999999999999994E-3</v>
      </c>
      <c r="I83" s="830">
        <v>3.4000000000000002E-2</v>
      </c>
      <c r="J83" s="831"/>
      <c r="K83" s="825"/>
      <c r="L83" s="831"/>
      <c r="M83" s="832"/>
      <c r="Q83" s="588"/>
    </row>
    <row r="84" spans="1:17" ht="11.25" customHeight="1">
      <c r="A84" s="458" t="s">
        <v>337</v>
      </c>
      <c r="B84" s="502">
        <v>3.5999999999999997E-2</v>
      </c>
      <c r="C84" s="460">
        <v>8.5999999999999993E-2</v>
      </c>
      <c r="D84" s="720"/>
      <c r="E84" s="829"/>
      <c r="F84" s="720"/>
      <c r="G84" s="719"/>
      <c r="H84" s="569">
        <v>2.3E-3</v>
      </c>
      <c r="I84" s="830">
        <v>3.6999999999999998E-2</v>
      </c>
      <c r="J84" s="831"/>
      <c r="K84" s="825"/>
      <c r="L84" s="831"/>
      <c r="M84" s="832"/>
      <c r="Q84" s="588"/>
    </row>
    <row r="85" spans="1:17" ht="11.25" customHeight="1">
      <c r="A85" s="458" t="s">
        <v>28</v>
      </c>
      <c r="B85" s="502"/>
      <c r="C85" s="460"/>
      <c r="D85" s="720"/>
      <c r="E85" s="829"/>
      <c r="F85" s="720"/>
      <c r="G85" s="719"/>
      <c r="H85" s="569"/>
      <c r="I85" s="830"/>
      <c r="J85" s="831"/>
      <c r="K85" s="825"/>
      <c r="L85" s="831"/>
      <c r="M85" s="832"/>
      <c r="Q85" s="588"/>
    </row>
    <row r="86" spans="1:17" ht="11.25" customHeight="1">
      <c r="A86" s="458" t="s">
        <v>338</v>
      </c>
      <c r="B86" s="502">
        <v>61</v>
      </c>
      <c r="C86" s="460">
        <v>550</v>
      </c>
      <c r="D86" s="720"/>
      <c r="E86" s="829"/>
      <c r="F86" s="720"/>
      <c r="G86" s="719"/>
      <c r="H86" s="569">
        <v>7.3</v>
      </c>
      <c r="I86" s="830">
        <v>130</v>
      </c>
      <c r="J86" s="831"/>
      <c r="K86" s="825"/>
      <c r="L86" s="831"/>
      <c r="M86" s="832"/>
      <c r="Q86" s="588"/>
    </row>
    <row r="87" spans="1:17" ht="11.25" customHeight="1">
      <c r="A87" s="458" t="s">
        <v>339</v>
      </c>
      <c r="B87" s="502">
        <v>0.8</v>
      </c>
      <c r="C87" s="460"/>
      <c r="D87" s="720"/>
      <c r="E87" s="829"/>
      <c r="F87" s="720">
        <v>300</v>
      </c>
      <c r="G87" s="719" t="s">
        <v>1031</v>
      </c>
      <c r="H87" s="591">
        <v>7.1</v>
      </c>
      <c r="I87" s="460"/>
      <c r="J87" s="831"/>
      <c r="K87" s="825"/>
      <c r="L87" s="720">
        <v>300</v>
      </c>
      <c r="M87" s="790" t="s">
        <v>1031</v>
      </c>
      <c r="Q87" s="588"/>
    </row>
    <row r="88" spans="1:17" ht="11.25" customHeight="1">
      <c r="A88" s="458" t="s">
        <v>340</v>
      </c>
      <c r="B88" s="502">
        <v>19</v>
      </c>
      <c r="C88" s="460"/>
      <c r="D88" s="720"/>
      <c r="E88" s="829"/>
      <c r="F88" s="720">
        <v>300</v>
      </c>
      <c r="G88" s="719" t="s">
        <v>1031</v>
      </c>
      <c r="H88" s="591">
        <v>3.9</v>
      </c>
      <c r="I88" s="460"/>
      <c r="J88" s="831"/>
      <c r="K88" s="825"/>
      <c r="L88" s="720">
        <v>300</v>
      </c>
      <c r="M88" s="790" t="s">
        <v>1031</v>
      </c>
      <c r="Q88" s="588"/>
    </row>
    <row r="89" spans="1:17" ht="11.25" customHeight="1">
      <c r="A89" s="458" t="s">
        <v>103</v>
      </c>
      <c r="B89" s="818"/>
      <c r="C89" s="799"/>
      <c r="D89" s="804">
        <v>1800</v>
      </c>
      <c r="E89" s="827" t="s">
        <v>1096</v>
      </c>
      <c r="F89" s="804">
        <v>21500</v>
      </c>
      <c r="G89" s="820" t="s">
        <v>1096</v>
      </c>
      <c r="H89" s="833"/>
      <c r="I89" s="834"/>
      <c r="J89" s="804">
        <v>1800</v>
      </c>
      <c r="K89" s="822" t="s">
        <v>1097</v>
      </c>
      <c r="L89" s="804">
        <v>21500</v>
      </c>
      <c r="M89" s="823" t="s">
        <v>1097</v>
      </c>
      <c r="Q89" s="588"/>
    </row>
    <row r="90" spans="1:17" ht="11.25" customHeight="1">
      <c r="A90" s="458" t="s">
        <v>341</v>
      </c>
      <c r="B90" s="502">
        <v>3.8E-3</v>
      </c>
      <c r="C90" s="460">
        <v>0.52</v>
      </c>
      <c r="D90" s="720"/>
      <c r="E90" s="829"/>
      <c r="F90" s="720"/>
      <c r="G90" s="719"/>
      <c r="H90" s="569">
        <v>3.5999999999999999E-3</v>
      </c>
      <c r="I90" s="830">
        <v>5.2999999999999999E-2</v>
      </c>
      <c r="J90" s="831"/>
      <c r="K90" s="825"/>
      <c r="L90" s="831"/>
      <c r="M90" s="832"/>
      <c r="Q90" s="588"/>
    </row>
    <row r="91" spans="1:17" ht="11.25" customHeight="1">
      <c r="A91" s="458" t="s">
        <v>342</v>
      </c>
      <c r="B91" s="502">
        <v>3.8E-3</v>
      </c>
      <c r="C91" s="460">
        <v>0.52</v>
      </c>
      <c r="D91" s="720"/>
      <c r="E91" s="829"/>
      <c r="F91" s="720"/>
      <c r="G91" s="719"/>
      <c r="H91" s="569">
        <v>3.5999999999999999E-3</v>
      </c>
      <c r="I91" s="830">
        <v>5.2999999999999999E-2</v>
      </c>
      <c r="J91" s="831"/>
      <c r="K91" s="825"/>
      <c r="L91" s="831"/>
      <c r="M91" s="832"/>
      <c r="Q91" s="588"/>
    </row>
    <row r="92" spans="1:17" ht="11.25" customHeight="1">
      <c r="A92" s="458" t="s">
        <v>371</v>
      </c>
      <c r="B92" s="502">
        <v>2.9999999999999997E-4</v>
      </c>
      <c r="C92" s="460"/>
      <c r="D92" s="720"/>
      <c r="E92" s="829"/>
      <c r="F92" s="460">
        <v>2.9999999999999997E-4</v>
      </c>
      <c r="G92" s="719" t="s">
        <v>1098</v>
      </c>
      <c r="H92" s="569"/>
      <c r="I92" s="830"/>
      <c r="J92" s="460">
        <v>2.9999999999999997E-4</v>
      </c>
      <c r="K92" s="825" t="s">
        <v>1091</v>
      </c>
      <c r="L92" s="460">
        <v>2.9999999999999997E-4</v>
      </c>
      <c r="M92" s="828" t="s">
        <v>1098</v>
      </c>
      <c r="Q92" s="588"/>
    </row>
    <row r="93" spans="1:17" ht="11.25" customHeight="1">
      <c r="A93" s="458" t="s">
        <v>343</v>
      </c>
      <c r="B93" s="502">
        <v>1</v>
      </c>
      <c r="C93" s="460">
        <v>10</v>
      </c>
      <c r="D93" s="720"/>
      <c r="E93" s="829"/>
      <c r="F93" s="720"/>
      <c r="G93" s="719"/>
      <c r="H93" s="569">
        <v>0.3</v>
      </c>
      <c r="I93" s="830">
        <v>3</v>
      </c>
      <c r="J93" s="831"/>
      <c r="K93" s="825"/>
      <c r="L93" s="831"/>
      <c r="M93" s="832"/>
      <c r="Q93" s="588"/>
    </row>
    <row r="94" spans="1:17" ht="11.25" customHeight="1">
      <c r="A94" s="458" t="s">
        <v>364</v>
      </c>
      <c r="B94" s="502">
        <v>0.11</v>
      </c>
      <c r="C94" s="460">
        <v>0.95</v>
      </c>
      <c r="D94" s="720"/>
      <c r="E94" s="829"/>
      <c r="F94" s="720"/>
      <c r="G94" s="719"/>
      <c r="H94" s="569">
        <v>6.3E-2</v>
      </c>
      <c r="I94" s="830">
        <v>0.16</v>
      </c>
      <c r="J94" s="831"/>
      <c r="K94" s="825"/>
      <c r="L94" s="831"/>
      <c r="M94" s="832"/>
      <c r="Q94" s="588"/>
    </row>
    <row r="95" spans="1:17" ht="11.25" customHeight="1">
      <c r="A95" s="458" t="s">
        <v>344</v>
      </c>
      <c r="B95" s="502">
        <v>12</v>
      </c>
      <c r="C95" s="460">
        <v>210</v>
      </c>
      <c r="D95" s="720"/>
      <c r="E95" s="829"/>
      <c r="F95" s="720"/>
      <c r="G95" s="719"/>
      <c r="H95" s="569">
        <v>12</v>
      </c>
      <c r="I95" s="830">
        <v>210</v>
      </c>
      <c r="J95" s="831"/>
      <c r="K95" s="825"/>
      <c r="L95" s="831"/>
      <c r="M95" s="832"/>
      <c r="Q95" s="588"/>
    </row>
    <row r="96" spans="1:17" ht="11.25" customHeight="1">
      <c r="A96" s="458" t="s">
        <v>104</v>
      </c>
      <c r="B96" s="818"/>
      <c r="C96" s="799"/>
      <c r="D96" s="804">
        <v>17000</v>
      </c>
      <c r="E96" s="827" t="s">
        <v>1096</v>
      </c>
      <c r="F96" s="804">
        <v>137000</v>
      </c>
      <c r="G96" s="820" t="s">
        <v>1096</v>
      </c>
      <c r="H96" s="833"/>
      <c r="I96" s="834"/>
      <c r="J96" s="835">
        <v>17000</v>
      </c>
      <c r="K96" s="822" t="s">
        <v>1097</v>
      </c>
      <c r="L96" s="804">
        <v>137000</v>
      </c>
      <c r="M96" s="823" t="s">
        <v>1097</v>
      </c>
      <c r="Q96" s="588"/>
    </row>
    <row r="97" spans="1:17" ht="11.25" customHeight="1">
      <c r="A97" s="458" t="s">
        <v>345</v>
      </c>
      <c r="B97" s="502">
        <v>0.28000000000000003</v>
      </c>
      <c r="C97" s="460"/>
      <c r="D97" s="720"/>
      <c r="E97" s="827"/>
      <c r="F97" s="720">
        <v>300</v>
      </c>
      <c r="G97" s="719" t="s">
        <v>1031</v>
      </c>
      <c r="H97" s="591">
        <v>0.28000000000000003</v>
      </c>
      <c r="I97" s="460"/>
      <c r="J97" s="831"/>
      <c r="K97" s="825"/>
      <c r="L97" s="720">
        <v>300</v>
      </c>
      <c r="M97" s="790" t="s">
        <v>1031</v>
      </c>
      <c r="Q97" s="588"/>
    </row>
    <row r="98" spans="1:17" ht="11.25" customHeight="1">
      <c r="A98" s="458" t="s">
        <v>105</v>
      </c>
      <c r="B98" s="818">
        <v>920</v>
      </c>
      <c r="C98" s="799">
        <v>7500</v>
      </c>
      <c r="D98" s="804"/>
      <c r="E98" s="827"/>
      <c r="F98" s="804"/>
      <c r="G98" s="820"/>
      <c r="H98" s="833"/>
      <c r="I98" s="834"/>
      <c r="J98" s="804">
        <v>920</v>
      </c>
      <c r="K98" s="827" t="s">
        <v>1091</v>
      </c>
      <c r="L98" s="804">
        <v>7500</v>
      </c>
      <c r="M98" s="823" t="s">
        <v>1091</v>
      </c>
      <c r="Q98" s="588"/>
    </row>
    <row r="99" spans="1:17" ht="11.25" customHeight="1">
      <c r="A99" s="458" t="s">
        <v>346</v>
      </c>
      <c r="B99" s="502">
        <v>2.5</v>
      </c>
      <c r="C99" s="460">
        <v>65</v>
      </c>
      <c r="D99" s="720"/>
      <c r="E99" s="829"/>
      <c r="F99" s="720"/>
      <c r="G99" s="719"/>
      <c r="H99" s="569">
        <v>8.1</v>
      </c>
      <c r="I99" s="830">
        <v>210</v>
      </c>
      <c r="J99" s="831"/>
      <c r="K99" s="825"/>
      <c r="L99" s="831"/>
      <c r="M99" s="832"/>
      <c r="Q99" s="588"/>
    </row>
    <row r="100" spans="1:17" ht="11.25" customHeight="1">
      <c r="A100" s="458" t="s">
        <v>347</v>
      </c>
      <c r="B100" s="502">
        <v>0.77</v>
      </c>
      <c r="C100" s="460">
        <v>1.4</v>
      </c>
      <c r="D100" s="720"/>
      <c r="E100" s="829"/>
      <c r="F100" s="720"/>
      <c r="G100" s="719"/>
      <c r="H100" s="569">
        <v>0.94</v>
      </c>
      <c r="I100" s="830">
        <v>1.8</v>
      </c>
      <c r="J100" s="831"/>
      <c r="K100" s="825"/>
      <c r="L100" s="831"/>
      <c r="M100" s="832"/>
      <c r="Q100" s="588"/>
    </row>
    <row r="101" spans="1:17" ht="11.25" customHeight="1">
      <c r="A101" s="458" t="s">
        <v>348</v>
      </c>
      <c r="B101" s="502">
        <v>0.03</v>
      </c>
      <c r="C101" s="460">
        <v>0.7</v>
      </c>
      <c r="D101" s="720"/>
      <c r="E101" s="829"/>
      <c r="F101" s="720"/>
      <c r="G101" s="719"/>
      <c r="H101" s="569">
        <v>1.9E-2</v>
      </c>
      <c r="I101" s="830"/>
      <c r="J101" s="831"/>
      <c r="K101" s="825"/>
      <c r="L101" s="720">
        <v>0.7</v>
      </c>
      <c r="M101" s="823" t="s">
        <v>1091</v>
      </c>
      <c r="Q101" s="588"/>
    </row>
    <row r="102" spans="1:17" ht="11.25" customHeight="1">
      <c r="A102" s="458" t="s">
        <v>350</v>
      </c>
      <c r="B102" s="502">
        <v>22000</v>
      </c>
      <c r="C102" s="460">
        <v>200000</v>
      </c>
      <c r="D102" s="720"/>
      <c r="E102" s="829"/>
      <c r="F102" s="720"/>
      <c r="G102" s="719"/>
      <c r="H102" s="569">
        <v>14000</v>
      </c>
      <c r="I102" s="830">
        <v>240000</v>
      </c>
      <c r="J102" s="831"/>
      <c r="K102" s="825"/>
      <c r="L102" s="831"/>
      <c r="M102" s="832"/>
      <c r="Q102" s="588"/>
    </row>
    <row r="103" spans="1:17" ht="11.25" customHeight="1">
      <c r="A103" s="458" t="s">
        <v>351</v>
      </c>
      <c r="B103" s="502">
        <v>170</v>
      </c>
      <c r="C103" s="460">
        <v>2200</v>
      </c>
      <c r="D103" s="720"/>
      <c r="E103" s="829"/>
      <c r="F103" s="720"/>
      <c r="G103" s="719"/>
      <c r="H103" s="591">
        <v>170</v>
      </c>
      <c r="I103" s="460">
        <v>2200</v>
      </c>
      <c r="J103" s="720"/>
      <c r="K103" s="743"/>
      <c r="L103" s="720"/>
      <c r="M103" s="790"/>
      <c r="Q103" s="588"/>
    </row>
    <row r="104" spans="1:17" ht="11.25" customHeight="1">
      <c r="A104" s="458" t="s">
        <v>352</v>
      </c>
      <c r="B104" s="502">
        <v>2.8E-3</v>
      </c>
      <c r="C104" s="460">
        <v>9.9000000000000005E-2</v>
      </c>
      <c r="D104" s="720"/>
      <c r="E104" s="829"/>
      <c r="F104" s="720"/>
      <c r="G104" s="719"/>
      <c r="H104" s="591">
        <v>2.8E-3</v>
      </c>
      <c r="I104" s="460">
        <v>9.9000000000000005E-2</v>
      </c>
      <c r="J104" s="720"/>
      <c r="K104" s="743"/>
      <c r="L104" s="720"/>
      <c r="M104" s="790"/>
      <c r="Q104" s="588"/>
    </row>
    <row r="105" spans="1:17" ht="11.25" customHeight="1">
      <c r="A105" s="458" t="s">
        <v>353</v>
      </c>
      <c r="B105" s="502">
        <v>730</v>
      </c>
      <c r="C105" s="460">
        <v>6500</v>
      </c>
      <c r="D105" s="720"/>
      <c r="E105" s="829"/>
      <c r="F105" s="720"/>
      <c r="G105" s="719"/>
      <c r="H105" s="591">
        <v>18000</v>
      </c>
      <c r="I105" s="460">
        <v>53000</v>
      </c>
      <c r="J105" s="720"/>
      <c r="K105" s="743"/>
      <c r="L105" s="720"/>
      <c r="M105" s="790"/>
      <c r="Q105" s="588"/>
    </row>
    <row r="106" spans="1:17" ht="11.25" customHeight="1">
      <c r="A106" s="458" t="s">
        <v>349</v>
      </c>
      <c r="B106" s="502">
        <v>1500</v>
      </c>
      <c r="C106" s="460">
        <v>8500</v>
      </c>
      <c r="D106" s="720"/>
      <c r="E106" s="829"/>
      <c r="F106" s="720"/>
      <c r="G106" s="719"/>
      <c r="H106" s="591">
        <v>2200</v>
      </c>
      <c r="I106" s="460">
        <v>26000</v>
      </c>
      <c r="J106" s="720"/>
      <c r="K106" s="743"/>
      <c r="L106" s="720"/>
      <c r="M106" s="790"/>
      <c r="Q106" s="588"/>
    </row>
    <row r="107" spans="1:17" ht="11.25" customHeight="1">
      <c r="A107" s="458" t="s">
        <v>590</v>
      </c>
      <c r="B107" s="502">
        <v>2.1</v>
      </c>
      <c r="C107" s="460">
        <v>37</v>
      </c>
      <c r="D107" s="720"/>
      <c r="E107" s="829"/>
      <c r="F107" s="720"/>
      <c r="G107" s="719"/>
      <c r="H107" s="591">
        <v>2.1</v>
      </c>
      <c r="I107" s="460">
        <v>37</v>
      </c>
      <c r="J107" s="720"/>
      <c r="K107" s="743"/>
      <c r="L107" s="720"/>
      <c r="M107" s="790"/>
      <c r="Q107" s="588"/>
    </row>
    <row r="108" spans="1:17" ht="11.25" customHeight="1">
      <c r="A108" s="458" t="s">
        <v>591</v>
      </c>
      <c r="B108" s="502">
        <v>4.7</v>
      </c>
      <c r="C108" s="460">
        <v>42</v>
      </c>
      <c r="D108" s="720"/>
      <c r="E108" s="829"/>
      <c r="F108" s="720"/>
      <c r="G108" s="719"/>
      <c r="H108" s="591">
        <v>72</v>
      </c>
      <c r="I108" s="460">
        <v>86</v>
      </c>
      <c r="J108" s="720"/>
      <c r="K108" s="743"/>
      <c r="L108" s="720"/>
      <c r="M108" s="790"/>
      <c r="Q108" s="588"/>
    </row>
    <row r="109" spans="1:17" ht="11.25" customHeight="1">
      <c r="A109" s="458" t="s">
        <v>465</v>
      </c>
      <c r="B109" s="502">
        <v>800</v>
      </c>
      <c r="C109" s="460">
        <v>7200</v>
      </c>
      <c r="D109" s="720"/>
      <c r="E109" s="829"/>
      <c r="F109" s="720"/>
      <c r="G109" s="719"/>
      <c r="H109" s="591">
        <v>370</v>
      </c>
      <c r="I109" s="460">
        <v>16000</v>
      </c>
      <c r="J109" s="720"/>
      <c r="K109" s="743"/>
      <c r="L109" s="720"/>
      <c r="M109" s="790"/>
      <c r="Q109" s="588"/>
    </row>
    <row r="110" spans="1:17" ht="11.25" customHeight="1">
      <c r="A110" s="458" t="s">
        <v>466</v>
      </c>
      <c r="B110" s="502">
        <v>21</v>
      </c>
      <c r="C110" s="460">
        <v>170</v>
      </c>
      <c r="D110" s="720"/>
      <c r="E110" s="829"/>
      <c r="F110" s="720"/>
      <c r="G110" s="719"/>
      <c r="H110" s="591">
        <v>12</v>
      </c>
      <c r="I110" s="460">
        <v>190</v>
      </c>
      <c r="J110" s="720"/>
      <c r="K110" s="743"/>
      <c r="L110" s="720"/>
      <c r="M110" s="790"/>
      <c r="Q110" s="588"/>
    </row>
    <row r="111" spans="1:17" ht="11.25" customHeight="1">
      <c r="A111" s="458" t="s">
        <v>812</v>
      </c>
      <c r="B111" s="502">
        <v>52</v>
      </c>
      <c r="C111" s="460">
        <v>470</v>
      </c>
      <c r="D111" s="720"/>
      <c r="E111" s="829"/>
      <c r="F111" s="720"/>
      <c r="G111" s="719"/>
      <c r="H111" s="591">
        <v>8.1999999999999993</v>
      </c>
      <c r="I111" s="460">
        <v>74</v>
      </c>
      <c r="J111" s="720"/>
      <c r="K111" s="743"/>
      <c r="L111" s="720"/>
      <c r="M111" s="790"/>
      <c r="Q111" s="588"/>
    </row>
    <row r="112" spans="1:17" ht="11.25" customHeight="1">
      <c r="A112" s="462" t="s">
        <v>106</v>
      </c>
      <c r="B112" s="818">
        <v>380</v>
      </c>
      <c r="C112" s="799">
        <v>2000</v>
      </c>
      <c r="D112" s="804"/>
      <c r="E112" s="827"/>
      <c r="F112" s="804"/>
      <c r="G112" s="820"/>
      <c r="H112" s="821"/>
      <c r="I112" s="799">
        <v>2000</v>
      </c>
      <c r="J112" s="804">
        <v>380</v>
      </c>
      <c r="K112" s="827" t="s">
        <v>1091</v>
      </c>
      <c r="L112" s="804"/>
      <c r="M112" s="823"/>
      <c r="Q112" s="588"/>
    </row>
    <row r="113" spans="1:17" ht="11.25" customHeight="1">
      <c r="A113" s="462" t="s">
        <v>107</v>
      </c>
      <c r="B113" s="818">
        <v>18</v>
      </c>
      <c r="C113" s="799">
        <v>160</v>
      </c>
      <c r="D113" s="804"/>
      <c r="E113" s="827"/>
      <c r="F113" s="804"/>
      <c r="G113" s="820"/>
      <c r="H113" s="821"/>
      <c r="I113" s="799"/>
      <c r="J113" s="804">
        <v>18</v>
      </c>
      <c r="K113" s="827" t="s">
        <v>1091</v>
      </c>
      <c r="L113" s="804">
        <v>160</v>
      </c>
      <c r="M113" s="823" t="s">
        <v>1091</v>
      </c>
      <c r="Q113" s="588"/>
    </row>
    <row r="114" spans="1:17" ht="11.25" customHeight="1">
      <c r="A114" s="462" t="s">
        <v>108</v>
      </c>
      <c r="B114" s="818">
        <v>71</v>
      </c>
      <c r="C114" s="799">
        <v>640</v>
      </c>
      <c r="D114" s="804"/>
      <c r="E114" s="840"/>
      <c r="F114" s="804"/>
      <c r="G114" s="841"/>
      <c r="H114" s="821"/>
      <c r="I114" s="799"/>
      <c r="J114" s="804">
        <v>71</v>
      </c>
      <c r="K114" s="827" t="s">
        <v>1091</v>
      </c>
      <c r="L114" s="804">
        <v>640</v>
      </c>
      <c r="M114" s="823" t="s">
        <v>1091</v>
      </c>
      <c r="Q114" s="588"/>
    </row>
    <row r="115" spans="1:17" ht="11.25" customHeight="1">
      <c r="A115" s="462" t="s">
        <v>109</v>
      </c>
      <c r="B115" s="818">
        <v>42</v>
      </c>
      <c r="C115" s="799">
        <v>380</v>
      </c>
      <c r="D115" s="804"/>
      <c r="E115" s="827"/>
      <c r="F115" s="804"/>
      <c r="G115" s="820"/>
      <c r="H115" s="821"/>
      <c r="I115" s="799"/>
      <c r="J115" s="804">
        <v>42</v>
      </c>
      <c r="K115" s="827" t="s">
        <v>1091</v>
      </c>
      <c r="L115" s="804">
        <v>380</v>
      </c>
      <c r="M115" s="823" t="s">
        <v>1091</v>
      </c>
      <c r="Q115" s="588"/>
    </row>
    <row r="116" spans="1:17" ht="11.25" customHeight="1">
      <c r="A116" s="462" t="s">
        <v>110</v>
      </c>
      <c r="B116" s="818">
        <v>46</v>
      </c>
      <c r="C116" s="799">
        <v>410</v>
      </c>
      <c r="D116" s="804"/>
      <c r="E116" s="827"/>
      <c r="F116" s="804"/>
      <c r="G116" s="820"/>
      <c r="H116" s="821"/>
      <c r="I116" s="799"/>
      <c r="J116" s="804">
        <v>46</v>
      </c>
      <c r="K116" s="827" t="s">
        <v>1091</v>
      </c>
      <c r="L116" s="804">
        <v>410</v>
      </c>
      <c r="M116" s="823" t="s">
        <v>1091</v>
      </c>
      <c r="Q116" s="588"/>
    </row>
    <row r="117" spans="1:17" ht="11.25" customHeight="1">
      <c r="A117" s="458" t="s">
        <v>467</v>
      </c>
      <c r="B117" s="502">
        <v>15</v>
      </c>
      <c r="C117" s="460">
        <v>19</v>
      </c>
      <c r="D117" s="720"/>
      <c r="E117" s="829"/>
      <c r="F117" s="720"/>
      <c r="G117" s="719"/>
      <c r="H117" s="591">
        <v>7.9</v>
      </c>
      <c r="I117" s="460">
        <v>13</v>
      </c>
      <c r="J117" s="720"/>
      <c r="K117" s="743"/>
      <c r="L117" s="720"/>
      <c r="M117" s="790"/>
      <c r="Q117" s="588"/>
    </row>
    <row r="118" spans="1:17" ht="11.25" customHeight="1">
      <c r="A118" s="462" t="s">
        <v>111</v>
      </c>
      <c r="B118" s="818"/>
      <c r="C118" s="799"/>
      <c r="D118" s="804">
        <v>850000</v>
      </c>
      <c r="E118" s="827" t="s">
        <v>1130</v>
      </c>
      <c r="F118" s="804">
        <v>850000</v>
      </c>
      <c r="G118" s="820" t="s">
        <v>1130</v>
      </c>
      <c r="H118" s="821"/>
      <c r="I118" s="799"/>
      <c r="J118" s="804">
        <v>850000</v>
      </c>
      <c r="K118" s="827" t="s">
        <v>1130</v>
      </c>
      <c r="L118" s="804">
        <v>850000</v>
      </c>
      <c r="M118" s="823" t="s">
        <v>1130</v>
      </c>
      <c r="Q118" s="588"/>
    </row>
    <row r="119" spans="1:17" ht="11.25" customHeight="1">
      <c r="A119" s="458" t="s">
        <v>231</v>
      </c>
      <c r="B119" s="502"/>
      <c r="C119" s="460"/>
      <c r="D119" s="460">
        <v>600</v>
      </c>
      <c r="E119" s="829" t="s">
        <v>1118</v>
      </c>
      <c r="F119" s="720">
        <v>5000</v>
      </c>
      <c r="G119" s="719" t="s">
        <v>1118</v>
      </c>
      <c r="H119" s="591"/>
      <c r="I119" s="460"/>
      <c r="J119" s="460">
        <v>600</v>
      </c>
      <c r="K119" s="829" t="s">
        <v>1118</v>
      </c>
      <c r="L119" s="720">
        <v>5000</v>
      </c>
      <c r="M119" s="790" t="s">
        <v>1118</v>
      </c>
      <c r="Q119" s="588"/>
    </row>
    <row r="120" spans="1:17" ht="11.25" customHeight="1">
      <c r="A120" s="458" t="s">
        <v>468</v>
      </c>
      <c r="B120" s="502">
        <v>2.2999999999999998</v>
      </c>
      <c r="C120" s="460"/>
      <c r="D120" s="720"/>
      <c r="E120" s="829"/>
      <c r="F120" s="720">
        <v>300</v>
      </c>
      <c r="G120" s="719" t="s">
        <v>1031</v>
      </c>
      <c r="H120" s="591">
        <v>4.5999999999999996</v>
      </c>
      <c r="I120" s="460"/>
      <c r="J120" s="720"/>
      <c r="K120" s="743"/>
      <c r="L120" s="720">
        <v>300</v>
      </c>
      <c r="M120" s="790" t="s">
        <v>1031</v>
      </c>
      <c r="Q120" s="588"/>
    </row>
    <row r="121" spans="1:17" ht="11.25" customHeight="1">
      <c r="A121" s="458" t="s">
        <v>469</v>
      </c>
      <c r="B121" s="502">
        <v>160</v>
      </c>
      <c r="C121" s="460">
        <v>4700</v>
      </c>
      <c r="D121" s="720"/>
      <c r="E121" s="829"/>
      <c r="F121" s="720"/>
      <c r="G121" s="719"/>
      <c r="H121" s="591">
        <v>58</v>
      </c>
      <c r="I121" s="460">
        <v>300</v>
      </c>
      <c r="J121" s="720"/>
      <c r="K121" s="743"/>
      <c r="L121" s="720"/>
      <c r="M121" s="790"/>
      <c r="Q121" s="588"/>
    </row>
    <row r="122" spans="1:17" ht="11.25" customHeight="1">
      <c r="A122" s="458" t="s">
        <v>365</v>
      </c>
      <c r="B122" s="502">
        <v>7.3999999999999996E-5</v>
      </c>
      <c r="C122" s="460">
        <v>1.4E-2</v>
      </c>
      <c r="D122" s="460"/>
      <c r="E122" s="829"/>
      <c r="F122" s="720"/>
      <c r="G122" s="719"/>
      <c r="H122" s="591"/>
      <c r="I122" s="460"/>
      <c r="J122" s="460">
        <v>7.3999999999999996E-5</v>
      </c>
      <c r="K122" s="827" t="s">
        <v>1091</v>
      </c>
      <c r="L122" s="460">
        <v>1.4E-2</v>
      </c>
      <c r="M122" s="823" t="s">
        <v>1091</v>
      </c>
      <c r="Q122" s="588"/>
    </row>
    <row r="123" spans="1:17" ht="11.25" customHeight="1">
      <c r="A123" s="458" t="s">
        <v>112</v>
      </c>
      <c r="B123" s="818"/>
      <c r="C123" s="799"/>
      <c r="D123" s="804">
        <v>95</v>
      </c>
      <c r="E123" s="827" t="s">
        <v>1096</v>
      </c>
      <c r="F123" s="804">
        <v>425</v>
      </c>
      <c r="G123" s="820" t="s">
        <v>1096</v>
      </c>
      <c r="H123" s="821"/>
      <c r="I123" s="799"/>
      <c r="J123" s="804">
        <v>95</v>
      </c>
      <c r="K123" s="822" t="s">
        <v>1097</v>
      </c>
      <c r="L123" s="804">
        <v>425</v>
      </c>
      <c r="M123" s="823" t="s">
        <v>1097</v>
      </c>
      <c r="Q123" s="588"/>
    </row>
    <row r="124" spans="1:17" ht="11.25" customHeight="1">
      <c r="A124" s="458" t="s">
        <v>470</v>
      </c>
      <c r="B124" s="502">
        <v>4.5999999999999996</v>
      </c>
      <c r="C124" s="460"/>
      <c r="D124" s="720"/>
      <c r="E124" s="829"/>
      <c r="F124" s="720">
        <v>300</v>
      </c>
      <c r="G124" s="719" t="s">
        <v>1031</v>
      </c>
      <c r="H124" s="591">
        <v>10</v>
      </c>
      <c r="I124" s="460"/>
      <c r="J124" s="720"/>
      <c r="K124" s="743"/>
      <c r="L124" s="720">
        <v>300</v>
      </c>
      <c r="M124" s="790" t="s">
        <v>1031</v>
      </c>
      <c r="Q124" s="588"/>
    </row>
    <row r="125" spans="1:17" ht="11.25" customHeight="1">
      <c r="A125" s="458" t="s">
        <v>471</v>
      </c>
      <c r="B125" s="502">
        <v>5</v>
      </c>
      <c r="C125" s="460">
        <v>20</v>
      </c>
      <c r="D125" s="720"/>
      <c r="E125" s="829"/>
      <c r="F125" s="720"/>
      <c r="G125" s="719"/>
      <c r="H125" s="591">
        <v>71</v>
      </c>
      <c r="I125" s="460">
        <v>290</v>
      </c>
      <c r="J125" s="720"/>
      <c r="K125" s="743"/>
      <c r="L125" s="720"/>
      <c r="M125" s="790"/>
      <c r="Q125" s="588"/>
    </row>
    <row r="126" spans="1:17" ht="11.25" customHeight="1">
      <c r="A126" s="458" t="s">
        <v>813</v>
      </c>
      <c r="B126" s="502">
        <v>0.06</v>
      </c>
      <c r="C126" s="460">
        <v>3.2</v>
      </c>
      <c r="D126" s="720"/>
      <c r="E126" s="829"/>
      <c r="F126" s="720"/>
      <c r="G126" s="719"/>
      <c r="H126" s="591">
        <v>0.1</v>
      </c>
      <c r="I126" s="460">
        <v>1.9</v>
      </c>
      <c r="J126" s="720"/>
      <c r="K126" s="743"/>
      <c r="L126" s="720"/>
      <c r="M126" s="790"/>
      <c r="Q126" s="588"/>
    </row>
    <row r="127" spans="1:17" ht="11.25" customHeight="1">
      <c r="A127" s="458" t="s">
        <v>113</v>
      </c>
      <c r="B127" s="818">
        <v>9</v>
      </c>
      <c r="C127" s="799">
        <v>80</v>
      </c>
      <c r="D127" s="804"/>
      <c r="E127" s="827"/>
      <c r="F127" s="804"/>
      <c r="G127" s="820"/>
      <c r="H127" s="821"/>
      <c r="I127" s="799"/>
      <c r="J127" s="804">
        <v>9</v>
      </c>
      <c r="K127" s="827" t="s">
        <v>1091</v>
      </c>
      <c r="L127" s="804">
        <v>80</v>
      </c>
      <c r="M127" s="790" t="s">
        <v>1091</v>
      </c>
      <c r="Q127" s="588"/>
    </row>
    <row r="128" spans="1:17" ht="11.25" customHeight="1">
      <c r="A128" s="458" t="s">
        <v>472</v>
      </c>
      <c r="B128" s="502">
        <v>32</v>
      </c>
      <c r="C128" s="460">
        <v>290</v>
      </c>
      <c r="D128" s="720"/>
      <c r="E128" s="827"/>
      <c r="F128" s="720"/>
      <c r="G128" s="719"/>
      <c r="H128" s="591"/>
      <c r="I128" s="460"/>
      <c r="J128" s="720">
        <v>32</v>
      </c>
      <c r="K128" s="827" t="s">
        <v>1091</v>
      </c>
      <c r="L128" s="720">
        <v>290</v>
      </c>
      <c r="M128" s="790" t="s">
        <v>1091</v>
      </c>
      <c r="Q128" s="588"/>
    </row>
    <row r="129" spans="1:17" ht="11.25" customHeight="1">
      <c r="A129" s="458" t="s">
        <v>114</v>
      </c>
      <c r="B129" s="818"/>
      <c r="C129" s="799"/>
      <c r="D129" s="804">
        <v>1200</v>
      </c>
      <c r="E129" s="827" t="s">
        <v>1096</v>
      </c>
      <c r="F129" s="804">
        <v>23100</v>
      </c>
      <c r="G129" s="820" t="s">
        <v>1096</v>
      </c>
      <c r="H129" s="821"/>
      <c r="I129" s="799"/>
      <c r="J129" s="804"/>
      <c r="K129" s="840"/>
      <c r="L129" s="804"/>
      <c r="M129" s="823"/>
      <c r="Q129" s="588"/>
    </row>
    <row r="130" spans="1:17" ht="11.25" customHeight="1">
      <c r="A130" s="458" t="s">
        <v>19</v>
      </c>
      <c r="B130" s="502"/>
      <c r="C130" s="460"/>
      <c r="D130" s="720">
        <v>18000</v>
      </c>
      <c r="E130" s="829" t="s">
        <v>1113</v>
      </c>
      <c r="F130" s="720">
        <v>180000</v>
      </c>
      <c r="G130" s="719" t="s">
        <v>1112</v>
      </c>
      <c r="H130" s="591"/>
      <c r="I130" s="460"/>
      <c r="J130" s="720">
        <v>18000</v>
      </c>
      <c r="K130" s="829" t="s">
        <v>1113</v>
      </c>
      <c r="L130" s="720">
        <v>180000</v>
      </c>
      <c r="M130" s="828" t="s">
        <v>1112</v>
      </c>
      <c r="Q130" s="588"/>
    </row>
    <row r="131" spans="1:17" ht="11.25" customHeight="1">
      <c r="A131" s="458" t="s">
        <v>473</v>
      </c>
      <c r="B131" s="502">
        <v>85</v>
      </c>
      <c r="C131" s="460">
        <v>770</v>
      </c>
      <c r="D131" s="720"/>
      <c r="E131" s="829"/>
      <c r="F131" s="720"/>
      <c r="G131" s="719"/>
      <c r="H131" s="591">
        <v>10.8</v>
      </c>
      <c r="I131" s="460"/>
      <c r="J131" s="720"/>
      <c r="K131" s="743"/>
      <c r="L131" s="720">
        <v>770</v>
      </c>
      <c r="M131" s="790" t="s">
        <v>1091</v>
      </c>
      <c r="Q131" s="588"/>
    </row>
    <row r="132" spans="1:17" ht="11.25" customHeight="1">
      <c r="A132" s="458" t="s">
        <v>474</v>
      </c>
      <c r="B132" s="502">
        <v>200</v>
      </c>
      <c r="C132" s="460">
        <v>910</v>
      </c>
      <c r="D132" s="720"/>
      <c r="E132" s="829"/>
      <c r="F132" s="720"/>
      <c r="G132" s="719"/>
      <c r="H132" s="591">
        <v>610</v>
      </c>
      <c r="I132" s="460">
        <v>2100</v>
      </c>
      <c r="J132" s="720"/>
      <c r="K132" s="743"/>
      <c r="L132" s="720"/>
      <c r="M132" s="790"/>
      <c r="Q132" s="588"/>
    </row>
    <row r="133" spans="1:17" ht="11.25" customHeight="1">
      <c r="A133" s="458" t="s">
        <v>475</v>
      </c>
      <c r="B133" s="502">
        <v>53</v>
      </c>
      <c r="C133" s="460">
        <v>430</v>
      </c>
      <c r="D133" s="720"/>
      <c r="E133" s="829"/>
      <c r="F133" s="720"/>
      <c r="G133" s="719"/>
      <c r="H133" s="591">
        <v>98</v>
      </c>
      <c r="I133" s="460">
        <v>830</v>
      </c>
      <c r="J133" s="720"/>
      <c r="K133" s="743"/>
      <c r="L133" s="720"/>
      <c r="M133" s="790"/>
      <c r="Q133" s="588"/>
    </row>
    <row r="134" spans="1:17" ht="11.25" customHeight="1">
      <c r="A134" s="458" t="s">
        <v>115</v>
      </c>
      <c r="B134" s="818">
        <v>1.2</v>
      </c>
      <c r="C134" s="799">
        <v>11</v>
      </c>
      <c r="D134" s="804"/>
      <c r="E134" s="827"/>
      <c r="F134" s="804"/>
      <c r="G134" s="820"/>
      <c r="H134" s="821"/>
      <c r="I134" s="799"/>
      <c r="J134" s="804">
        <v>1.2</v>
      </c>
      <c r="K134" s="827" t="s">
        <v>1091</v>
      </c>
      <c r="L134" s="804">
        <v>11</v>
      </c>
      <c r="M134" s="790" t="s">
        <v>1091</v>
      </c>
      <c r="Q134" s="588"/>
    </row>
    <row r="135" spans="1:17" ht="11.25" customHeight="1">
      <c r="A135" s="462" t="s">
        <v>116</v>
      </c>
      <c r="B135" s="818">
        <v>220</v>
      </c>
      <c r="C135" s="799">
        <v>1200</v>
      </c>
      <c r="D135" s="804"/>
      <c r="E135" s="827"/>
      <c r="F135" s="804"/>
      <c r="G135" s="820"/>
      <c r="H135" s="821">
        <v>330</v>
      </c>
      <c r="I135" s="799">
        <v>1880</v>
      </c>
      <c r="J135" s="804"/>
      <c r="K135" s="840"/>
      <c r="L135" s="804"/>
      <c r="M135" s="823"/>
      <c r="Q135" s="588"/>
    </row>
    <row r="136" spans="1:17" ht="11.25" customHeight="1">
      <c r="A136" s="458" t="s">
        <v>476</v>
      </c>
      <c r="B136" s="502">
        <v>6</v>
      </c>
      <c r="C136" s="460">
        <v>54</v>
      </c>
      <c r="D136" s="720"/>
      <c r="E136" s="829"/>
      <c r="F136" s="720"/>
      <c r="G136" s="719"/>
      <c r="H136" s="591">
        <v>12</v>
      </c>
      <c r="I136" s="460">
        <v>110</v>
      </c>
      <c r="J136" s="720"/>
      <c r="K136" s="743"/>
      <c r="L136" s="720"/>
      <c r="M136" s="790"/>
      <c r="Q136" s="588"/>
    </row>
    <row r="137" spans="1:17" ht="11.25" customHeight="1">
      <c r="A137" s="458" t="s">
        <v>366</v>
      </c>
      <c r="B137" s="502">
        <v>62</v>
      </c>
      <c r="C137" s="460">
        <v>560</v>
      </c>
      <c r="D137" s="720"/>
      <c r="E137" s="829"/>
      <c r="F137" s="720"/>
      <c r="G137" s="719"/>
      <c r="H137" s="591">
        <v>9.8000000000000007</v>
      </c>
      <c r="I137" s="460">
        <v>120</v>
      </c>
      <c r="J137" s="720"/>
      <c r="K137" s="743"/>
      <c r="L137" s="720"/>
      <c r="M137" s="790"/>
      <c r="Q137" s="588"/>
    </row>
    <row r="138" spans="1:17" ht="11.25" customHeight="1">
      <c r="A138" s="458" t="s">
        <v>20</v>
      </c>
      <c r="B138" s="502">
        <v>2.0000000000000001E-4</v>
      </c>
      <c r="C138" s="460">
        <v>0.73</v>
      </c>
      <c r="D138" s="720"/>
      <c r="E138" s="829"/>
      <c r="F138" s="720"/>
      <c r="G138" s="719"/>
      <c r="H138" s="591">
        <v>2.0000000000000001E-4</v>
      </c>
      <c r="I138" s="460">
        <v>0.21</v>
      </c>
      <c r="J138" s="720"/>
      <c r="K138" s="827"/>
      <c r="L138" s="720"/>
      <c r="M138" s="790"/>
      <c r="Q138" s="588"/>
    </row>
    <row r="139" spans="1:17" ht="11.25" customHeight="1">
      <c r="A139" s="458" t="s">
        <v>57</v>
      </c>
      <c r="B139" s="502"/>
      <c r="C139" s="460"/>
      <c r="D139" s="720">
        <v>500</v>
      </c>
      <c r="E139" s="829" t="s">
        <v>1099</v>
      </c>
      <c r="F139" s="720">
        <v>5000</v>
      </c>
      <c r="G139" s="719" t="s">
        <v>769</v>
      </c>
      <c r="H139" s="591"/>
      <c r="I139" s="460"/>
      <c r="J139" s="720">
        <v>3700</v>
      </c>
      <c r="K139" s="743" t="s">
        <v>1101</v>
      </c>
      <c r="L139" s="720">
        <v>5000</v>
      </c>
      <c r="M139" s="790" t="s">
        <v>769</v>
      </c>
      <c r="Q139" s="588"/>
    </row>
    <row r="140" spans="1:17" ht="11.25" customHeight="1">
      <c r="A140" s="458" t="s">
        <v>56</v>
      </c>
      <c r="B140" s="502"/>
      <c r="C140" s="460"/>
      <c r="D140" s="720">
        <v>640</v>
      </c>
      <c r="E140" s="829" t="s">
        <v>1099</v>
      </c>
      <c r="F140" s="720">
        <v>2500</v>
      </c>
      <c r="G140" s="719" t="s">
        <v>769</v>
      </c>
      <c r="H140" s="591"/>
      <c r="I140" s="460"/>
      <c r="J140" s="720">
        <v>640</v>
      </c>
      <c r="K140" s="829" t="s">
        <v>1102</v>
      </c>
      <c r="L140" s="720">
        <v>2500</v>
      </c>
      <c r="M140" s="790" t="s">
        <v>769</v>
      </c>
      <c r="Q140" s="588"/>
    </row>
    <row r="141" spans="1:17" ht="11.25" customHeight="1">
      <c r="A141" s="458" t="s">
        <v>777</v>
      </c>
      <c r="B141" s="502"/>
      <c r="C141" s="460"/>
      <c r="D141" s="720">
        <v>640</v>
      </c>
      <c r="E141" s="829" t="s">
        <v>1100</v>
      </c>
      <c r="F141" s="720">
        <v>2500</v>
      </c>
      <c r="G141" s="719" t="s">
        <v>769</v>
      </c>
      <c r="H141" s="591"/>
      <c r="I141" s="460"/>
      <c r="J141" s="720">
        <v>640</v>
      </c>
      <c r="K141" s="829" t="s">
        <v>1102</v>
      </c>
      <c r="L141" s="720">
        <v>2500</v>
      </c>
      <c r="M141" s="790" t="s">
        <v>769</v>
      </c>
      <c r="Q141" s="588"/>
    </row>
    <row r="142" spans="1:17" ht="11.25" customHeight="1">
      <c r="A142" s="458" t="s">
        <v>814</v>
      </c>
      <c r="B142" s="502">
        <v>130</v>
      </c>
      <c r="C142" s="460">
        <v>420</v>
      </c>
      <c r="D142" s="720"/>
      <c r="E142" s="829"/>
      <c r="F142" s="720"/>
      <c r="G142" s="719"/>
      <c r="H142" s="591">
        <v>110</v>
      </c>
      <c r="I142" s="460">
        <v>700</v>
      </c>
      <c r="J142" s="720"/>
      <c r="K142" s="743"/>
      <c r="L142" s="720"/>
      <c r="M142" s="790"/>
      <c r="Q142" s="588"/>
    </row>
    <row r="143" spans="1:17" ht="11.25" customHeight="1">
      <c r="A143" s="458" t="s">
        <v>815</v>
      </c>
      <c r="B143" s="502">
        <v>76</v>
      </c>
      <c r="C143" s="460">
        <v>690</v>
      </c>
      <c r="D143" s="720"/>
      <c r="E143" s="829"/>
      <c r="F143" s="720"/>
      <c r="G143" s="719"/>
      <c r="H143" s="591">
        <v>11</v>
      </c>
      <c r="I143" s="460">
        <v>200</v>
      </c>
      <c r="J143" s="720"/>
      <c r="K143" s="743"/>
      <c r="L143" s="720"/>
      <c r="M143" s="790"/>
      <c r="Q143" s="588"/>
    </row>
    <row r="144" spans="1:17" ht="11.25" customHeight="1">
      <c r="A144" s="458" t="s">
        <v>477</v>
      </c>
      <c r="B144" s="502">
        <v>730</v>
      </c>
      <c r="C144" s="460">
        <v>3200</v>
      </c>
      <c r="D144" s="720"/>
      <c r="E144" s="829"/>
      <c r="F144" s="720"/>
      <c r="G144" s="719"/>
      <c r="H144" s="591">
        <v>1200</v>
      </c>
      <c r="I144" s="460">
        <v>5200</v>
      </c>
      <c r="J144" s="720"/>
      <c r="K144" s="743"/>
      <c r="L144" s="720"/>
      <c r="M144" s="790"/>
      <c r="Q144" s="588"/>
    </row>
    <row r="145" spans="1:17" ht="11.25" customHeight="1">
      <c r="A145" s="458" t="s">
        <v>478</v>
      </c>
      <c r="B145" s="502">
        <v>200</v>
      </c>
      <c r="C145" s="460">
        <v>2000</v>
      </c>
      <c r="D145" s="720"/>
      <c r="E145" s="829"/>
      <c r="F145" s="720"/>
      <c r="G145" s="719"/>
      <c r="H145" s="591">
        <v>47</v>
      </c>
      <c r="I145" s="460">
        <v>440</v>
      </c>
      <c r="J145" s="720"/>
      <c r="K145" s="743"/>
      <c r="L145" s="720"/>
      <c r="M145" s="790"/>
      <c r="Q145" s="588"/>
    </row>
    <row r="146" spans="1:17" ht="11.25" customHeight="1">
      <c r="A146" s="458" t="s">
        <v>479</v>
      </c>
      <c r="B146" s="502">
        <v>1.9</v>
      </c>
      <c r="C146" s="460">
        <v>17</v>
      </c>
      <c r="D146" s="720"/>
      <c r="E146" s="829"/>
      <c r="F146" s="720"/>
      <c r="G146" s="719"/>
      <c r="H146" s="591">
        <v>12</v>
      </c>
      <c r="I146" s="460">
        <v>259</v>
      </c>
      <c r="J146" s="720"/>
      <c r="K146" s="743"/>
      <c r="L146" s="720"/>
      <c r="M146" s="790"/>
      <c r="Q146" s="588"/>
    </row>
    <row r="147" spans="1:17" ht="11.25" customHeight="1">
      <c r="A147" s="458" t="s">
        <v>480</v>
      </c>
      <c r="B147" s="502">
        <v>4.9000000000000004</v>
      </c>
      <c r="C147" s="460">
        <v>39</v>
      </c>
      <c r="D147" s="720"/>
      <c r="E147" s="829"/>
      <c r="F147" s="720"/>
      <c r="G147" s="719"/>
      <c r="H147" s="591">
        <v>6.5</v>
      </c>
      <c r="I147" s="460"/>
      <c r="J147" s="720"/>
      <c r="K147" s="743"/>
      <c r="L147" s="720">
        <v>39</v>
      </c>
      <c r="M147" s="790" t="s">
        <v>1091</v>
      </c>
      <c r="Q147" s="588"/>
    </row>
    <row r="148" spans="1:17" ht="11.25" customHeight="1">
      <c r="A148" s="462" t="s">
        <v>117</v>
      </c>
      <c r="B148" s="843"/>
      <c r="C148" s="844"/>
      <c r="D148" s="804">
        <v>686</v>
      </c>
      <c r="E148" s="827" t="s">
        <v>764</v>
      </c>
      <c r="F148" s="804">
        <v>686</v>
      </c>
      <c r="G148" s="820" t="s">
        <v>764</v>
      </c>
      <c r="H148" s="845"/>
      <c r="I148" s="844"/>
      <c r="J148" s="804">
        <v>686</v>
      </c>
      <c r="K148" s="827" t="s">
        <v>764</v>
      </c>
      <c r="L148" s="804">
        <v>686</v>
      </c>
      <c r="M148" s="823" t="s">
        <v>764</v>
      </c>
      <c r="Q148" s="588"/>
    </row>
    <row r="149" spans="1:17" ht="11.25" customHeight="1">
      <c r="A149" s="458" t="s">
        <v>118</v>
      </c>
      <c r="B149" s="818">
        <v>30</v>
      </c>
      <c r="C149" s="799">
        <v>270</v>
      </c>
      <c r="D149" s="804"/>
      <c r="E149" s="827"/>
      <c r="F149" s="804"/>
      <c r="G149" s="820"/>
      <c r="H149" s="821">
        <v>50</v>
      </c>
      <c r="I149" s="799"/>
      <c r="J149" s="804"/>
      <c r="K149" s="840"/>
      <c r="L149" s="804">
        <v>270</v>
      </c>
      <c r="M149" s="790" t="s">
        <v>1091</v>
      </c>
      <c r="Q149" s="588"/>
    </row>
    <row r="150" spans="1:17" ht="11.25" customHeight="1">
      <c r="A150" s="458" t="s">
        <v>119</v>
      </c>
      <c r="B150" s="818"/>
      <c r="C150" s="799"/>
      <c r="D150" s="804">
        <v>14</v>
      </c>
      <c r="E150" s="827" t="s">
        <v>1106</v>
      </c>
      <c r="F150" s="804">
        <v>140</v>
      </c>
      <c r="G150" s="820" t="s">
        <v>1117</v>
      </c>
      <c r="H150" s="821"/>
      <c r="I150" s="799"/>
      <c r="J150" s="804">
        <v>14</v>
      </c>
      <c r="K150" s="827" t="s">
        <v>1106</v>
      </c>
      <c r="L150" s="804">
        <v>140</v>
      </c>
      <c r="M150" s="823" t="s">
        <v>1117</v>
      </c>
      <c r="Q150" s="588"/>
    </row>
    <row r="151" spans="1:17" ht="11.25" customHeight="1">
      <c r="A151" s="458" t="s">
        <v>120</v>
      </c>
      <c r="B151" s="818"/>
      <c r="C151" s="799"/>
      <c r="D151" s="804"/>
      <c r="E151" s="827"/>
      <c r="F151" s="804"/>
      <c r="G151" s="820"/>
      <c r="H151" s="821"/>
      <c r="I151" s="799"/>
      <c r="J151" s="804"/>
      <c r="K151" s="840"/>
      <c r="L151" s="804"/>
      <c r="M151" s="823"/>
      <c r="Q151" s="588"/>
    </row>
    <row r="152" spans="1:17" ht="11.25" customHeight="1">
      <c r="A152" s="458" t="s">
        <v>602</v>
      </c>
      <c r="B152" s="502">
        <v>1.1399999999999999</v>
      </c>
      <c r="C152" s="460">
        <v>20.5</v>
      </c>
      <c r="D152" s="720"/>
      <c r="E152" s="829"/>
      <c r="F152" s="720"/>
      <c r="G152" s="719"/>
      <c r="H152" s="591"/>
      <c r="I152" s="460"/>
      <c r="J152" s="720">
        <v>1.1399999999999999</v>
      </c>
      <c r="K152" s="827" t="s">
        <v>1091</v>
      </c>
      <c r="L152" s="720">
        <v>20.5</v>
      </c>
      <c r="M152" s="790" t="s">
        <v>1091</v>
      </c>
      <c r="Q152" s="588"/>
    </row>
    <row r="153" spans="1:17" ht="11.25" customHeight="1">
      <c r="A153" s="462" t="s">
        <v>939</v>
      </c>
      <c r="B153" s="818">
        <v>11</v>
      </c>
      <c r="C153" s="799">
        <v>27</v>
      </c>
      <c r="D153" s="804"/>
      <c r="E153" s="827"/>
      <c r="F153" s="804"/>
      <c r="G153" s="820"/>
      <c r="H153" s="821">
        <v>10</v>
      </c>
      <c r="I153" s="799">
        <v>30</v>
      </c>
      <c r="J153" s="804"/>
      <c r="K153" s="840"/>
      <c r="L153" s="804"/>
      <c r="M153" s="823"/>
      <c r="Q153" s="588"/>
    </row>
    <row r="154" spans="1:17" ht="11.25" customHeight="1">
      <c r="A154" s="462" t="s">
        <v>603</v>
      </c>
      <c r="B154" s="818"/>
      <c r="C154" s="799"/>
      <c r="D154" s="804"/>
      <c r="E154" s="827"/>
      <c r="F154" s="804"/>
      <c r="G154" s="820"/>
      <c r="H154" s="821"/>
      <c r="I154" s="799"/>
      <c r="J154" s="804"/>
      <c r="K154" s="840"/>
      <c r="L154" s="804"/>
      <c r="M154" s="823"/>
      <c r="Q154" s="588"/>
    </row>
    <row r="155" spans="1:17" ht="11.25" customHeight="1">
      <c r="A155" s="462" t="s">
        <v>605</v>
      </c>
      <c r="B155" s="818">
        <v>13</v>
      </c>
      <c r="C155" s="799">
        <v>210</v>
      </c>
      <c r="D155" s="804"/>
      <c r="E155" s="827"/>
      <c r="F155" s="804"/>
      <c r="G155" s="820"/>
      <c r="H155" s="821">
        <v>90</v>
      </c>
      <c r="I155" s="799">
        <v>570</v>
      </c>
      <c r="J155" s="804"/>
      <c r="K155" s="840"/>
      <c r="L155" s="804"/>
      <c r="M155" s="823"/>
      <c r="Q155" s="588"/>
    </row>
    <row r="156" spans="1:17" ht="11.25" customHeight="1">
      <c r="A156" s="458" t="s">
        <v>481</v>
      </c>
      <c r="B156" s="502">
        <v>27</v>
      </c>
      <c r="C156" s="460">
        <v>120</v>
      </c>
      <c r="D156" s="720"/>
      <c r="E156" s="829"/>
      <c r="F156" s="720"/>
      <c r="G156" s="719"/>
      <c r="H156" s="591">
        <v>81</v>
      </c>
      <c r="I156" s="460">
        <v>90</v>
      </c>
      <c r="J156" s="720"/>
      <c r="K156" s="743"/>
      <c r="L156" s="720"/>
      <c r="M156" s="790"/>
      <c r="Q156" s="588"/>
    </row>
    <row r="157" spans="1:17" ht="11.25" customHeight="1">
      <c r="A157" s="458" t="s">
        <v>482</v>
      </c>
      <c r="B157" s="502">
        <v>930</v>
      </c>
      <c r="C157" s="460">
        <v>8400</v>
      </c>
      <c r="D157" s="804"/>
      <c r="E157" s="829"/>
      <c r="F157" s="720"/>
      <c r="G157" s="719"/>
      <c r="H157" s="591"/>
      <c r="I157" s="460"/>
      <c r="J157" s="720">
        <v>930</v>
      </c>
      <c r="K157" s="839" t="s">
        <v>768</v>
      </c>
      <c r="L157" s="720">
        <v>8400</v>
      </c>
      <c r="M157" s="836" t="s">
        <v>767</v>
      </c>
      <c r="Q157" s="588"/>
    </row>
    <row r="158" spans="1:17" ht="11.25" customHeight="1">
      <c r="A158" s="458" t="s">
        <v>483</v>
      </c>
      <c r="B158" s="502">
        <v>27</v>
      </c>
      <c r="C158" s="460">
        <v>240</v>
      </c>
      <c r="D158" s="720"/>
      <c r="E158" s="829"/>
      <c r="F158" s="720"/>
      <c r="G158" s="719"/>
      <c r="H158" s="591">
        <v>13</v>
      </c>
      <c r="I158" s="460">
        <v>230</v>
      </c>
      <c r="J158" s="720">
        <v>100</v>
      </c>
      <c r="K158" s="829" t="s">
        <v>766</v>
      </c>
      <c r="L158" s="720">
        <v>1000</v>
      </c>
      <c r="M158" s="790" t="s">
        <v>765</v>
      </c>
      <c r="Q158" s="588"/>
    </row>
    <row r="159" spans="1:17" ht="11.25" customHeight="1" thickBot="1">
      <c r="A159" s="466" t="s">
        <v>484</v>
      </c>
      <c r="B159" s="509">
        <v>120</v>
      </c>
      <c r="C159" s="468">
        <v>120</v>
      </c>
      <c r="D159" s="722"/>
      <c r="E159" s="846"/>
      <c r="F159" s="722"/>
      <c r="G159" s="721"/>
      <c r="H159" s="573">
        <v>81</v>
      </c>
      <c r="I159" s="468">
        <v>90</v>
      </c>
      <c r="J159" s="722"/>
      <c r="K159" s="847"/>
      <c r="L159" s="722"/>
      <c r="M159" s="791"/>
      <c r="Q159" s="588"/>
    </row>
    <row r="160" spans="1:17" ht="11.25" customHeight="1" thickTop="1">
      <c r="A160" s="474" t="s">
        <v>696</v>
      </c>
      <c r="L160" s="805"/>
      <c r="M160" s="528"/>
    </row>
    <row r="161" spans="1:13" ht="23.25" customHeight="1">
      <c r="A161" s="1386" t="s">
        <v>1326</v>
      </c>
      <c r="B161" s="1358"/>
      <c r="C161" s="1358"/>
      <c r="D161" s="1358"/>
      <c r="E161" s="1358"/>
      <c r="F161" s="1358"/>
      <c r="G161" s="1358"/>
      <c r="H161" s="1358"/>
      <c r="I161" s="1358"/>
      <c r="J161" s="1358"/>
      <c r="K161" s="1358"/>
      <c r="L161" s="1358"/>
      <c r="M161" s="1452"/>
    </row>
    <row r="162" spans="1:13" ht="11.25" customHeight="1">
      <c r="A162" s="479"/>
      <c r="M162" s="483"/>
    </row>
    <row r="163" spans="1:13" ht="11.25" customHeight="1">
      <c r="A163" s="474" t="s">
        <v>488</v>
      </c>
      <c r="M163" s="483"/>
    </row>
    <row r="164" spans="1:13" ht="11.25" customHeight="1">
      <c r="A164" s="479" t="s">
        <v>399</v>
      </c>
      <c r="M164" s="483"/>
    </row>
    <row r="165" spans="1:13" ht="11.25" customHeight="1">
      <c r="A165" s="479" t="s">
        <v>400</v>
      </c>
      <c r="M165" s="483"/>
    </row>
    <row r="166" spans="1:13" ht="11.25" customHeight="1">
      <c r="A166" s="479" t="s">
        <v>1124</v>
      </c>
      <c r="M166" s="483"/>
    </row>
    <row r="167" spans="1:13" ht="11.25" customHeight="1">
      <c r="A167" s="479" t="s">
        <v>1119</v>
      </c>
      <c r="M167" s="483"/>
    </row>
    <row r="168" spans="1:13" ht="11.25" customHeight="1">
      <c r="A168" s="479" t="s">
        <v>1120</v>
      </c>
      <c r="M168" s="483"/>
    </row>
    <row r="169" spans="1:13" ht="11.25" customHeight="1">
      <c r="A169" s="479" t="s">
        <v>1327</v>
      </c>
      <c r="M169" s="483"/>
    </row>
    <row r="170" spans="1:13" ht="11.25" customHeight="1">
      <c r="A170" s="479" t="s">
        <v>694</v>
      </c>
      <c r="M170" s="483"/>
    </row>
    <row r="171" spans="1:13" ht="11.25" customHeight="1">
      <c r="A171" s="479" t="s">
        <v>1121</v>
      </c>
      <c r="M171" s="483"/>
    </row>
    <row r="172" spans="1:13" ht="11.25" customHeight="1">
      <c r="A172" s="479" t="s">
        <v>1122</v>
      </c>
      <c r="M172" s="483"/>
    </row>
    <row r="173" spans="1:13" ht="11.25" customHeight="1">
      <c r="A173" s="479" t="s">
        <v>1123</v>
      </c>
      <c r="M173" s="483"/>
    </row>
    <row r="174" spans="1:13" ht="11.25" customHeight="1">
      <c r="A174" s="479" t="s">
        <v>714</v>
      </c>
      <c r="M174" s="483"/>
    </row>
    <row r="175" spans="1:13" ht="11.25" customHeight="1">
      <c r="A175" s="479" t="s">
        <v>715</v>
      </c>
      <c r="M175" s="483"/>
    </row>
    <row r="176" spans="1:13" ht="11.25" customHeight="1">
      <c r="A176" s="479" t="s">
        <v>167</v>
      </c>
      <c r="M176" s="483"/>
    </row>
    <row r="177" spans="1:13" ht="11.25" customHeight="1">
      <c r="A177" s="479" t="s">
        <v>1125</v>
      </c>
      <c r="M177" s="483"/>
    </row>
    <row r="178" spans="1:13" ht="11.25" customHeight="1">
      <c r="A178" s="479" t="s">
        <v>1125</v>
      </c>
      <c r="E178" s="479"/>
      <c r="M178" s="483"/>
    </row>
    <row r="179" spans="1:13" ht="11.25" customHeight="1" thickBot="1">
      <c r="A179" s="706" t="s">
        <v>372</v>
      </c>
      <c r="B179" s="612"/>
      <c r="C179" s="612"/>
      <c r="D179" s="612"/>
      <c r="E179" s="579"/>
      <c r="F179" s="612"/>
      <c r="G179" s="612"/>
      <c r="H179" s="612"/>
      <c r="I179" s="612"/>
      <c r="J179" s="612"/>
      <c r="K179" s="849"/>
      <c r="L179" s="612"/>
      <c r="M179" s="723"/>
    </row>
    <row r="180" spans="1:13" ht="13.15" thickTop="1"/>
  </sheetData>
  <sheetProtection algorithmName="SHA-512" hashValue="NYWJpWsS8WMrtAW9dp8mbTetI6iZdlfs+npJpdQdPL+LwaLggTtNb4yBvUgIsp71X7UAynlcTj0KQpMSeaYpFQ==" saltValue="O9XXdZGfWxABza1x5l/oFg==" spinCount="100000" sheet="1" objects="1" scenarios="1"/>
  <mergeCells count="3">
    <mergeCell ref="B4:G4"/>
    <mergeCell ref="H4:M4"/>
    <mergeCell ref="A161:M161"/>
  </mergeCells>
  <phoneticPr fontId="0" type="noConversion"/>
  <printOptions horizontalCentered="1"/>
  <pageMargins left="0.17" right="0.16" top="0.53" bottom="1" header="0.5" footer="0.5"/>
  <pageSetup scale="60" fitToHeight="3" orientation="landscape" r:id="rId1"/>
  <headerFooter alignWithMargins="0">
    <oddFooter>&amp;LHawai'i DOH
Spring 2024&amp;C&amp;8Page &amp;P of &amp;N&amp;R&amp;A</oddFooter>
  </headerFooter>
  <rowBreaks count="1" manualBreakCount="1">
    <brk id="156"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29"/>
    <pageSetUpPr fitToPage="1"/>
  </sheetPr>
  <dimension ref="A1:I166"/>
  <sheetViews>
    <sheetView zoomScaleNormal="100" workbookViewId="0">
      <pane ySplit="1650" topLeftCell="A5" activePane="bottomLeft"/>
      <selection activeCell="B7" sqref="B7"/>
      <selection pane="bottomLeft" activeCell="B7" sqref="B7"/>
    </sheetView>
  </sheetViews>
  <sheetFormatPr defaultColWidth="9.1328125" defaultRowHeight="10.15"/>
  <cols>
    <col min="1" max="1" width="40.73046875" style="1" customWidth="1"/>
    <col min="2" max="2" width="14.73046875" style="481" customWidth="1"/>
    <col min="3" max="3" width="28" style="481" customWidth="1"/>
    <col min="4" max="4" width="14.73046875" style="1" customWidth="1"/>
    <col min="5" max="5" width="14.73046875" style="3" customWidth="1"/>
    <col min="6" max="6" width="10.3984375" style="1" customWidth="1"/>
    <col min="7" max="8" width="9.1328125" style="1"/>
    <col min="9" max="9" width="13.86328125" style="606" customWidth="1"/>
    <col min="10" max="11" width="10.3984375" style="1" customWidth="1"/>
    <col min="12" max="16384" width="9.1328125" style="1"/>
  </cols>
  <sheetData>
    <row r="1" spans="1:9" s="753" customFormat="1" ht="30">
      <c r="A1" s="751" t="s">
        <v>510</v>
      </c>
      <c r="B1" s="752"/>
      <c r="C1" s="752"/>
      <c r="D1" s="751"/>
      <c r="E1" s="6"/>
    </row>
    <row r="2" spans="1:9" s="753" customFormat="1" ht="13.9">
      <c r="A2" s="693" t="s">
        <v>30</v>
      </c>
      <c r="B2" s="754"/>
      <c r="C2" s="754"/>
      <c r="D2" s="693"/>
      <c r="E2" s="755"/>
    </row>
    <row r="3" spans="1:9" s="510" customFormat="1" ht="10.5" thickBot="1">
      <c r="A3" s="694"/>
      <c r="B3" s="530"/>
      <c r="C3" s="530"/>
      <c r="D3" s="694"/>
      <c r="E3" s="531"/>
      <c r="I3" s="607"/>
    </row>
    <row r="4" spans="1:9" s="510" customFormat="1" ht="15" customHeight="1" thickTop="1" thickBot="1">
      <c r="A4" s="727" t="s">
        <v>613</v>
      </c>
      <c r="B4" s="732" t="s">
        <v>505</v>
      </c>
      <c r="C4" s="850" t="s">
        <v>485</v>
      </c>
      <c r="D4" s="851" t="s">
        <v>506</v>
      </c>
      <c r="E4" s="852" t="s">
        <v>507</v>
      </c>
    </row>
    <row r="5" spans="1:9" s="510" customFormat="1">
      <c r="A5" s="454" t="s">
        <v>548</v>
      </c>
      <c r="B5" s="853">
        <v>990</v>
      </c>
      <c r="C5" s="854" t="s">
        <v>1426</v>
      </c>
      <c r="D5" s="501"/>
      <c r="E5" s="523">
        <v>990</v>
      </c>
    </row>
    <row r="6" spans="1:9" s="510" customFormat="1">
      <c r="A6" s="458" t="s">
        <v>549</v>
      </c>
      <c r="B6" s="853" t="s">
        <v>954</v>
      </c>
      <c r="C6" s="854" t="s">
        <v>954</v>
      </c>
      <c r="D6" s="501"/>
      <c r="E6" s="523"/>
    </row>
    <row r="7" spans="1:9" s="510" customFormat="1">
      <c r="A7" s="458" t="s">
        <v>550</v>
      </c>
      <c r="B7" s="853" t="s">
        <v>954</v>
      </c>
      <c r="C7" s="854" t="s">
        <v>954</v>
      </c>
      <c r="D7" s="501"/>
      <c r="E7" s="523"/>
    </row>
    <row r="8" spans="1:9" s="510" customFormat="1">
      <c r="A8" s="458" t="s">
        <v>551</v>
      </c>
      <c r="B8" s="853">
        <v>2.5999999999999998E-5</v>
      </c>
      <c r="C8" s="854" t="s">
        <v>1427</v>
      </c>
      <c r="D8" s="501">
        <v>2.5999999999999998E-5</v>
      </c>
      <c r="E8" s="523">
        <v>5.0000000000000002E-5</v>
      </c>
    </row>
    <row r="9" spans="1:9" s="510" customFormat="1">
      <c r="A9" s="458" t="s">
        <v>161</v>
      </c>
      <c r="B9" s="853" t="s">
        <v>954</v>
      </c>
      <c r="C9" s="854" t="s">
        <v>954</v>
      </c>
      <c r="D9" s="501"/>
      <c r="E9" s="523"/>
    </row>
    <row r="10" spans="1:9" s="510" customFormat="1">
      <c r="A10" s="462" t="s">
        <v>162</v>
      </c>
      <c r="B10" s="853" t="s">
        <v>954</v>
      </c>
      <c r="C10" s="854" t="s">
        <v>954</v>
      </c>
      <c r="D10" s="501"/>
      <c r="E10" s="523"/>
    </row>
    <row r="11" spans="1:9" s="510" customFormat="1">
      <c r="A11" s="458" t="s">
        <v>94</v>
      </c>
      <c r="B11" s="853" t="s">
        <v>954</v>
      </c>
      <c r="C11" s="854" t="s">
        <v>954</v>
      </c>
      <c r="D11" s="501"/>
      <c r="E11" s="523"/>
    </row>
    <row r="12" spans="1:9" s="510" customFormat="1">
      <c r="A12" s="458" t="s">
        <v>552</v>
      </c>
      <c r="B12" s="853">
        <v>40000</v>
      </c>
      <c r="C12" s="854" t="s">
        <v>1426</v>
      </c>
      <c r="D12" s="501"/>
      <c r="E12" s="523">
        <v>40000</v>
      </c>
    </row>
    <row r="13" spans="1:9" s="510" customFormat="1">
      <c r="A13" s="458" t="s">
        <v>553</v>
      </c>
      <c r="B13" s="853">
        <v>15000</v>
      </c>
      <c r="C13" s="854" t="s">
        <v>1427</v>
      </c>
      <c r="D13" s="501">
        <v>15000</v>
      </c>
      <c r="E13" s="523">
        <v>640</v>
      </c>
    </row>
    <row r="14" spans="1:9" s="510" customFormat="1">
      <c r="A14" s="458" t="s">
        <v>686</v>
      </c>
      <c r="B14" s="853">
        <v>0.14000000000000001</v>
      </c>
      <c r="C14" s="854" t="s">
        <v>1426</v>
      </c>
      <c r="D14" s="501"/>
      <c r="E14" s="523">
        <v>0.14000000000000001</v>
      </c>
    </row>
    <row r="15" spans="1:9" s="510" customFormat="1">
      <c r="A15" s="458" t="s">
        <v>95</v>
      </c>
      <c r="B15" s="853" t="s">
        <v>954</v>
      </c>
      <c r="C15" s="854" t="s">
        <v>954</v>
      </c>
      <c r="D15" s="501"/>
      <c r="E15" s="523"/>
    </row>
    <row r="16" spans="1:9" s="510" customFormat="1">
      <c r="A16" s="458" t="s">
        <v>687</v>
      </c>
      <c r="B16" s="853" t="s">
        <v>954</v>
      </c>
      <c r="C16" s="854" t="s">
        <v>954</v>
      </c>
      <c r="D16" s="501"/>
      <c r="E16" s="523"/>
    </row>
    <row r="17" spans="1:5" s="510" customFormat="1">
      <c r="A17" s="458" t="s">
        <v>1156</v>
      </c>
      <c r="B17" s="853" t="s">
        <v>954</v>
      </c>
      <c r="C17" s="854" t="s">
        <v>954</v>
      </c>
      <c r="D17" s="501"/>
      <c r="E17" s="523"/>
    </row>
    <row r="18" spans="1:5" s="510" customFormat="1">
      <c r="A18" s="458" t="s">
        <v>688</v>
      </c>
      <c r="B18" s="853">
        <v>13</v>
      </c>
      <c r="C18" s="854" t="s">
        <v>1427</v>
      </c>
      <c r="D18" s="501">
        <v>13</v>
      </c>
      <c r="E18" s="523">
        <v>51</v>
      </c>
    </row>
    <row r="19" spans="1:5" s="510" customFormat="1">
      <c r="A19" s="458" t="s">
        <v>689</v>
      </c>
      <c r="B19" s="853">
        <v>1.7999999999999999E-2</v>
      </c>
      <c r="C19" s="854" t="s">
        <v>1426</v>
      </c>
      <c r="D19" s="501"/>
      <c r="E19" s="523">
        <v>1.7999999999999999E-2</v>
      </c>
    </row>
    <row r="20" spans="1:5" s="510" customFormat="1">
      <c r="A20" s="458" t="s">
        <v>690</v>
      </c>
      <c r="B20" s="853">
        <v>1.7999999999999999E-2</v>
      </c>
      <c r="C20" s="854" t="s">
        <v>1426</v>
      </c>
      <c r="D20" s="501"/>
      <c r="E20" s="523">
        <v>1.7999999999999999E-2</v>
      </c>
    </row>
    <row r="21" spans="1:5" s="510" customFormat="1">
      <c r="A21" s="458" t="s">
        <v>691</v>
      </c>
      <c r="B21" s="853">
        <v>1.7999999999999999E-2</v>
      </c>
      <c r="C21" s="854" t="s">
        <v>1426</v>
      </c>
      <c r="D21" s="501"/>
      <c r="E21" s="523">
        <v>1.7999999999999999E-2</v>
      </c>
    </row>
    <row r="22" spans="1:5" s="510" customFormat="1">
      <c r="A22" s="458" t="s">
        <v>692</v>
      </c>
      <c r="B22" s="853" t="s">
        <v>954</v>
      </c>
      <c r="C22" s="854" t="s">
        <v>954</v>
      </c>
      <c r="D22" s="501"/>
      <c r="E22" s="523"/>
    </row>
    <row r="23" spans="1:5" s="510" customFormat="1">
      <c r="A23" s="458" t="s">
        <v>693</v>
      </c>
      <c r="B23" s="853">
        <v>1.7999999999999999E-2</v>
      </c>
      <c r="C23" s="854" t="s">
        <v>1426</v>
      </c>
      <c r="D23" s="501"/>
      <c r="E23" s="523">
        <v>1.7999999999999999E-2</v>
      </c>
    </row>
    <row r="24" spans="1:5" s="510" customFormat="1">
      <c r="A24" s="458" t="s">
        <v>126</v>
      </c>
      <c r="B24" s="853">
        <v>3.7999999999999999E-2</v>
      </c>
      <c r="C24" s="854" t="s">
        <v>1427</v>
      </c>
      <c r="D24" s="501">
        <v>3.7999999999999999E-2</v>
      </c>
      <c r="E24" s="523"/>
    </row>
    <row r="25" spans="1:5" s="510" customFormat="1">
      <c r="A25" s="458" t="s">
        <v>233</v>
      </c>
      <c r="B25" s="853" t="s">
        <v>954</v>
      </c>
      <c r="C25" s="854" t="s">
        <v>954</v>
      </c>
      <c r="D25" s="501"/>
      <c r="E25" s="523"/>
    </row>
    <row r="26" spans="1:5" s="510" customFormat="1">
      <c r="A26" s="458" t="s">
        <v>127</v>
      </c>
      <c r="B26" s="853">
        <v>0.44</v>
      </c>
      <c r="C26" s="854" t="s">
        <v>1427</v>
      </c>
      <c r="D26" s="501">
        <v>0.44</v>
      </c>
      <c r="E26" s="523">
        <v>0.53</v>
      </c>
    </row>
    <row r="27" spans="1:5" s="510" customFormat="1">
      <c r="A27" s="503" t="s">
        <v>1103</v>
      </c>
      <c r="B27" s="853">
        <v>1400</v>
      </c>
      <c r="C27" s="854" t="s">
        <v>1427</v>
      </c>
      <c r="D27" s="501">
        <v>1400</v>
      </c>
      <c r="E27" s="523">
        <v>65000</v>
      </c>
    </row>
    <row r="28" spans="1:5" s="510" customFormat="1">
      <c r="A28" s="458" t="s">
        <v>128</v>
      </c>
      <c r="B28" s="853">
        <v>2.2000000000000002</v>
      </c>
      <c r="C28" s="854" t="s">
        <v>1426</v>
      </c>
      <c r="D28" s="501"/>
      <c r="E28" s="523">
        <v>2.2000000000000002</v>
      </c>
    </row>
    <row r="29" spans="1:5" s="510" customFormat="1">
      <c r="A29" s="458" t="s">
        <v>129</v>
      </c>
      <c r="B29" s="853" t="s">
        <v>954</v>
      </c>
      <c r="C29" s="854" t="s">
        <v>954</v>
      </c>
      <c r="D29" s="501"/>
      <c r="E29" s="523"/>
    </row>
    <row r="30" spans="1:5" s="510" customFormat="1">
      <c r="A30" s="458" t="s">
        <v>130</v>
      </c>
      <c r="B30" s="853" t="s">
        <v>954</v>
      </c>
      <c r="C30" s="854" t="s">
        <v>954</v>
      </c>
      <c r="D30" s="501"/>
      <c r="E30" s="523"/>
    </row>
    <row r="31" spans="1:5" s="510" customFormat="1">
      <c r="A31" s="458" t="s">
        <v>131</v>
      </c>
      <c r="B31" s="853">
        <v>140</v>
      </c>
      <c r="C31" s="854" t="s">
        <v>1426</v>
      </c>
      <c r="D31" s="501"/>
      <c r="E31" s="523">
        <v>140</v>
      </c>
    </row>
    <row r="32" spans="1:5" s="510" customFormat="1">
      <c r="A32" s="458" t="s">
        <v>132</v>
      </c>
      <c r="B32" s="853">
        <v>1500</v>
      </c>
      <c r="C32" s="854" t="s">
        <v>1426</v>
      </c>
      <c r="D32" s="501"/>
      <c r="E32" s="523">
        <v>1500</v>
      </c>
    </row>
    <row r="33" spans="1:5" s="510" customFormat="1">
      <c r="A33" s="458" t="s">
        <v>133</v>
      </c>
      <c r="B33" s="853" t="s">
        <v>954</v>
      </c>
      <c r="C33" s="854" t="s">
        <v>954</v>
      </c>
      <c r="D33" s="501"/>
      <c r="E33" s="523"/>
    </row>
    <row r="34" spans="1:5" s="510" customFormat="1">
      <c r="A34" s="458" t="s">
        <v>134</v>
      </c>
      <c r="B34" s="853">
        <v>2.2999999999999998</v>
      </c>
      <c r="C34" s="854" t="s">
        <v>1427</v>
      </c>
      <c r="D34" s="501">
        <v>2.2999999999999998</v>
      </c>
      <c r="E34" s="523">
        <v>1.6</v>
      </c>
    </row>
    <row r="35" spans="1:5" s="510" customFormat="1">
      <c r="A35" s="458" t="s">
        <v>614</v>
      </c>
      <c r="B35" s="853">
        <v>1.5999999999999999E-5</v>
      </c>
      <c r="C35" s="854" t="s">
        <v>1427</v>
      </c>
      <c r="D35" s="501">
        <v>1.5999999999999999E-5</v>
      </c>
      <c r="E35" s="523">
        <v>8.0999999999999996E-4</v>
      </c>
    </row>
    <row r="36" spans="1:5" s="510" customFormat="1">
      <c r="A36" s="458" t="s">
        <v>135</v>
      </c>
      <c r="B36" s="853" t="s">
        <v>954</v>
      </c>
      <c r="C36" s="854" t="s">
        <v>954</v>
      </c>
      <c r="D36" s="501"/>
      <c r="E36" s="523"/>
    </row>
    <row r="37" spans="1:5" s="510" customFormat="1">
      <c r="A37" s="458" t="s">
        <v>136</v>
      </c>
      <c r="B37" s="853">
        <v>21000</v>
      </c>
      <c r="C37" s="854" t="s">
        <v>1426</v>
      </c>
      <c r="D37" s="501"/>
      <c r="E37" s="523">
        <v>21000</v>
      </c>
    </row>
    <row r="38" spans="1:5" s="1" customFormat="1">
      <c r="A38" s="458" t="s">
        <v>781</v>
      </c>
      <c r="B38" s="853" t="s">
        <v>954</v>
      </c>
      <c r="C38" s="854" t="s">
        <v>954</v>
      </c>
      <c r="D38" s="855"/>
      <c r="E38" s="856"/>
    </row>
    <row r="39" spans="1:5" s="1" customFormat="1">
      <c r="A39" s="458" t="s">
        <v>137</v>
      </c>
      <c r="B39" s="853">
        <v>5.0999999999999996</v>
      </c>
      <c r="C39" s="854" t="s">
        <v>1427</v>
      </c>
      <c r="D39" s="501">
        <v>5.0999999999999996</v>
      </c>
      <c r="E39" s="523">
        <v>470</v>
      </c>
    </row>
    <row r="40" spans="1:5" s="1" customFormat="1" ht="11.25" customHeight="1">
      <c r="A40" s="458" t="s">
        <v>782</v>
      </c>
      <c r="B40" s="853" t="s">
        <v>954</v>
      </c>
      <c r="C40" s="854" t="s">
        <v>954</v>
      </c>
      <c r="D40" s="501"/>
      <c r="E40" s="523"/>
    </row>
    <row r="41" spans="1:5" s="1" customFormat="1" ht="11.25" customHeight="1">
      <c r="A41" s="458" t="s">
        <v>138</v>
      </c>
      <c r="B41" s="853">
        <v>150</v>
      </c>
      <c r="C41" s="854" t="s">
        <v>1426</v>
      </c>
      <c r="D41" s="501"/>
      <c r="E41" s="523">
        <v>150</v>
      </c>
    </row>
    <row r="42" spans="1:5" s="1" customFormat="1" ht="11.25" customHeight="1">
      <c r="A42" s="458" t="s">
        <v>612</v>
      </c>
      <c r="B42" s="853" t="s">
        <v>954</v>
      </c>
      <c r="C42" s="854" t="s">
        <v>954</v>
      </c>
      <c r="D42" s="501"/>
      <c r="E42" s="523"/>
    </row>
    <row r="43" spans="1:5" s="1" customFormat="1" ht="11.25" customHeight="1">
      <c r="A43" s="458" t="s">
        <v>779</v>
      </c>
      <c r="B43" s="853" t="s">
        <v>954</v>
      </c>
      <c r="C43" s="854" t="s">
        <v>954</v>
      </c>
      <c r="D43" s="501"/>
      <c r="E43" s="523"/>
    </row>
    <row r="44" spans="1:5" s="1" customFormat="1" ht="11.25" customHeight="1">
      <c r="A44" s="458" t="s">
        <v>780</v>
      </c>
      <c r="B44" s="853" t="s">
        <v>954</v>
      </c>
      <c r="C44" s="854" t="s">
        <v>954</v>
      </c>
      <c r="D44" s="501"/>
      <c r="E44" s="523"/>
    </row>
    <row r="45" spans="1:5" s="1" customFormat="1" ht="11.25" customHeight="1">
      <c r="A45" s="458" t="s">
        <v>139</v>
      </c>
      <c r="B45" s="853">
        <v>1.7999999999999999E-2</v>
      </c>
      <c r="C45" s="854" t="s">
        <v>1426</v>
      </c>
      <c r="D45" s="501"/>
      <c r="E45" s="523">
        <v>1.7999999999999999E-2</v>
      </c>
    </row>
    <row r="46" spans="1:5" s="1" customFormat="1" ht="11.25" customHeight="1">
      <c r="A46" s="458" t="s">
        <v>140</v>
      </c>
      <c r="B46" s="853" t="s">
        <v>954</v>
      </c>
      <c r="C46" s="854" t="s">
        <v>954</v>
      </c>
      <c r="D46" s="501"/>
      <c r="E46" s="523"/>
    </row>
    <row r="47" spans="1:5" s="1" customFormat="1" ht="11.25" customHeight="1">
      <c r="A47" s="458" t="s">
        <v>141</v>
      </c>
      <c r="B47" s="853" t="s">
        <v>954</v>
      </c>
      <c r="C47" s="854" t="s">
        <v>954</v>
      </c>
      <c r="D47" s="501"/>
      <c r="E47" s="523"/>
    </row>
    <row r="48" spans="1:5" s="1" customFormat="1" ht="11.25" customHeight="1">
      <c r="A48" s="458" t="s">
        <v>142</v>
      </c>
      <c r="B48" s="853">
        <v>220000</v>
      </c>
      <c r="C48" s="854" t="s">
        <v>1426</v>
      </c>
      <c r="D48" s="501"/>
      <c r="E48" s="523">
        <v>220000</v>
      </c>
    </row>
    <row r="49" spans="1:5" s="1" customFormat="1" ht="11.25" customHeight="1">
      <c r="A49" s="458" t="s">
        <v>96</v>
      </c>
      <c r="B49" s="853" t="s">
        <v>954</v>
      </c>
      <c r="C49" s="854" t="s">
        <v>954</v>
      </c>
      <c r="D49" s="501"/>
      <c r="E49" s="523"/>
    </row>
    <row r="50" spans="1:5" s="1" customFormat="1" ht="11.25" customHeight="1">
      <c r="A50" s="458" t="s">
        <v>97</v>
      </c>
      <c r="B50" s="853" t="s">
        <v>954</v>
      </c>
      <c r="C50" s="854" t="s">
        <v>954</v>
      </c>
      <c r="D50" s="501"/>
      <c r="E50" s="523"/>
    </row>
    <row r="51" spans="1:5" s="1" customFormat="1" ht="11.25" customHeight="1">
      <c r="A51" s="458" t="s">
        <v>143</v>
      </c>
      <c r="B51" s="853">
        <v>1.7999999999999999E-2</v>
      </c>
      <c r="C51" s="854" t="s">
        <v>1426</v>
      </c>
      <c r="D51" s="501"/>
      <c r="E51" s="523">
        <v>1.7999999999999999E-2</v>
      </c>
    </row>
    <row r="52" spans="1:5" s="1" customFormat="1" ht="11.25" customHeight="1">
      <c r="A52" s="458" t="s">
        <v>77</v>
      </c>
      <c r="B52" s="853" t="s">
        <v>954</v>
      </c>
      <c r="C52" s="854" t="s">
        <v>954</v>
      </c>
      <c r="D52" s="501"/>
      <c r="E52" s="523"/>
    </row>
    <row r="53" spans="1:5" s="1" customFormat="1" ht="11.25" customHeight="1">
      <c r="A53" s="458" t="s">
        <v>144</v>
      </c>
      <c r="B53" s="853">
        <v>13</v>
      </c>
      <c r="C53" s="854" t="s">
        <v>1426</v>
      </c>
      <c r="D53" s="501"/>
      <c r="E53" s="523">
        <v>13</v>
      </c>
    </row>
    <row r="54" spans="1:5" s="1" customFormat="1" ht="11.25" customHeight="1">
      <c r="A54" s="458" t="s">
        <v>487</v>
      </c>
      <c r="B54" s="853" t="s">
        <v>954</v>
      </c>
      <c r="C54" s="854" t="s">
        <v>954</v>
      </c>
      <c r="D54" s="501"/>
      <c r="E54" s="523"/>
    </row>
    <row r="55" spans="1:5" s="1" customFormat="1" ht="11.25" customHeight="1">
      <c r="A55" s="458" t="s">
        <v>145</v>
      </c>
      <c r="B55" s="853">
        <v>850</v>
      </c>
      <c r="C55" s="854" t="s">
        <v>1427</v>
      </c>
      <c r="D55" s="501">
        <v>850</v>
      </c>
      <c r="E55" s="523">
        <v>17000</v>
      </c>
    </row>
    <row r="56" spans="1:5" s="1" customFormat="1" ht="11.25" customHeight="1">
      <c r="A56" s="458" t="s">
        <v>225</v>
      </c>
      <c r="B56" s="853">
        <v>850</v>
      </c>
      <c r="C56" s="854" t="s">
        <v>1427</v>
      </c>
      <c r="D56" s="501">
        <v>850</v>
      </c>
      <c r="E56" s="523">
        <v>960</v>
      </c>
    </row>
    <row r="57" spans="1:5" s="1" customFormat="1" ht="11.25" customHeight="1">
      <c r="A57" s="458" t="s">
        <v>226</v>
      </c>
      <c r="B57" s="853">
        <v>850</v>
      </c>
      <c r="C57" s="854" t="s">
        <v>1427</v>
      </c>
      <c r="D57" s="501">
        <v>850</v>
      </c>
      <c r="E57" s="523">
        <v>2600</v>
      </c>
    </row>
    <row r="58" spans="1:5" s="1" customFormat="1" ht="11.25" customHeight="1">
      <c r="A58" s="458" t="s">
        <v>227</v>
      </c>
      <c r="B58" s="853">
        <v>7.0000000000000001E-3</v>
      </c>
      <c r="C58" s="854" t="s">
        <v>1427</v>
      </c>
      <c r="D58" s="501">
        <v>7.0000000000000001E-3</v>
      </c>
      <c r="E58" s="523">
        <v>2.8000000000000001E-2</v>
      </c>
    </row>
    <row r="59" spans="1:5" s="1" customFormat="1" ht="11.25" customHeight="1">
      <c r="A59" s="458" t="s">
        <v>361</v>
      </c>
      <c r="B59" s="853">
        <v>3.1E-4</v>
      </c>
      <c r="C59" s="854" t="s">
        <v>1426</v>
      </c>
      <c r="D59" s="501"/>
      <c r="E59" s="523">
        <v>3.1E-4</v>
      </c>
    </row>
    <row r="60" spans="1:5" s="1" customFormat="1" ht="11.25" customHeight="1">
      <c r="A60" s="458" t="s">
        <v>362</v>
      </c>
      <c r="B60" s="853">
        <v>2.2000000000000001E-4</v>
      </c>
      <c r="C60" s="854" t="s">
        <v>1426</v>
      </c>
      <c r="D60" s="501"/>
      <c r="E60" s="523">
        <v>2.2000000000000001E-4</v>
      </c>
    </row>
    <row r="61" spans="1:5" s="1" customFormat="1" ht="11.25" customHeight="1">
      <c r="A61" s="458" t="s">
        <v>363</v>
      </c>
      <c r="B61" s="853">
        <v>7.9999999999999996E-6</v>
      </c>
      <c r="C61" s="854" t="s">
        <v>1427</v>
      </c>
      <c r="D61" s="501">
        <v>7.9999999999999996E-6</v>
      </c>
      <c r="E61" s="523">
        <v>2.2000000000000001E-4</v>
      </c>
    </row>
    <row r="62" spans="1:5" s="1" customFormat="1" ht="11.25" customHeight="1">
      <c r="A62" s="458" t="s">
        <v>234</v>
      </c>
      <c r="B62" s="853" t="s">
        <v>954</v>
      </c>
      <c r="C62" s="854" t="s">
        <v>954</v>
      </c>
      <c r="D62" s="501"/>
      <c r="E62" s="523"/>
    </row>
    <row r="63" spans="1:5" s="1" customFormat="1" ht="11.25" customHeight="1">
      <c r="A63" s="458" t="s">
        <v>235</v>
      </c>
      <c r="B63" s="853">
        <v>79</v>
      </c>
      <c r="C63" s="854" t="s">
        <v>1427</v>
      </c>
      <c r="D63" s="501">
        <v>79</v>
      </c>
      <c r="E63" s="523">
        <v>37</v>
      </c>
    </row>
    <row r="64" spans="1:5" s="1" customFormat="1" ht="11.25" customHeight="1">
      <c r="A64" s="458" t="s">
        <v>294</v>
      </c>
      <c r="B64" s="853">
        <v>0.6</v>
      </c>
      <c r="C64" s="854" t="s">
        <v>1427</v>
      </c>
      <c r="D64" s="501">
        <v>0.6</v>
      </c>
      <c r="E64" s="523">
        <v>3.2</v>
      </c>
    </row>
    <row r="65" spans="1:5" s="1" customFormat="1" ht="11.25" customHeight="1">
      <c r="A65" s="458" t="s">
        <v>295</v>
      </c>
      <c r="B65" s="853" t="s">
        <v>954</v>
      </c>
      <c r="C65" s="854" t="s">
        <v>954</v>
      </c>
      <c r="D65" s="501"/>
      <c r="E65" s="523"/>
    </row>
    <row r="66" spans="1:5" s="1" customFormat="1" ht="11.25" customHeight="1">
      <c r="A66" s="458" t="s">
        <v>228</v>
      </c>
      <c r="B66" s="853" t="s">
        <v>58</v>
      </c>
      <c r="C66" s="854" t="s">
        <v>1426</v>
      </c>
      <c r="D66" s="501"/>
      <c r="E66" s="523" t="s">
        <v>58</v>
      </c>
    </row>
    <row r="67" spans="1:5" s="1" customFormat="1" ht="11.25" customHeight="1">
      <c r="A67" s="458" t="s">
        <v>942</v>
      </c>
      <c r="B67" s="853">
        <v>290</v>
      </c>
      <c r="C67" s="854" t="s">
        <v>1426</v>
      </c>
      <c r="D67" s="501"/>
      <c r="E67" s="523">
        <v>290</v>
      </c>
    </row>
    <row r="68" spans="1:5" s="1" customFormat="1" ht="11.25" customHeight="1">
      <c r="A68" s="458" t="s">
        <v>98</v>
      </c>
      <c r="B68" s="853" t="s">
        <v>954</v>
      </c>
      <c r="C68" s="854" t="s">
        <v>954</v>
      </c>
      <c r="D68" s="501"/>
      <c r="E68" s="523"/>
    </row>
    <row r="69" spans="1:5" s="1" customFormat="1" ht="11.25" customHeight="1">
      <c r="A69" s="458" t="s">
        <v>943</v>
      </c>
      <c r="B69" s="853">
        <v>15</v>
      </c>
      <c r="C69" s="854" t="s">
        <v>1426</v>
      </c>
      <c r="D69" s="501"/>
      <c r="E69" s="523">
        <v>15</v>
      </c>
    </row>
    <row r="70" spans="1:5" s="1" customFormat="1" ht="11.25" customHeight="1">
      <c r="A70" s="458" t="s">
        <v>296</v>
      </c>
      <c r="B70" s="853">
        <v>4.5999999999999996</v>
      </c>
      <c r="C70" s="854" t="s">
        <v>1427</v>
      </c>
      <c r="D70" s="501">
        <v>4.5999999999999996</v>
      </c>
      <c r="E70" s="523">
        <v>1700</v>
      </c>
    </row>
    <row r="71" spans="1:5" s="1" customFormat="1" ht="11.25" customHeight="1">
      <c r="A71" s="458" t="s">
        <v>944</v>
      </c>
      <c r="B71" s="853">
        <v>2.5000000000000001E-5</v>
      </c>
      <c r="C71" s="854" t="s">
        <v>1427</v>
      </c>
      <c r="D71" s="501">
        <v>2.5000000000000001E-5</v>
      </c>
      <c r="E71" s="523">
        <v>5.3999999999999998E-5</v>
      </c>
    </row>
    <row r="72" spans="1:5" s="1" customFormat="1" ht="11.25" customHeight="1">
      <c r="A72" s="458" t="s">
        <v>945</v>
      </c>
      <c r="B72" s="853">
        <v>44000</v>
      </c>
      <c r="C72" s="854" t="s">
        <v>1426</v>
      </c>
      <c r="D72" s="501"/>
      <c r="E72" s="523">
        <v>44000</v>
      </c>
    </row>
    <row r="73" spans="1:5" s="1" customFormat="1" ht="11.25" customHeight="1">
      <c r="A73" s="458" t="s">
        <v>947</v>
      </c>
      <c r="B73" s="853">
        <v>850</v>
      </c>
      <c r="C73" s="854" t="s">
        <v>1426</v>
      </c>
      <c r="D73" s="501"/>
      <c r="E73" s="523">
        <v>850</v>
      </c>
    </row>
    <row r="74" spans="1:5" s="1" customFormat="1" ht="11.25" customHeight="1">
      <c r="A74" s="458" t="s">
        <v>946</v>
      </c>
      <c r="B74" s="853">
        <v>1100000</v>
      </c>
      <c r="C74" s="854" t="s">
        <v>1426</v>
      </c>
      <c r="D74" s="501"/>
      <c r="E74" s="523">
        <v>1100000</v>
      </c>
    </row>
    <row r="75" spans="1:5" s="1" customFormat="1" ht="11.25" customHeight="1">
      <c r="A75" s="458" t="s">
        <v>99</v>
      </c>
      <c r="B75" s="853" t="s">
        <v>954</v>
      </c>
      <c r="C75" s="854" t="s">
        <v>954</v>
      </c>
      <c r="D75" s="501"/>
      <c r="E75" s="523"/>
    </row>
    <row r="76" spans="1:5" s="1" customFormat="1" ht="11.25" customHeight="1">
      <c r="A76" s="458" t="s">
        <v>297</v>
      </c>
      <c r="B76" s="853">
        <v>5300</v>
      </c>
      <c r="C76" s="854" t="s">
        <v>1426</v>
      </c>
      <c r="D76" s="501"/>
      <c r="E76" s="523">
        <v>5300</v>
      </c>
    </row>
    <row r="77" spans="1:5" s="1" customFormat="1" ht="11.25" customHeight="1">
      <c r="A77" s="458" t="s">
        <v>100</v>
      </c>
      <c r="B77" s="853">
        <v>3</v>
      </c>
      <c r="C77" s="854" t="s">
        <v>1427</v>
      </c>
      <c r="D77" s="501">
        <v>3</v>
      </c>
      <c r="E77" s="523">
        <v>3.4</v>
      </c>
    </row>
    <row r="78" spans="1:5" s="1" customFormat="1" ht="11.25" customHeight="1">
      <c r="A78" s="458" t="s">
        <v>101</v>
      </c>
      <c r="B78" s="853" t="s">
        <v>954</v>
      </c>
      <c r="C78" s="854" t="s">
        <v>954</v>
      </c>
      <c r="D78" s="501"/>
      <c r="E78" s="523"/>
    </row>
    <row r="79" spans="1:5" s="1" customFormat="1" ht="11.25" customHeight="1">
      <c r="A79" s="458" t="s">
        <v>382</v>
      </c>
      <c r="B79" s="853" t="s">
        <v>954</v>
      </c>
      <c r="C79" s="854" t="s">
        <v>954</v>
      </c>
      <c r="D79" s="501"/>
      <c r="E79" s="523"/>
    </row>
    <row r="80" spans="1:5" s="1" customFormat="1" ht="11.25" customHeight="1">
      <c r="A80" s="458" t="s">
        <v>594</v>
      </c>
      <c r="B80" s="853">
        <v>5.0000000000000001E-9</v>
      </c>
      <c r="C80" s="854" t="s">
        <v>1427</v>
      </c>
      <c r="D80" s="501">
        <v>5.0000000000000001E-9</v>
      </c>
      <c r="E80" s="523">
        <v>5.1000000000000002E-9</v>
      </c>
    </row>
    <row r="81" spans="1:5" s="1" customFormat="1" ht="11.25" customHeight="1">
      <c r="A81" s="458" t="s">
        <v>102</v>
      </c>
      <c r="B81" s="853" t="s">
        <v>954</v>
      </c>
      <c r="C81" s="854" t="s">
        <v>954</v>
      </c>
      <c r="D81" s="501"/>
      <c r="E81" s="523"/>
    </row>
    <row r="82" spans="1:5" s="1" customFormat="1" ht="11.25" customHeight="1">
      <c r="A82" s="458" t="s">
        <v>370</v>
      </c>
      <c r="B82" s="853">
        <v>52</v>
      </c>
      <c r="C82" s="854" t="s">
        <v>1427</v>
      </c>
      <c r="D82" s="501">
        <v>52</v>
      </c>
      <c r="E82" s="523">
        <v>89</v>
      </c>
    </row>
    <row r="83" spans="1:5" s="1" customFormat="1" ht="11.25" customHeight="1">
      <c r="A83" s="458" t="s">
        <v>337</v>
      </c>
      <c r="B83" s="853">
        <v>0.81</v>
      </c>
      <c r="C83" s="854" t="s">
        <v>1426</v>
      </c>
      <c r="D83" s="501"/>
      <c r="E83" s="523">
        <v>0.81</v>
      </c>
    </row>
    <row r="84" spans="1:5" s="1" customFormat="1" ht="11.25" customHeight="1">
      <c r="A84" s="458" t="s">
        <v>28</v>
      </c>
      <c r="B84" s="853" t="s">
        <v>954</v>
      </c>
      <c r="C84" s="854" t="s">
        <v>954</v>
      </c>
      <c r="D84" s="501"/>
      <c r="E84" s="523"/>
    </row>
    <row r="85" spans="1:5" s="1" customFormat="1" ht="11.25" customHeight="1">
      <c r="A85" s="458" t="s">
        <v>338</v>
      </c>
      <c r="B85" s="853">
        <v>1070</v>
      </c>
      <c r="C85" s="854" t="s">
        <v>1427</v>
      </c>
      <c r="D85" s="501">
        <v>1070</v>
      </c>
      <c r="E85" s="523">
        <v>29000</v>
      </c>
    </row>
    <row r="86" spans="1:5" s="1" customFormat="1" ht="11.25" customHeight="1">
      <c r="A86" s="458" t="s">
        <v>339</v>
      </c>
      <c r="B86" s="853">
        <v>18</v>
      </c>
      <c r="C86" s="854" t="s">
        <v>1427</v>
      </c>
      <c r="D86" s="501">
        <v>18</v>
      </c>
      <c r="E86" s="523">
        <v>140</v>
      </c>
    </row>
    <row r="87" spans="1:5" s="1" customFormat="1" ht="11.25" customHeight="1">
      <c r="A87" s="458" t="s">
        <v>340</v>
      </c>
      <c r="B87" s="853">
        <v>5300</v>
      </c>
      <c r="C87" s="854" t="s">
        <v>1426</v>
      </c>
      <c r="D87" s="501"/>
      <c r="E87" s="523">
        <v>5300</v>
      </c>
    </row>
    <row r="88" spans="1:5" s="1" customFormat="1" ht="11.25" customHeight="1">
      <c r="A88" s="458" t="s">
        <v>103</v>
      </c>
      <c r="B88" s="853" t="s">
        <v>954</v>
      </c>
      <c r="C88" s="854" t="s">
        <v>954</v>
      </c>
      <c r="D88" s="501"/>
      <c r="E88" s="523"/>
    </row>
    <row r="89" spans="1:5" s="1" customFormat="1" ht="11.25" customHeight="1">
      <c r="A89" s="458" t="s">
        <v>341</v>
      </c>
      <c r="B89" s="853">
        <v>9.0000000000000006E-5</v>
      </c>
      <c r="C89" s="854" t="s">
        <v>1427</v>
      </c>
      <c r="D89" s="501">
        <v>9.0000000000000006E-5</v>
      </c>
      <c r="E89" s="523">
        <v>7.8999999999999996E-5</v>
      </c>
    </row>
    <row r="90" spans="1:5" s="1" customFormat="1" ht="11.25" customHeight="1">
      <c r="A90" s="458" t="s">
        <v>342</v>
      </c>
      <c r="B90" s="853">
        <v>3.8999999999999999E-5</v>
      </c>
      <c r="C90" s="854" t="s">
        <v>1426</v>
      </c>
      <c r="D90" s="501"/>
      <c r="E90" s="523">
        <v>3.8999999999999999E-5</v>
      </c>
    </row>
    <row r="91" spans="1:5" s="1" customFormat="1" ht="11.25" customHeight="1">
      <c r="A91" s="458" t="s">
        <v>371</v>
      </c>
      <c r="B91" s="853">
        <v>2.4000000000000001E-4</v>
      </c>
      <c r="C91" s="854" t="s">
        <v>1427</v>
      </c>
      <c r="D91" s="501">
        <v>2.4000000000000001E-4</v>
      </c>
      <c r="E91" s="523">
        <v>2.9E-4</v>
      </c>
    </row>
    <row r="92" spans="1:5" s="1" customFormat="1" ht="11.25" customHeight="1">
      <c r="A92" s="458" t="s">
        <v>343</v>
      </c>
      <c r="B92" s="853">
        <v>16</v>
      </c>
      <c r="C92" s="854" t="s">
        <v>1427</v>
      </c>
      <c r="D92" s="501">
        <v>16</v>
      </c>
      <c r="E92" s="523">
        <v>18</v>
      </c>
    </row>
    <row r="93" spans="1:5" s="1" customFormat="1" ht="11.25" customHeight="1">
      <c r="A93" s="458" t="s">
        <v>364</v>
      </c>
      <c r="B93" s="853">
        <v>0.02</v>
      </c>
      <c r="C93" s="854" t="s">
        <v>1427</v>
      </c>
      <c r="D93" s="501">
        <v>0.02</v>
      </c>
      <c r="E93" s="523">
        <v>6.3E-2</v>
      </c>
    </row>
    <row r="94" spans="1:5" s="1" customFormat="1" ht="11.25" customHeight="1">
      <c r="A94" s="458" t="s">
        <v>344</v>
      </c>
      <c r="B94" s="853">
        <v>2.9</v>
      </c>
      <c r="C94" s="854" t="s">
        <v>1427</v>
      </c>
      <c r="D94" s="501">
        <v>2.9</v>
      </c>
      <c r="E94" s="523">
        <v>3.3</v>
      </c>
    </row>
    <row r="95" spans="1:5" s="1" customFormat="1" ht="11.25" customHeight="1">
      <c r="A95" s="458" t="s">
        <v>104</v>
      </c>
      <c r="B95" s="853" t="s">
        <v>954</v>
      </c>
      <c r="C95" s="854" t="s">
        <v>954</v>
      </c>
      <c r="D95" s="501"/>
      <c r="E95" s="523"/>
    </row>
    <row r="96" spans="1:5" s="1" customFormat="1" ht="11.25" customHeight="1">
      <c r="A96" s="458" t="s">
        <v>345</v>
      </c>
      <c r="B96" s="853">
        <v>1.7999999999999999E-2</v>
      </c>
      <c r="C96" s="854" t="s">
        <v>1426</v>
      </c>
      <c r="D96" s="501"/>
      <c r="E96" s="523">
        <v>1.7999999999999999E-2</v>
      </c>
    </row>
    <row r="97" spans="1:5" s="1" customFormat="1" ht="11.25" customHeight="1">
      <c r="A97" s="458" t="s">
        <v>105</v>
      </c>
      <c r="B97" s="853">
        <v>170000</v>
      </c>
      <c r="C97" s="854" t="s">
        <v>1427</v>
      </c>
      <c r="D97" s="857">
        <v>170000</v>
      </c>
      <c r="E97" s="523"/>
    </row>
    <row r="98" spans="1:5" s="1" customFormat="1" ht="11.25" customHeight="1">
      <c r="A98" s="458" t="s">
        <v>346</v>
      </c>
      <c r="B98" s="853" t="s">
        <v>954</v>
      </c>
      <c r="C98" s="854" t="s">
        <v>954</v>
      </c>
      <c r="D98" s="501"/>
      <c r="E98" s="523"/>
    </row>
    <row r="99" spans="1:5" s="1" customFormat="1" ht="11.25" customHeight="1">
      <c r="A99" s="458" t="s">
        <v>347</v>
      </c>
      <c r="B99" s="853">
        <v>4.7E-2</v>
      </c>
      <c r="C99" s="854" t="s">
        <v>1427</v>
      </c>
      <c r="D99" s="501">
        <v>4.7E-2</v>
      </c>
      <c r="E99" s="523">
        <v>0.3</v>
      </c>
    </row>
    <row r="100" spans="1:5" s="1" customFormat="1" ht="11.25" customHeight="1">
      <c r="A100" s="458" t="s">
        <v>348</v>
      </c>
      <c r="B100" s="853" t="s">
        <v>954</v>
      </c>
      <c r="C100" s="854" t="s">
        <v>954</v>
      </c>
      <c r="D100" s="501"/>
      <c r="E100" s="523"/>
    </row>
    <row r="101" spans="1:5" s="1" customFormat="1" ht="11.25" customHeight="1">
      <c r="A101" s="458" t="s">
        <v>350</v>
      </c>
      <c r="B101" s="853" t="s">
        <v>954</v>
      </c>
      <c r="C101" s="854" t="s">
        <v>954</v>
      </c>
      <c r="D101" s="501"/>
      <c r="E101" s="523"/>
    </row>
    <row r="102" spans="1:5" s="1" customFormat="1" ht="11.25" customHeight="1">
      <c r="A102" s="458" t="s">
        <v>351</v>
      </c>
      <c r="B102" s="853" t="s">
        <v>954</v>
      </c>
      <c r="C102" s="854" t="s">
        <v>954</v>
      </c>
      <c r="D102" s="501"/>
      <c r="E102" s="523"/>
    </row>
    <row r="103" spans="1:5" s="1" customFormat="1" ht="11.25" customHeight="1">
      <c r="A103" s="458" t="s">
        <v>352</v>
      </c>
      <c r="B103" s="853" t="s">
        <v>954</v>
      </c>
      <c r="C103" s="854" t="s">
        <v>954</v>
      </c>
      <c r="D103" s="501"/>
      <c r="E103" s="523"/>
    </row>
    <row r="104" spans="1:5" s="1" customFormat="1" ht="11.25" customHeight="1">
      <c r="A104" s="458" t="s">
        <v>353</v>
      </c>
      <c r="B104" s="853" t="s">
        <v>954</v>
      </c>
      <c r="C104" s="854" t="s">
        <v>954</v>
      </c>
      <c r="D104" s="501"/>
      <c r="E104" s="523"/>
    </row>
    <row r="105" spans="1:5" s="1" customFormat="1" ht="11.25" customHeight="1">
      <c r="A105" s="458" t="s">
        <v>349</v>
      </c>
      <c r="B105" s="853">
        <v>590</v>
      </c>
      <c r="C105" s="854" t="s">
        <v>1426</v>
      </c>
      <c r="D105" s="501"/>
      <c r="E105" s="523">
        <v>590</v>
      </c>
    </row>
    <row r="106" spans="1:5" s="1" customFormat="1" ht="11.25" customHeight="1">
      <c r="A106" s="458" t="s">
        <v>590</v>
      </c>
      <c r="B106" s="853" t="s">
        <v>954</v>
      </c>
      <c r="C106" s="854" t="s">
        <v>954</v>
      </c>
      <c r="D106" s="501"/>
      <c r="E106" s="523"/>
    </row>
    <row r="107" spans="1:5" s="1" customFormat="1" ht="11.25" customHeight="1">
      <c r="A107" s="458" t="s">
        <v>591</v>
      </c>
      <c r="B107" s="853" t="s">
        <v>954</v>
      </c>
      <c r="C107" s="854" t="s">
        <v>954</v>
      </c>
      <c r="D107" s="501"/>
      <c r="E107" s="523"/>
    </row>
    <row r="108" spans="1:5" s="1" customFormat="1" ht="11.25" customHeight="1">
      <c r="A108" s="458" t="s">
        <v>465</v>
      </c>
      <c r="B108" s="853" t="s">
        <v>954</v>
      </c>
      <c r="C108" s="854" t="s">
        <v>954</v>
      </c>
      <c r="D108" s="501"/>
      <c r="E108" s="523"/>
    </row>
    <row r="109" spans="1:5" s="1" customFormat="1" ht="11.25" customHeight="1">
      <c r="A109" s="458" t="s">
        <v>466</v>
      </c>
      <c r="B109" s="853" t="s">
        <v>954</v>
      </c>
      <c r="C109" s="854" t="s">
        <v>954</v>
      </c>
      <c r="D109" s="501"/>
      <c r="E109" s="523"/>
    </row>
    <row r="110" spans="1:5" s="1" customFormat="1" ht="11.25" customHeight="1">
      <c r="A110" s="458" t="s">
        <v>812</v>
      </c>
      <c r="B110" s="853">
        <v>33</v>
      </c>
      <c r="C110" s="854" t="s">
        <v>1427</v>
      </c>
      <c r="D110" s="501">
        <v>33</v>
      </c>
      <c r="E110" s="523">
        <v>4600</v>
      </c>
    </row>
    <row r="111" spans="1:5" s="1" customFormat="1" ht="11.25" customHeight="1">
      <c r="A111" s="458" t="s">
        <v>106</v>
      </c>
      <c r="B111" s="853" t="s">
        <v>954</v>
      </c>
      <c r="C111" s="854" t="s">
        <v>954</v>
      </c>
      <c r="D111" s="501"/>
      <c r="E111" s="523"/>
    </row>
    <row r="112" spans="1:5" s="1" customFormat="1" ht="11.25" customHeight="1">
      <c r="A112" s="458" t="s">
        <v>107</v>
      </c>
      <c r="B112" s="853" t="s">
        <v>954</v>
      </c>
      <c r="C112" s="854" t="s">
        <v>954</v>
      </c>
      <c r="D112" s="501"/>
      <c r="E112" s="523"/>
    </row>
    <row r="113" spans="1:5" s="1" customFormat="1" ht="11.25" customHeight="1">
      <c r="A113" s="458" t="s">
        <v>108</v>
      </c>
      <c r="B113" s="853" t="s">
        <v>954</v>
      </c>
      <c r="C113" s="854" t="s">
        <v>954</v>
      </c>
      <c r="D113" s="501"/>
      <c r="E113" s="523"/>
    </row>
    <row r="114" spans="1:5" s="1" customFormat="1" ht="11.25" customHeight="1">
      <c r="A114" s="458" t="s">
        <v>109</v>
      </c>
      <c r="B114" s="853" t="s">
        <v>954</v>
      </c>
      <c r="C114" s="854" t="s">
        <v>954</v>
      </c>
      <c r="D114" s="501"/>
      <c r="E114" s="523"/>
    </row>
    <row r="115" spans="1:5" s="1" customFormat="1" ht="11.25" customHeight="1">
      <c r="A115" s="458" t="s">
        <v>110</v>
      </c>
      <c r="B115" s="853" t="s">
        <v>954</v>
      </c>
      <c r="C115" s="854" t="s">
        <v>954</v>
      </c>
      <c r="D115" s="501"/>
      <c r="E115" s="523"/>
    </row>
    <row r="116" spans="1:5" s="1" customFormat="1" ht="11.25" customHeight="1">
      <c r="A116" s="458" t="s">
        <v>467</v>
      </c>
      <c r="B116" s="853">
        <v>3</v>
      </c>
      <c r="C116" s="854" t="s">
        <v>1426</v>
      </c>
      <c r="D116" s="501"/>
      <c r="E116" s="523">
        <v>3</v>
      </c>
    </row>
    <row r="117" spans="1:5" s="1" customFormat="1" ht="11.25" customHeight="1">
      <c r="A117" s="458" t="s">
        <v>111</v>
      </c>
      <c r="B117" s="853" t="s">
        <v>954</v>
      </c>
      <c r="C117" s="854" t="s">
        <v>954</v>
      </c>
      <c r="D117" s="501"/>
      <c r="E117" s="523"/>
    </row>
    <row r="118" spans="1:5" s="1" customFormat="1" ht="11.25" customHeight="1">
      <c r="A118" s="458" t="s">
        <v>231</v>
      </c>
      <c r="B118" s="853" t="s">
        <v>954</v>
      </c>
      <c r="C118" s="854" t="s">
        <v>954</v>
      </c>
      <c r="D118" s="501"/>
      <c r="E118" s="523"/>
    </row>
    <row r="119" spans="1:5" s="1" customFormat="1" ht="11.25" customHeight="1">
      <c r="A119" s="458" t="s">
        <v>468</v>
      </c>
      <c r="B119" s="853" t="s">
        <v>954</v>
      </c>
      <c r="C119" s="854" t="s">
        <v>954</v>
      </c>
      <c r="D119" s="501"/>
      <c r="E119" s="523"/>
    </row>
    <row r="120" spans="1:5" s="1" customFormat="1" ht="11.25" customHeight="1">
      <c r="A120" s="458" t="s">
        <v>469</v>
      </c>
      <c r="B120" s="853">
        <v>1700000</v>
      </c>
      <c r="C120" s="854" t="s">
        <v>1426</v>
      </c>
      <c r="D120" s="501"/>
      <c r="E120" s="523">
        <v>1700000</v>
      </c>
    </row>
    <row r="121" spans="1:5" s="1" customFormat="1" ht="11.25" customHeight="1">
      <c r="A121" s="458" t="s">
        <v>365</v>
      </c>
      <c r="B121" s="853">
        <v>7.8999999999999996E-5</v>
      </c>
      <c r="C121" s="854" t="s">
        <v>1427</v>
      </c>
      <c r="D121" s="501">
        <v>7.8999999999999996E-5</v>
      </c>
      <c r="E121" s="523">
        <v>6.3999999999999997E-5</v>
      </c>
    </row>
    <row r="122" spans="1:5" s="1" customFormat="1" ht="11.25" customHeight="1">
      <c r="A122" s="458" t="s">
        <v>112</v>
      </c>
      <c r="B122" s="853" t="s">
        <v>954</v>
      </c>
      <c r="C122" s="854" t="s">
        <v>954</v>
      </c>
      <c r="D122" s="501"/>
      <c r="E122" s="523"/>
    </row>
    <row r="123" spans="1:5" s="1" customFormat="1" ht="11.25" customHeight="1">
      <c r="A123" s="458" t="s">
        <v>470</v>
      </c>
      <c r="B123" s="853">
        <v>4000</v>
      </c>
      <c r="C123" s="854" t="s">
        <v>1426</v>
      </c>
      <c r="D123" s="501"/>
      <c r="E123" s="523">
        <v>4000</v>
      </c>
    </row>
    <row r="124" spans="1:5" s="1" customFormat="1" ht="11.25" customHeight="1">
      <c r="A124" s="458" t="s">
        <v>471</v>
      </c>
      <c r="B124" s="853" t="s">
        <v>954</v>
      </c>
      <c r="C124" s="854" t="s">
        <v>954</v>
      </c>
      <c r="D124" s="501"/>
      <c r="E124" s="523"/>
    </row>
    <row r="125" spans="1:5" s="1" customFormat="1" ht="11.25" customHeight="1">
      <c r="A125" s="458" t="s">
        <v>813</v>
      </c>
      <c r="B125" s="853" t="s">
        <v>954</v>
      </c>
      <c r="C125" s="854" t="s">
        <v>954</v>
      </c>
      <c r="D125" s="501"/>
      <c r="E125" s="523"/>
    </row>
    <row r="126" spans="1:5" s="1" customFormat="1" ht="11.25" customHeight="1">
      <c r="A126" s="458" t="s">
        <v>113</v>
      </c>
      <c r="B126" s="853" t="s">
        <v>954</v>
      </c>
      <c r="C126" s="854" t="s">
        <v>954</v>
      </c>
      <c r="D126" s="501"/>
      <c r="E126" s="523"/>
    </row>
    <row r="127" spans="1:5" s="1" customFormat="1" ht="11.25" customHeight="1">
      <c r="A127" s="458" t="s">
        <v>472</v>
      </c>
      <c r="B127" s="853" t="s">
        <v>954</v>
      </c>
      <c r="C127" s="854" t="s">
        <v>954</v>
      </c>
      <c r="D127" s="501"/>
      <c r="E127" s="523"/>
    </row>
    <row r="128" spans="1:5" s="1" customFormat="1" ht="11.25" customHeight="1">
      <c r="A128" s="458" t="s">
        <v>114</v>
      </c>
      <c r="B128" s="853" t="s">
        <v>954</v>
      </c>
      <c r="C128" s="854" t="s">
        <v>954</v>
      </c>
      <c r="D128" s="501"/>
      <c r="E128" s="523"/>
    </row>
    <row r="129" spans="1:5" s="1" customFormat="1" ht="11.25" customHeight="1">
      <c r="A129" s="458" t="s">
        <v>19</v>
      </c>
      <c r="B129" s="853" t="s">
        <v>954</v>
      </c>
      <c r="C129" s="854" t="s">
        <v>954</v>
      </c>
      <c r="D129" s="501"/>
      <c r="E129" s="523"/>
    </row>
    <row r="130" spans="1:5" s="1" customFormat="1" ht="11.25" customHeight="1">
      <c r="A130" s="458" t="s">
        <v>473</v>
      </c>
      <c r="B130" s="853" t="s">
        <v>954</v>
      </c>
      <c r="C130" s="854" t="s">
        <v>954</v>
      </c>
      <c r="D130" s="501"/>
      <c r="E130" s="523"/>
    </row>
    <row r="131" spans="1:5" s="1" customFormat="1" ht="11.25" customHeight="1">
      <c r="A131" s="458" t="s">
        <v>474</v>
      </c>
      <c r="B131" s="853">
        <v>3.5</v>
      </c>
      <c r="C131" s="854" t="s">
        <v>1427</v>
      </c>
      <c r="D131" s="501">
        <v>3.5</v>
      </c>
      <c r="E131" s="523">
        <v>4</v>
      </c>
    </row>
    <row r="132" spans="1:5" s="1" customFormat="1" ht="11.25" customHeight="1">
      <c r="A132" s="458" t="s">
        <v>475</v>
      </c>
      <c r="B132" s="853">
        <v>2.9</v>
      </c>
      <c r="C132" s="854" t="s">
        <v>1427</v>
      </c>
      <c r="D132" s="802">
        <v>2.9</v>
      </c>
      <c r="E132" s="523">
        <v>3.3</v>
      </c>
    </row>
    <row r="133" spans="1:5" s="1" customFormat="1" ht="11.25" customHeight="1">
      <c r="A133" s="458" t="s">
        <v>115</v>
      </c>
      <c r="B133" s="853" t="s">
        <v>954</v>
      </c>
      <c r="C133" s="854" t="s">
        <v>954</v>
      </c>
      <c r="D133" s="501"/>
      <c r="E133" s="523"/>
    </row>
    <row r="134" spans="1:5" s="1" customFormat="1" ht="11.25" customHeight="1">
      <c r="A134" s="458" t="s">
        <v>116</v>
      </c>
      <c r="B134" s="853" t="s">
        <v>954</v>
      </c>
      <c r="C134" s="854" t="s">
        <v>954</v>
      </c>
      <c r="D134" s="501"/>
      <c r="E134" s="523"/>
    </row>
    <row r="135" spans="1:5" s="1" customFormat="1" ht="11.25" customHeight="1">
      <c r="A135" s="458" t="s">
        <v>476</v>
      </c>
      <c r="B135" s="853">
        <v>16</v>
      </c>
      <c r="C135" s="854" t="s">
        <v>1427</v>
      </c>
      <c r="D135" s="501">
        <v>16</v>
      </c>
      <c r="E135" s="523">
        <v>6.3</v>
      </c>
    </row>
    <row r="136" spans="1:5" s="1" customFormat="1" ht="11.25" customHeight="1">
      <c r="A136" s="458" t="s">
        <v>366</v>
      </c>
      <c r="B136" s="853">
        <v>140000</v>
      </c>
      <c r="C136" s="854" t="s">
        <v>1427</v>
      </c>
      <c r="D136" s="501">
        <v>140000</v>
      </c>
      <c r="E136" s="523">
        <v>200000</v>
      </c>
    </row>
    <row r="137" spans="1:5" s="1" customFormat="1" ht="11.25" customHeight="1">
      <c r="A137" s="458" t="s">
        <v>20</v>
      </c>
      <c r="B137" s="853">
        <v>2.4000000000000001E-4</v>
      </c>
      <c r="C137" s="854" t="s">
        <v>1427</v>
      </c>
      <c r="D137" s="501">
        <v>2.4000000000000001E-4</v>
      </c>
      <c r="E137" s="523">
        <v>2.7999999999999998E-4</v>
      </c>
    </row>
    <row r="138" spans="1:5" s="1" customFormat="1" ht="11.25" customHeight="1">
      <c r="A138" s="458" t="s">
        <v>57</v>
      </c>
      <c r="B138" s="853" t="s">
        <v>954</v>
      </c>
      <c r="C138" s="854" t="s">
        <v>954</v>
      </c>
      <c r="D138" s="800"/>
      <c r="E138" s="858"/>
    </row>
    <row r="139" spans="1:5" s="1" customFormat="1" ht="11.25" customHeight="1">
      <c r="A139" s="458" t="s">
        <v>56</v>
      </c>
      <c r="B139" s="853" t="s">
        <v>954</v>
      </c>
      <c r="C139" s="854" t="s">
        <v>954</v>
      </c>
      <c r="D139" s="800"/>
      <c r="E139" s="858"/>
    </row>
    <row r="140" spans="1:5" s="1" customFormat="1" ht="11.25" customHeight="1">
      <c r="A140" s="458" t="s">
        <v>777</v>
      </c>
      <c r="B140" s="853" t="s">
        <v>954</v>
      </c>
      <c r="C140" s="854" t="s">
        <v>954</v>
      </c>
      <c r="D140" s="800"/>
      <c r="E140" s="858"/>
    </row>
    <row r="141" spans="1:5" s="1" customFormat="1" ht="11.25" customHeight="1">
      <c r="A141" s="458" t="s">
        <v>814</v>
      </c>
      <c r="B141" s="853" t="s">
        <v>954</v>
      </c>
      <c r="C141" s="854" t="s">
        <v>954</v>
      </c>
      <c r="D141" s="501"/>
      <c r="E141" s="523"/>
    </row>
    <row r="142" spans="1:5" s="1" customFormat="1" ht="11.25" customHeight="1">
      <c r="A142" s="458" t="s">
        <v>815</v>
      </c>
      <c r="B142" s="853">
        <v>340000</v>
      </c>
      <c r="C142" s="854" t="s">
        <v>1427</v>
      </c>
      <c r="D142" s="501">
        <v>340000</v>
      </c>
      <c r="E142" s="523"/>
    </row>
    <row r="143" spans="1:5" s="1" customFormat="1" ht="11.25" customHeight="1">
      <c r="A143" s="458" t="s">
        <v>477</v>
      </c>
      <c r="B143" s="853">
        <v>14</v>
      </c>
      <c r="C143" s="854" t="s">
        <v>1427</v>
      </c>
      <c r="D143" s="501">
        <v>14</v>
      </c>
      <c r="E143" s="523">
        <v>16</v>
      </c>
    </row>
    <row r="144" spans="1:5" s="1" customFormat="1" ht="11.25" customHeight="1">
      <c r="A144" s="458" t="s">
        <v>478</v>
      </c>
      <c r="B144" s="853">
        <v>26</v>
      </c>
      <c r="C144" s="854" t="s">
        <v>1427</v>
      </c>
      <c r="D144" s="501">
        <v>26</v>
      </c>
      <c r="E144" s="523">
        <v>30</v>
      </c>
    </row>
    <row r="145" spans="1:9" ht="11.25" customHeight="1">
      <c r="A145" s="458" t="s">
        <v>479</v>
      </c>
      <c r="B145" s="853">
        <v>3600</v>
      </c>
      <c r="C145" s="854" t="s">
        <v>1426</v>
      </c>
      <c r="D145" s="501"/>
      <c r="E145" s="523">
        <v>3600</v>
      </c>
      <c r="I145" s="1"/>
    </row>
    <row r="146" spans="1:9" ht="11.25" customHeight="1">
      <c r="A146" s="458" t="s">
        <v>480</v>
      </c>
      <c r="B146" s="853">
        <v>1.2</v>
      </c>
      <c r="C146" s="854" t="s">
        <v>1427</v>
      </c>
      <c r="D146" s="501">
        <v>1.2</v>
      </c>
      <c r="E146" s="523"/>
      <c r="I146" s="1"/>
    </row>
    <row r="147" spans="1:9" ht="11.25" customHeight="1">
      <c r="A147" s="462" t="s">
        <v>117</v>
      </c>
      <c r="B147" s="853"/>
      <c r="C147" s="854"/>
      <c r="D147" s="501"/>
      <c r="E147" s="523"/>
      <c r="I147" s="1"/>
    </row>
    <row r="148" spans="1:9" ht="11.25" customHeight="1">
      <c r="A148" s="458" t="s">
        <v>118</v>
      </c>
      <c r="B148" s="853" t="s">
        <v>954</v>
      </c>
      <c r="C148" s="854" t="s">
        <v>954</v>
      </c>
      <c r="D148" s="501"/>
      <c r="E148" s="523"/>
      <c r="I148" s="1"/>
    </row>
    <row r="149" spans="1:9" ht="11.25" customHeight="1">
      <c r="A149" s="458" t="s">
        <v>119</v>
      </c>
      <c r="B149" s="853" t="s">
        <v>954</v>
      </c>
      <c r="C149" s="854" t="s">
        <v>954</v>
      </c>
      <c r="D149" s="501"/>
      <c r="E149" s="523"/>
      <c r="I149" s="1"/>
    </row>
    <row r="150" spans="1:9" ht="11.25" customHeight="1">
      <c r="A150" s="458" t="s">
        <v>120</v>
      </c>
      <c r="B150" s="853" t="s">
        <v>954</v>
      </c>
      <c r="C150" s="854" t="s">
        <v>954</v>
      </c>
      <c r="D150" s="501"/>
      <c r="E150" s="523"/>
      <c r="I150" s="1"/>
    </row>
    <row r="151" spans="1:9" ht="11.25" customHeight="1">
      <c r="A151" s="458" t="s">
        <v>602</v>
      </c>
      <c r="B151" s="853" t="s">
        <v>954</v>
      </c>
      <c r="C151" s="854" t="s">
        <v>954</v>
      </c>
      <c r="D151" s="501"/>
      <c r="E151" s="523"/>
      <c r="I151" s="1"/>
    </row>
    <row r="152" spans="1:9" ht="11.25" customHeight="1">
      <c r="A152" s="458" t="s">
        <v>603</v>
      </c>
      <c r="B152" s="853" t="s">
        <v>954</v>
      </c>
      <c r="C152" s="854" t="s">
        <v>954</v>
      </c>
      <c r="D152" s="501"/>
      <c r="E152" s="523"/>
      <c r="I152" s="1"/>
    </row>
    <row r="153" spans="1:9" ht="11.25" customHeight="1">
      <c r="A153" s="458" t="s">
        <v>604</v>
      </c>
      <c r="B153" s="853" t="s">
        <v>954</v>
      </c>
      <c r="C153" s="854" t="s">
        <v>954</v>
      </c>
      <c r="D153" s="501"/>
      <c r="E153" s="523"/>
      <c r="I153" s="1"/>
    </row>
    <row r="154" spans="1:9" ht="11.25" customHeight="1">
      <c r="A154" s="458" t="s">
        <v>605</v>
      </c>
      <c r="B154" s="853" t="s">
        <v>954</v>
      </c>
      <c r="C154" s="854" t="s">
        <v>954</v>
      </c>
      <c r="D154" s="501"/>
      <c r="E154" s="523"/>
      <c r="I154" s="1"/>
    </row>
    <row r="155" spans="1:9" ht="11.25" customHeight="1">
      <c r="A155" s="458" t="s">
        <v>481</v>
      </c>
      <c r="B155" s="853" t="s">
        <v>954</v>
      </c>
      <c r="C155" s="854" t="s">
        <v>954</v>
      </c>
      <c r="D155" s="501"/>
      <c r="E155" s="523"/>
      <c r="I155" s="1"/>
    </row>
    <row r="156" spans="1:9" ht="11.25" customHeight="1">
      <c r="A156" s="458" t="s">
        <v>482</v>
      </c>
      <c r="B156" s="853">
        <v>170</v>
      </c>
      <c r="C156" s="854" t="s">
        <v>1427</v>
      </c>
      <c r="D156" s="802">
        <v>170</v>
      </c>
      <c r="E156" s="689">
        <v>530</v>
      </c>
      <c r="I156" s="1"/>
    </row>
    <row r="157" spans="1:9" ht="11.25" customHeight="1">
      <c r="A157" s="458" t="s">
        <v>483</v>
      </c>
      <c r="B157" s="853" t="s">
        <v>954</v>
      </c>
      <c r="C157" s="854" t="s">
        <v>954</v>
      </c>
      <c r="D157" s="501"/>
      <c r="E157" s="523"/>
      <c r="I157" s="1"/>
    </row>
    <row r="158" spans="1:9" ht="11.25" customHeight="1" thickBot="1">
      <c r="A158" s="516" t="s">
        <v>484</v>
      </c>
      <c r="B158" s="853" t="s">
        <v>954</v>
      </c>
      <c r="C158" s="859" t="s">
        <v>954</v>
      </c>
      <c r="D158" s="627"/>
      <c r="E158" s="525"/>
      <c r="I158" s="1"/>
    </row>
    <row r="159" spans="1:9" ht="11.25" customHeight="1" thickTop="1">
      <c r="A159" s="470"/>
      <c r="B159" s="805"/>
      <c r="C159" s="805"/>
      <c r="D159" s="707"/>
      <c r="E159" s="860"/>
    </row>
    <row r="160" spans="1:9" ht="11.25" customHeight="1">
      <c r="A160" s="474" t="s">
        <v>696</v>
      </c>
      <c r="B160" s="724"/>
      <c r="C160" s="724"/>
      <c r="D160" s="510"/>
      <c r="E160" s="806"/>
    </row>
    <row r="161" spans="1:5" ht="11.25" customHeight="1">
      <c r="A161" s="479" t="s">
        <v>1047</v>
      </c>
      <c r="B161" s="1"/>
      <c r="C161" s="1"/>
      <c r="E161" s="480"/>
    </row>
    <row r="162" spans="1:5" ht="11.25" customHeight="1">
      <c r="A162" s="479" t="s">
        <v>509</v>
      </c>
      <c r="B162" s="1"/>
      <c r="C162" s="1"/>
      <c r="E162" s="480"/>
    </row>
    <row r="163" spans="1:5" ht="11.25" customHeight="1">
      <c r="A163" s="474" t="s">
        <v>488</v>
      </c>
      <c r="B163" s="724"/>
      <c r="C163" s="724"/>
      <c r="D163" s="510"/>
      <c r="E163" s="806"/>
    </row>
    <row r="164" spans="1:5" ht="11.25" customHeight="1">
      <c r="A164" s="479" t="s">
        <v>508</v>
      </c>
      <c r="B164" s="724"/>
      <c r="C164" s="724"/>
      <c r="D164" s="510"/>
      <c r="E164" s="806"/>
    </row>
    <row r="165" spans="1:5" ht="11.25" customHeight="1" thickBot="1">
      <c r="A165" s="706" t="s">
        <v>595</v>
      </c>
      <c r="B165" s="612"/>
      <c r="C165" s="612"/>
      <c r="D165" s="861"/>
      <c r="E165" s="533"/>
    </row>
    <row r="166" spans="1:5" ht="10.5" thickTop="1"/>
  </sheetData>
  <sheetProtection algorithmName="SHA-512" hashValue="KFU9zYN9jKxwFdxmCr4YTSnEMt30SE84Kketl5es8Kvf1fiSi48JKKnHjGWIMqKOazkh99CA8wJiNoyOpEGAQQ==" saltValue="l4JzXHgrhN7JvjRf9VgwfA==" spinCount="100000" sheet="1" objects="1" scenarios="1"/>
  <phoneticPr fontId="0" type="noConversion"/>
  <printOptions horizontalCentered="1"/>
  <pageMargins left="0.17" right="0.16" top="0.53" bottom="1" header="0.5" footer="0.5"/>
  <pageSetup scale="93" fitToHeight="4" orientation="landscape" r:id="rId1"/>
  <headerFooter alignWithMargins="0">
    <oddFooter>&amp;LHawai'i DOH
Spring 2024&amp;C&amp;8Page &amp;P of &amp;N&amp;R&amp;A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29"/>
  </sheetPr>
  <dimension ref="A1:E165"/>
  <sheetViews>
    <sheetView zoomScaleNormal="100" workbookViewId="0">
      <pane ySplit="1815" topLeftCell="A5" activePane="bottomLeft"/>
      <selection activeCell="B7" sqref="B7"/>
      <selection pane="bottomLeft" activeCell="B7" sqref="B7"/>
    </sheetView>
  </sheetViews>
  <sheetFormatPr defaultColWidth="9.1328125" defaultRowHeight="10.15"/>
  <cols>
    <col min="1" max="1" width="40.73046875" style="1" customWidth="1"/>
    <col min="2" max="2" width="14.73046875" style="1" customWidth="1"/>
    <col min="3" max="4" width="9.1328125" style="1"/>
    <col min="5" max="5" width="13.86328125" style="606" customWidth="1"/>
    <col min="6" max="7" width="10.3984375" style="1" customWidth="1"/>
    <col min="8" max="16384" width="9.1328125" style="1"/>
  </cols>
  <sheetData>
    <row r="1" spans="1:5" s="753" customFormat="1" ht="30">
      <c r="A1" s="751" t="s">
        <v>876</v>
      </c>
      <c r="B1" s="751"/>
    </row>
    <row r="2" spans="1:5" s="753" customFormat="1" ht="13.9">
      <c r="A2" s="693" t="s">
        <v>30</v>
      </c>
      <c r="B2" s="693"/>
    </row>
    <row r="3" spans="1:5" s="510" customFormat="1" ht="10.5" thickBot="1">
      <c r="A3" s="694"/>
      <c r="B3" s="694"/>
      <c r="E3" s="607"/>
    </row>
    <row r="4" spans="1:5" s="510" customFormat="1" ht="21" thickTop="1" thickBot="1">
      <c r="A4" s="727" t="s">
        <v>232</v>
      </c>
      <c r="B4" s="862" t="s">
        <v>248</v>
      </c>
    </row>
    <row r="5" spans="1:5" s="510" customFormat="1">
      <c r="A5" s="454" t="s">
        <v>548</v>
      </c>
      <c r="B5" s="561" t="s">
        <v>367</v>
      </c>
    </row>
    <row r="6" spans="1:5" s="510" customFormat="1">
      <c r="A6" s="458" t="s">
        <v>549</v>
      </c>
      <c r="B6" s="567" t="s">
        <v>367</v>
      </c>
    </row>
    <row r="7" spans="1:5" s="510" customFormat="1">
      <c r="A7" s="458" t="s">
        <v>550</v>
      </c>
      <c r="B7" s="567" t="s">
        <v>367</v>
      </c>
    </row>
    <row r="8" spans="1:5" s="510" customFormat="1">
      <c r="A8" s="458" t="s">
        <v>551</v>
      </c>
      <c r="B8" s="567" t="s">
        <v>367</v>
      </c>
    </row>
    <row r="9" spans="1:5" s="510" customFormat="1">
      <c r="A9" s="458" t="s">
        <v>161</v>
      </c>
      <c r="B9" s="567" t="s">
        <v>367</v>
      </c>
    </row>
    <row r="10" spans="1:5" s="510" customFormat="1">
      <c r="A10" s="462" t="s">
        <v>162</v>
      </c>
      <c r="B10" s="567" t="s">
        <v>367</v>
      </c>
    </row>
    <row r="11" spans="1:5" s="510" customFormat="1">
      <c r="A11" s="462" t="s">
        <v>94</v>
      </c>
      <c r="B11" s="567" t="s">
        <v>367</v>
      </c>
    </row>
    <row r="12" spans="1:5" s="510" customFormat="1">
      <c r="A12" s="458" t="s">
        <v>552</v>
      </c>
      <c r="B12" s="567" t="s">
        <v>367</v>
      </c>
    </row>
    <row r="13" spans="1:5" s="510" customFormat="1">
      <c r="A13" s="458" t="s">
        <v>553</v>
      </c>
      <c r="B13" s="567" t="s">
        <v>367</v>
      </c>
    </row>
    <row r="14" spans="1:5" s="510" customFormat="1">
      <c r="A14" s="458" t="s">
        <v>686</v>
      </c>
      <c r="B14" s="567">
        <v>100</v>
      </c>
    </row>
    <row r="15" spans="1:5" s="510" customFormat="1">
      <c r="A15" s="458" t="s">
        <v>95</v>
      </c>
      <c r="B15" s="567" t="s">
        <v>367</v>
      </c>
    </row>
    <row r="16" spans="1:5" s="510" customFormat="1">
      <c r="A16" s="458" t="s">
        <v>687</v>
      </c>
      <c r="B16" s="567" t="s">
        <v>367</v>
      </c>
    </row>
    <row r="17" spans="1:2" s="510" customFormat="1">
      <c r="A17" s="458" t="s">
        <v>1156</v>
      </c>
      <c r="B17" s="567"/>
    </row>
    <row r="18" spans="1:2" s="510" customFormat="1">
      <c r="A18" s="458" t="s">
        <v>688</v>
      </c>
      <c r="B18" s="567" t="s">
        <v>367</v>
      </c>
    </row>
    <row r="19" spans="1:2" s="510" customFormat="1">
      <c r="A19" s="458" t="s">
        <v>689</v>
      </c>
      <c r="B19" s="567" t="s">
        <v>367</v>
      </c>
    </row>
    <row r="20" spans="1:2" s="510" customFormat="1">
      <c r="A20" s="458" t="s">
        <v>690</v>
      </c>
      <c r="B20" s="567" t="s">
        <v>367</v>
      </c>
    </row>
    <row r="21" spans="1:2" s="510" customFormat="1">
      <c r="A21" s="458" t="s">
        <v>691</v>
      </c>
      <c r="B21" s="567" t="s">
        <v>367</v>
      </c>
    </row>
    <row r="22" spans="1:2" s="510" customFormat="1">
      <c r="A22" s="458" t="s">
        <v>692</v>
      </c>
      <c r="B22" s="567" t="s">
        <v>367</v>
      </c>
    </row>
    <row r="23" spans="1:2" s="510" customFormat="1">
      <c r="A23" s="458" t="s">
        <v>693</v>
      </c>
      <c r="B23" s="567" t="s">
        <v>367</v>
      </c>
    </row>
    <row r="24" spans="1:2" s="510" customFormat="1">
      <c r="A24" s="458" t="s">
        <v>126</v>
      </c>
      <c r="B24" s="567">
        <v>100</v>
      </c>
    </row>
    <row r="25" spans="1:2" s="510" customFormat="1">
      <c r="A25" s="458" t="s">
        <v>233</v>
      </c>
      <c r="B25" s="567" t="s">
        <v>367</v>
      </c>
    </row>
    <row r="26" spans="1:2" s="510" customFormat="1">
      <c r="A26" s="458" t="s">
        <v>127</v>
      </c>
      <c r="B26" s="567" t="s">
        <v>367</v>
      </c>
    </row>
    <row r="27" spans="1:2" s="510" customFormat="1">
      <c r="A27" s="503" t="s">
        <v>1103</v>
      </c>
      <c r="B27" s="567" t="s">
        <v>367</v>
      </c>
    </row>
    <row r="28" spans="1:2" s="510" customFormat="1">
      <c r="A28" s="458" t="s">
        <v>128</v>
      </c>
      <c r="B28" s="567" t="s">
        <v>367</v>
      </c>
    </row>
    <row r="29" spans="1:2" s="510" customFormat="1">
      <c r="A29" s="458" t="s">
        <v>129</v>
      </c>
      <c r="B29" s="567">
        <v>700</v>
      </c>
    </row>
    <row r="30" spans="1:2" s="510" customFormat="1">
      <c r="A30" s="458" t="s">
        <v>130</v>
      </c>
      <c r="B30" s="567" t="s">
        <v>367</v>
      </c>
    </row>
    <row r="31" spans="1:2" s="510" customFormat="1">
      <c r="A31" s="458" t="s">
        <v>131</v>
      </c>
      <c r="B31" s="567" t="s">
        <v>367</v>
      </c>
    </row>
    <row r="32" spans="1:2" s="510" customFormat="1">
      <c r="A32" s="458" t="s">
        <v>132</v>
      </c>
      <c r="B32" s="567" t="s">
        <v>367</v>
      </c>
    </row>
    <row r="33" spans="1:2" s="510" customFormat="1">
      <c r="A33" s="458" t="s">
        <v>133</v>
      </c>
      <c r="B33" s="567">
        <v>10</v>
      </c>
    </row>
    <row r="34" spans="1:2" s="510" customFormat="1">
      <c r="A34" s="458" t="s">
        <v>134</v>
      </c>
      <c r="B34" s="567" t="s">
        <v>367</v>
      </c>
    </row>
    <row r="35" spans="1:2" s="510" customFormat="1">
      <c r="A35" s="458" t="s">
        <v>614</v>
      </c>
      <c r="B35" s="567" t="s">
        <v>367</v>
      </c>
    </row>
    <row r="36" spans="1:2" s="510" customFormat="1">
      <c r="A36" s="458" t="s">
        <v>135</v>
      </c>
      <c r="B36" s="567" t="s">
        <v>367</v>
      </c>
    </row>
    <row r="37" spans="1:2" s="510" customFormat="1">
      <c r="A37" s="458" t="s">
        <v>136</v>
      </c>
      <c r="B37" s="567" t="s">
        <v>367</v>
      </c>
    </row>
    <row r="38" spans="1:2" s="510" customFormat="1">
      <c r="A38" s="458" t="s">
        <v>781</v>
      </c>
      <c r="B38" s="567" t="s">
        <v>367</v>
      </c>
    </row>
    <row r="39" spans="1:2" s="1" customFormat="1" ht="11.25" customHeight="1">
      <c r="A39" s="464" t="s">
        <v>137</v>
      </c>
      <c r="B39" s="863" t="s">
        <v>367</v>
      </c>
    </row>
    <row r="40" spans="1:2" s="1" customFormat="1" ht="11.25" customHeight="1">
      <c r="A40" s="458" t="s">
        <v>782</v>
      </c>
      <c r="B40" s="863" t="s">
        <v>367</v>
      </c>
    </row>
    <row r="41" spans="1:2" s="1" customFormat="1" ht="11.25" customHeight="1">
      <c r="A41" s="458" t="s">
        <v>138</v>
      </c>
      <c r="B41" s="863" t="s">
        <v>367</v>
      </c>
    </row>
    <row r="42" spans="1:2" s="1" customFormat="1" ht="11.25" customHeight="1">
      <c r="A42" s="458" t="s">
        <v>612</v>
      </c>
      <c r="B42" s="863" t="s">
        <v>367</v>
      </c>
    </row>
    <row r="43" spans="1:2" s="1" customFormat="1" ht="11.25" customHeight="1">
      <c r="A43" s="458" t="s">
        <v>779</v>
      </c>
      <c r="B43" s="863" t="s">
        <v>367</v>
      </c>
    </row>
    <row r="44" spans="1:2" s="1" customFormat="1" ht="11.25" customHeight="1">
      <c r="A44" s="458" t="s">
        <v>780</v>
      </c>
      <c r="B44" s="863">
        <v>100</v>
      </c>
    </row>
    <row r="45" spans="1:2" s="1" customFormat="1" ht="11.25" customHeight="1">
      <c r="A45" s="458" t="s">
        <v>139</v>
      </c>
      <c r="B45" s="567" t="s">
        <v>367</v>
      </c>
    </row>
    <row r="46" spans="1:2" s="1" customFormat="1" ht="11.25" customHeight="1">
      <c r="A46" s="458" t="s">
        <v>140</v>
      </c>
      <c r="B46" s="863">
        <v>50</v>
      </c>
    </row>
    <row r="47" spans="1:2" s="1" customFormat="1" ht="11.25" customHeight="1">
      <c r="A47" s="458" t="s">
        <v>141</v>
      </c>
      <c r="B47" s="863">
        <v>200</v>
      </c>
    </row>
    <row r="48" spans="1:2" s="1" customFormat="1" ht="11.25" customHeight="1">
      <c r="A48" s="458" t="s">
        <v>142</v>
      </c>
      <c r="B48" s="863" t="s">
        <v>367</v>
      </c>
    </row>
    <row r="49" spans="1:2" s="1" customFormat="1" ht="11.25" customHeight="1">
      <c r="A49" s="462" t="s">
        <v>96</v>
      </c>
      <c r="B49" s="863" t="s">
        <v>367</v>
      </c>
    </row>
    <row r="50" spans="1:2" s="1" customFormat="1" ht="11.25" customHeight="1">
      <c r="A50" s="458" t="s">
        <v>97</v>
      </c>
      <c r="B50" s="863" t="s">
        <v>367</v>
      </c>
    </row>
    <row r="51" spans="1:2" s="1" customFormat="1" ht="11.25" customHeight="1">
      <c r="A51" s="458" t="s">
        <v>143</v>
      </c>
      <c r="B51" s="863" t="s">
        <v>367</v>
      </c>
    </row>
    <row r="52" spans="1:2" s="1" customFormat="1" ht="11.25" customHeight="1">
      <c r="A52" s="458" t="s">
        <v>381</v>
      </c>
      <c r="B52" s="863" t="s">
        <v>367</v>
      </c>
    </row>
    <row r="53" spans="1:2" s="1" customFormat="1" ht="11.25" customHeight="1">
      <c r="A53" s="458" t="s">
        <v>144</v>
      </c>
      <c r="B53" s="863" t="s">
        <v>367</v>
      </c>
    </row>
    <row r="54" spans="1:2" s="1" customFormat="1" ht="11.25" customHeight="1">
      <c r="A54" s="458" t="s">
        <v>487</v>
      </c>
      <c r="B54" s="863" t="s">
        <v>367</v>
      </c>
    </row>
    <row r="55" spans="1:2" s="1" customFormat="1" ht="11.25" customHeight="1">
      <c r="A55" s="458" t="s">
        <v>145</v>
      </c>
      <c r="B55" s="863" t="s">
        <v>367</v>
      </c>
    </row>
    <row r="56" spans="1:2" s="1" customFormat="1" ht="11.25" customHeight="1">
      <c r="A56" s="458" t="s">
        <v>225</v>
      </c>
      <c r="B56" s="863" t="s">
        <v>367</v>
      </c>
    </row>
    <row r="57" spans="1:2" s="1" customFormat="1" ht="11.25" customHeight="1">
      <c r="A57" s="458" t="s">
        <v>226</v>
      </c>
      <c r="B57" s="863" t="s">
        <v>367</v>
      </c>
    </row>
    <row r="58" spans="1:2" s="1" customFormat="1" ht="11.25" customHeight="1">
      <c r="A58" s="458" t="s">
        <v>227</v>
      </c>
      <c r="B58" s="863" t="s">
        <v>367</v>
      </c>
    </row>
    <row r="59" spans="1:2" s="1" customFormat="1" ht="11.25" customHeight="1">
      <c r="A59" s="458" t="s">
        <v>361</v>
      </c>
      <c r="B59" s="863" t="s">
        <v>367</v>
      </c>
    </row>
    <row r="60" spans="1:2" s="1" customFormat="1" ht="11.25" customHeight="1">
      <c r="A60" s="458" t="s">
        <v>362</v>
      </c>
      <c r="B60" s="863" t="s">
        <v>367</v>
      </c>
    </row>
    <row r="61" spans="1:2" s="1" customFormat="1" ht="11.25" customHeight="1">
      <c r="A61" s="458" t="s">
        <v>363</v>
      </c>
      <c r="B61" s="863" t="s">
        <v>367</v>
      </c>
    </row>
    <row r="62" spans="1:2" s="1" customFormat="1" ht="11.25" customHeight="1">
      <c r="A62" s="458" t="s">
        <v>234</v>
      </c>
      <c r="B62" s="863" t="s">
        <v>367</v>
      </c>
    </row>
    <row r="63" spans="1:2" s="1" customFormat="1" ht="11.25" customHeight="1">
      <c r="A63" s="458" t="s">
        <v>235</v>
      </c>
      <c r="B63" s="863" t="s">
        <v>367</v>
      </c>
    </row>
    <row r="64" spans="1:2" s="1" customFormat="1" ht="11.25" customHeight="1">
      <c r="A64" s="458" t="s">
        <v>294</v>
      </c>
      <c r="B64" s="863" t="s">
        <v>367</v>
      </c>
    </row>
    <row r="65" spans="1:2" s="1" customFormat="1" ht="11.25" customHeight="1">
      <c r="A65" s="458" t="s">
        <v>295</v>
      </c>
      <c r="B65" s="863" t="s">
        <v>367</v>
      </c>
    </row>
    <row r="66" spans="1:2" s="1" customFormat="1" ht="11.25" customHeight="1">
      <c r="A66" s="458" t="s">
        <v>228</v>
      </c>
      <c r="B66" s="863" t="s">
        <v>367</v>
      </c>
    </row>
    <row r="67" spans="1:2" s="1" customFormat="1" ht="11.25" customHeight="1">
      <c r="A67" s="458" t="s">
        <v>942</v>
      </c>
      <c r="B67" s="863" t="s">
        <v>367</v>
      </c>
    </row>
    <row r="68" spans="1:2" s="1" customFormat="1" ht="11.25" customHeight="1">
      <c r="A68" s="458" t="s">
        <v>98</v>
      </c>
      <c r="B68" s="863" t="s">
        <v>367</v>
      </c>
    </row>
    <row r="69" spans="1:2" s="1" customFormat="1" ht="11.25" customHeight="1">
      <c r="A69" s="458" t="s">
        <v>943</v>
      </c>
      <c r="B69" s="863" t="s">
        <v>367</v>
      </c>
    </row>
    <row r="70" spans="1:2" s="1" customFormat="1" ht="11.25" customHeight="1">
      <c r="A70" s="458" t="s">
        <v>296</v>
      </c>
      <c r="B70" s="863" t="s">
        <v>367</v>
      </c>
    </row>
    <row r="71" spans="1:2" s="1" customFormat="1" ht="11.25" customHeight="1">
      <c r="A71" s="458" t="s">
        <v>944</v>
      </c>
      <c r="B71" s="863" t="s">
        <v>367</v>
      </c>
    </row>
    <row r="72" spans="1:2" s="1" customFormat="1" ht="11.25" customHeight="1">
      <c r="A72" s="458" t="s">
        <v>945</v>
      </c>
      <c r="B72" s="863" t="s">
        <v>367</v>
      </c>
    </row>
    <row r="73" spans="1:2" s="1" customFormat="1" ht="11.25" customHeight="1">
      <c r="A73" s="458" t="s">
        <v>947</v>
      </c>
      <c r="B73" s="863" t="s">
        <v>367</v>
      </c>
    </row>
    <row r="74" spans="1:2" s="1" customFormat="1" ht="11.25" customHeight="1">
      <c r="A74" s="458" t="s">
        <v>946</v>
      </c>
      <c r="B74" s="863" t="s">
        <v>367</v>
      </c>
    </row>
    <row r="75" spans="1:2" s="1" customFormat="1" ht="11.25" customHeight="1">
      <c r="A75" s="462" t="s">
        <v>99</v>
      </c>
      <c r="B75" s="863" t="s">
        <v>367</v>
      </c>
    </row>
    <row r="76" spans="1:2" s="1" customFormat="1" ht="11.25" customHeight="1">
      <c r="A76" s="458" t="s">
        <v>297</v>
      </c>
      <c r="B76" s="863" t="s">
        <v>367</v>
      </c>
    </row>
    <row r="77" spans="1:2" s="1" customFormat="1" ht="11.25" customHeight="1">
      <c r="A77" s="462" t="s">
        <v>100</v>
      </c>
      <c r="B77" s="863" t="s">
        <v>367</v>
      </c>
    </row>
    <row r="78" spans="1:2" s="1" customFormat="1" ht="11.25" customHeight="1">
      <c r="A78" s="462" t="s">
        <v>101</v>
      </c>
      <c r="B78" s="863" t="s">
        <v>367</v>
      </c>
    </row>
    <row r="79" spans="1:2" s="1" customFormat="1" ht="11.25" customHeight="1">
      <c r="A79" s="458" t="s">
        <v>382</v>
      </c>
      <c r="B79" s="863" t="s">
        <v>367</v>
      </c>
    </row>
    <row r="80" spans="1:2" s="1" customFormat="1" ht="11.25" customHeight="1">
      <c r="A80" s="458" t="s">
        <v>594</v>
      </c>
      <c r="B80" s="863" t="s">
        <v>367</v>
      </c>
    </row>
    <row r="81" spans="1:2" s="1" customFormat="1" ht="11.25" customHeight="1">
      <c r="A81" s="458" t="s">
        <v>102</v>
      </c>
      <c r="B81" s="863" t="s">
        <v>367</v>
      </c>
    </row>
    <row r="82" spans="1:2" s="1" customFormat="1" ht="11.25" customHeight="1">
      <c r="A82" s="458" t="s">
        <v>370</v>
      </c>
      <c r="B82" s="863" t="s">
        <v>367</v>
      </c>
    </row>
    <row r="83" spans="1:2" s="1" customFormat="1" ht="11.25" customHeight="1">
      <c r="A83" s="458" t="s">
        <v>337</v>
      </c>
      <c r="B83" s="863" t="s">
        <v>367</v>
      </c>
    </row>
    <row r="84" spans="1:2" s="1" customFormat="1" ht="11.25" customHeight="1">
      <c r="A84" s="458" t="s">
        <v>28</v>
      </c>
      <c r="B84" s="863" t="s">
        <v>367</v>
      </c>
    </row>
    <row r="85" spans="1:2" s="1" customFormat="1" ht="11.25" customHeight="1">
      <c r="A85" s="458" t="s">
        <v>338</v>
      </c>
      <c r="B85" s="863" t="s">
        <v>367</v>
      </c>
    </row>
    <row r="86" spans="1:2" s="1" customFormat="1" ht="11.25" customHeight="1">
      <c r="A86" s="458" t="s">
        <v>339</v>
      </c>
      <c r="B86" s="863" t="s">
        <v>367</v>
      </c>
    </row>
    <row r="87" spans="1:2" s="1" customFormat="1" ht="11.25" customHeight="1">
      <c r="A87" s="458" t="s">
        <v>340</v>
      </c>
      <c r="B87" s="863" t="s">
        <v>367</v>
      </c>
    </row>
    <row r="88" spans="1:2" s="1" customFormat="1" ht="11.25" customHeight="1">
      <c r="A88" s="458" t="s">
        <v>103</v>
      </c>
      <c r="B88" s="863" t="s">
        <v>367</v>
      </c>
    </row>
    <row r="89" spans="1:2" s="1" customFormat="1" ht="11.25" customHeight="1">
      <c r="A89" s="458" t="s">
        <v>341</v>
      </c>
      <c r="B89" s="863" t="s">
        <v>367</v>
      </c>
    </row>
    <row r="90" spans="1:2" s="1" customFormat="1" ht="11.25" customHeight="1">
      <c r="A90" s="458" t="s">
        <v>342</v>
      </c>
      <c r="B90" s="863" t="s">
        <v>367</v>
      </c>
    </row>
    <row r="91" spans="1:2" s="1" customFormat="1" ht="11.25" customHeight="1">
      <c r="A91" s="458" t="s">
        <v>371</v>
      </c>
      <c r="B91" s="863" t="s">
        <v>367</v>
      </c>
    </row>
    <row r="92" spans="1:2" s="1" customFormat="1" ht="11.25" customHeight="1">
      <c r="A92" s="458" t="s">
        <v>343</v>
      </c>
      <c r="B92" s="863" t="s">
        <v>367</v>
      </c>
    </row>
    <row r="93" spans="1:2" s="1" customFormat="1" ht="11.25" customHeight="1">
      <c r="A93" s="458" t="s">
        <v>364</v>
      </c>
      <c r="B93" s="863" t="s">
        <v>367</v>
      </c>
    </row>
    <row r="94" spans="1:2" s="1" customFormat="1" ht="11.25" customHeight="1">
      <c r="A94" s="458" t="s">
        <v>344</v>
      </c>
      <c r="B94" s="863" t="s">
        <v>367</v>
      </c>
    </row>
    <row r="95" spans="1:2" s="1" customFormat="1" ht="11.25" customHeight="1">
      <c r="A95" s="458" t="s">
        <v>104</v>
      </c>
      <c r="B95" s="863" t="s">
        <v>367</v>
      </c>
    </row>
    <row r="96" spans="1:2" s="1" customFormat="1" ht="11.25" customHeight="1">
      <c r="A96" s="458" t="s">
        <v>345</v>
      </c>
      <c r="B96" s="863" t="s">
        <v>367</v>
      </c>
    </row>
    <row r="97" spans="1:2" s="1" customFormat="1" ht="11.25" customHeight="1">
      <c r="A97" s="458" t="s">
        <v>105</v>
      </c>
      <c r="B97" s="863" t="s">
        <v>367</v>
      </c>
    </row>
    <row r="98" spans="1:2" s="1" customFormat="1" ht="11.25" customHeight="1">
      <c r="A98" s="458" t="s">
        <v>346</v>
      </c>
      <c r="B98" s="863" t="s">
        <v>367</v>
      </c>
    </row>
    <row r="99" spans="1:2" s="1" customFormat="1" ht="11.25" customHeight="1">
      <c r="A99" s="458" t="s">
        <v>347</v>
      </c>
      <c r="B99" s="863" t="s">
        <v>367</v>
      </c>
    </row>
    <row r="100" spans="1:2" s="1" customFormat="1" ht="11.25" customHeight="1">
      <c r="A100" s="458" t="s">
        <v>348</v>
      </c>
      <c r="B100" s="863" t="s">
        <v>367</v>
      </c>
    </row>
    <row r="101" spans="1:2" s="1" customFormat="1" ht="11.25" customHeight="1">
      <c r="A101" s="458" t="s">
        <v>350</v>
      </c>
      <c r="B101" s="863" t="s">
        <v>367</v>
      </c>
    </row>
    <row r="102" spans="1:2" s="1" customFormat="1" ht="11.25" customHeight="1">
      <c r="A102" s="458" t="s">
        <v>351</v>
      </c>
      <c r="B102" s="863" t="s">
        <v>367</v>
      </c>
    </row>
    <row r="103" spans="1:2" s="1" customFormat="1" ht="11.25" customHeight="1">
      <c r="A103" s="458" t="s">
        <v>352</v>
      </c>
      <c r="B103" s="863" t="s">
        <v>367</v>
      </c>
    </row>
    <row r="104" spans="1:2" s="1" customFormat="1" ht="11.25" customHeight="1">
      <c r="A104" s="458" t="s">
        <v>353</v>
      </c>
      <c r="B104" s="863" t="s">
        <v>367</v>
      </c>
    </row>
    <row r="105" spans="1:2" s="1" customFormat="1" ht="11.25" customHeight="1">
      <c r="A105" s="458" t="s">
        <v>349</v>
      </c>
      <c r="B105" s="863" t="s">
        <v>367</v>
      </c>
    </row>
    <row r="106" spans="1:2" s="1" customFormat="1" ht="11.25" customHeight="1">
      <c r="A106" s="458" t="s">
        <v>590</v>
      </c>
      <c r="B106" s="863" t="s">
        <v>367</v>
      </c>
    </row>
    <row r="107" spans="1:2" s="1" customFormat="1" ht="11.25" customHeight="1">
      <c r="A107" s="458" t="s">
        <v>591</v>
      </c>
      <c r="B107" s="863" t="s">
        <v>367</v>
      </c>
    </row>
    <row r="108" spans="1:2" s="1" customFormat="1" ht="11.25" customHeight="1">
      <c r="A108" s="458" t="s">
        <v>465</v>
      </c>
      <c r="B108" s="863">
        <v>10</v>
      </c>
    </row>
    <row r="109" spans="1:2" s="1" customFormat="1" ht="11.25" customHeight="1">
      <c r="A109" s="458" t="s">
        <v>466</v>
      </c>
      <c r="B109" s="863" t="s">
        <v>367</v>
      </c>
    </row>
    <row r="110" spans="1:2" s="1" customFormat="1" ht="11.25" customHeight="1">
      <c r="A110" s="458" t="s">
        <v>812</v>
      </c>
      <c r="B110" s="863">
        <v>200</v>
      </c>
    </row>
    <row r="111" spans="1:2" s="1" customFormat="1" ht="11.25" customHeight="1">
      <c r="A111" s="462" t="s">
        <v>106</v>
      </c>
      <c r="B111" s="863" t="s">
        <v>367</v>
      </c>
    </row>
    <row r="112" spans="1:2" s="1" customFormat="1" ht="11.25" customHeight="1">
      <c r="A112" s="462" t="s">
        <v>107</v>
      </c>
      <c r="B112" s="863" t="s">
        <v>367</v>
      </c>
    </row>
    <row r="113" spans="1:2" s="1" customFormat="1" ht="11.25" customHeight="1">
      <c r="A113" s="462" t="s">
        <v>108</v>
      </c>
      <c r="B113" s="863" t="s">
        <v>367</v>
      </c>
    </row>
    <row r="114" spans="1:2" s="1" customFormat="1" ht="11.25" customHeight="1">
      <c r="A114" s="462" t="s">
        <v>109</v>
      </c>
      <c r="B114" s="863" t="s">
        <v>367</v>
      </c>
    </row>
    <row r="115" spans="1:2" s="1" customFormat="1" ht="11.25" customHeight="1">
      <c r="A115" s="462" t="s">
        <v>110</v>
      </c>
      <c r="B115" s="863" t="s">
        <v>367</v>
      </c>
    </row>
    <row r="116" spans="1:2" s="1" customFormat="1" ht="11.25" customHeight="1">
      <c r="A116" s="458" t="s">
        <v>467</v>
      </c>
      <c r="B116" s="863" t="s">
        <v>367</v>
      </c>
    </row>
    <row r="117" spans="1:2" s="1" customFormat="1" ht="11.25" customHeight="1">
      <c r="A117" s="462" t="s">
        <v>111</v>
      </c>
      <c r="B117" s="863" t="s">
        <v>367</v>
      </c>
    </row>
    <row r="118" spans="1:2" s="1" customFormat="1" ht="11.25" customHeight="1">
      <c r="A118" s="458" t="s">
        <v>231</v>
      </c>
      <c r="B118" s="863" t="s">
        <v>367</v>
      </c>
    </row>
    <row r="119" spans="1:2" s="1" customFormat="1" ht="11.25" customHeight="1">
      <c r="A119" s="458" t="s">
        <v>468</v>
      </c>
      <c r="B119" s="863" t="s">
        <v>367</v>
      </c>
    </row>
    <row r="120" spans="1:2" s="1" customFormat="1" ht="11.25" customHeight="1">
      <c r="A120" s="458" t="s">
        <v>469</v>
      </c>
      <c r="B120" s="863" t="s">
        <v>367</v>
      </c>
    </row>
    <row r="121" spans="1:2" s="1" customFormat="1" ht="11.25" customHeight="1">
      <c r="A121" s="458" t="s">
        <v>365</v>
      </c>
      <c r="B121" s="863" t="s">
        <v>367</v>
      </c>
    </row>
    <row r="122" spans="1:2" s="1" customFormat="1" ht="11.25" customHeight="1">
      <c r="A122" s="458" t="s">
        <v>112</v>
      </c>
      <c r="B122" s="863" t="s">
        <v>367</v>
      </c>
    </row>
    <row r="123" spans="1:2" s="1" customFormat="1" ht="11.25" customHeight="1">
      <c r="A123" s="458" t="s">
        <v>470</v>
      </c>
      <c r="B123" s="863" t="s">
        <v>367</v>
      </c>
    </row>
    <row r="124" spans="1:2" s="1" customFormat="1" ht="11.25" customHeight="1">
      <c r="A124" s="458" t="s">
        <v>471</v>
      </c>
      <c r="B124" s="863">
        <v>20</v>
      </c>
    </row>
    <row r="125" spans="1:2" s="1" customFormat="1" ht="11.25" customHeight="1">
      <c r="A125" s="458" t="s">
        <v>813</v>
      </c>
      <c r="B125" s="863" t="s">
        <v>367</v>
      </c>
    </row>
    <row r="126" spans="1:2" s="1" customFormat="1" ht="11.25" customHeight="1">
      <c r="A126" s="458" t="s">
        <v>113</v>
      </c>
      <c r="B126" s="863" t="s">
        <v>367</v>
      </c>
    </row>
    <row r="127" spans="1:2" s="1" customFormat="1" ht="11.25" customHeight="1">
      <c r="A127" s="458" t="s">
        <v>472</v>
      </c>
      <c r="B127" s="863" t="s">
        <v>367</v>
      </c>
    </row>
    <row r="128" spans="1:2" s="1" customFormat="1" ht="11.25" customHeight="1">
      <c r="A128" s="458" t="s">
        <v>114</v>
      </c>
      <c r="B128" s="863" t="s">
        <v>367</v>
      </c>
    </row>
    <row r="129" spans="1:2" s="1" customFormat="1" ht="11.25" customHeight="1">
      <c r="A129" s="458" t="s">
        <v>19</v>
      </c>
      <c r="B129" s="863" t="s">
        <v>367</v>
      </c>
    </row>
    <row r="130" spans="1:2" s="1" customFormat="1" ht="11.25" customHeight="1">
      <c r="A130" s="458" t="s">
        <v>473</v>
      </c>
      <c r="B130" s="863" t="s">
        <v>367</v>
      </c>
    </row>
    <row r="131" spans="1:2" s="1" customFormat="1" ht="11.25" customHeight="1">
      <c r="A131" s="458" t="s">
        <v>474</v>
      </c>
      <c r="B131" s="863" t="s">
        <v>367</v>
      </c>
    </row>
    <row r="132" spans="1:2" s="1" customFormat="1" ht="11.25" customHeight="1">
      <c r="A132" s="458" t="s">
        <v>475</v>
      </c>
      <c r="B132" s="863" t="s">
        <v>367</v>
      </c>
    </row>
    <row r="133" spans="1:2" s="1" customFormat="1" ht="11.25" customHeight="1">
      <c r="A133" s="458" t="s">
        <v>115</v>
      </c>
      <c r="B133" s="863" t="s">
        <v>367</v>
      </c>
    </row>
    <row r="134" spans="1:2" s="1" customFormat="1" ht="11.25" customHeight="1">
      <c r="A134" s="462" t="s">
        <v>116</v>
      </c>
      <c r="B134" s="863" t="s">
        <v>367</v>
      </c>
    </row>
    <row r="135" spans="1:2" s="1" customFormat="1" ht="11.25" customHeight="1">
      <c r="A135" s="458" t="s">
        <v>476</v>
      </c>
      <c r="B135" s="863" t="s">
        <v>367</v>
      </c>
    </row>
    <row r="136" spans="1:2" s="1" customFormat="1" ht="11.25" customHeight="1">
      <c r="A136" s="458" t="s">
        <v>366</v>
      </c>
      <c r="B136" s="863" t="s">
        <v>367</v>
      </c>
    </row>
    <row r="137" spans="1:2" s="1" customFormat="1" ht="11.25" customHeight="1">
      <c r="A137" s="458" t="s">
        <v>20</v>
      </c>
      <c r="B137" s="863" t="s">
        <v>367</v>
      </c>
    </row>
    <row r="138" spans="1:2" s="1" customFormat="1" ht="11.25" customHeight="1">
      <c r="A138" s="458" t="s">
        <v>57</v>
      </c>
      <c r="B138" s="863" t="s">
        <v>367</v>
      </c>
    </row>
    <row r="139" spans="1:2" s="1" customFormat="1" ht="11.25" customHeight="1">
      <c r="A139" s="458" t="s">
        <v>56</v>
      </c>
      <c r="B139" s="863" t="s">
        <v>367</v>
      </c>
    </row>
    <row r="140" spans="1:2" s="1" customFormat="1" ht="11.25" customHeight="1">
      <c r="A140" s="458" t="s">
        <v>777</v>
      </c>
      <c r="B140" s="863" t="s">
        <v>367</v>
      </c>
    </row>
    <row r="141" spans="1:2" s="1" customFormat="1" ht="11.25" customHeight="1">
      <c r="A141" s="458" t="s">
        <v>814</v>
      </c>
      <c r="B141" s="863" t="s">
        <v>367</v>
      </c>
    </row>
    <row r="142" spans="1:2" s="1" customFormat="1" ht="11.25" customHeight="1">
      <c r="A142" s="458" t="s">
        <v>815</v>
      </c>
      <c r="B142" s="863" t="s">
        <v>367</v>
      </c>
    </row>
    <row r="143" spans="1:2" s="1" customFormat="1" ht="11.25" customHeight="1">
      <c r="A143" s="458" t="s">
        <v>477</v>
      </c>
      <c r="B143" s="863" t="s">
        <v>367</v>
      </c>
    </row>
    <row r="144" spans="1:2" s="1" customFormat="1" ht="11.25" customHeight="1">
      <c r="A144" s="458" t="s">
        <v>478</v>
      </c>
      <c r="B144" s="863" t="s">
        <v>367</v>
      </c>
    </row>
    <row r="145" spans="1:5" ht="11.25" customHeight="1">
      <c r="A145" s="458" t="s">
        <v>479</v>
      </c>
      <c r="B145" s="863" t="s">
        <v>367</v>
      </c>
      <c r="E145" s="1"/>
    </row>
    <row r="146" spans="1:5" ht="11.25" customHeight="1">
      <c r="A146" s="458" t="s">
        <v>480</v>
      </c>
      <c r="B146" s="863" t="s">
        <v>367</v>
      </c>
      <c r="E146" s="1"/>
    </row>
    <row r="147" spans="1:5" ht="11.25" customHeight="1">
      <c r="A147" s="462" t="s">
        <v>117</v>
      </c>
      <c r="B147" s="863" t="s">
        <v>367</v>
      </c>
      <c r="E147" s="1"/>
    </row>
    <row r="148" spans="1:5" ht="11.25" customHeight="1">
      <c r="A148" s="458" t="s">
        <v>118</v>
      </c>
      <c r="B148" s="863" t="s">
        <v>367</v>
      </c>
      <c r="E148" s="1"/>
    </row>
    <row r="149" spans="1:5" ht="11.25" customHeight="1">
      <c r="A149" s="458" t="s">
        <v>119</v>
      </c>
      <c r="B149" s="863" t="s">
        <v>367</v>
      </c>
      <c r="E149" s="1"/>
    </row>
    <row r="150" spans="1:5" ht="11.25" customHeight="1">
      <c r="A150" s="458" t="s">
        <v>120</v>
      </c>
      <c r="B150" s="863" t="s">
        <v>367</v>
      </c>
      <c r="E150" s="1"/>
    </row>
    <row r="151" spans="1:5" ht="11.25" customHeight="1">
      <c r="A151" s="458" t="s">
        <v>602</v>
      </c>
      <c r="B151" s="863" t="s">
        <v>367</v>
      </c>
      <c r="E151" s="1"/>
    </row>
    <row r="152" spans="1:5" ht="11.25" customHeight="1">
      <c r="A152" s="462" t="s">
        <v>939</v>
      </c>
      <c r="B152" s="863" t="s">
        <v>367</v>
      </c>
      <c r="E152" s="1"/>
    </row>
    <row r="153" spans="1:5" ht="11.25" customHeight="1">
      <c r="A153" s="462" t="s">
        <v>603</v>
      </c>
      <c r="B153" s="863" t="s">
        <v>367</v>
      </c>
      <c r="E153" s="1"/>
    </row>
    <row r="154" spans="1:5" ht="11.25" customHeight="1">
      <c r="A154" s="462" t="s">
        <v>605</v>
      </c>
      <c r="B154" s="863" t="s">
        <v>367</v>
      </c>
      <c r="E154" s="1"/>
    </row>
    <row r="155" spans="1:5" ht="11.25" customHeight="1">
      <c r="A155" s="458" t="s">
        <v>481</v>
      </c>
      <c r="B155" s="567">
        <v>100</v>
      </c>
      <c r="E155" s="1"/>
    </row>
    <row r="156" spans="1:5" ht="11.25" customHeight="1">
      <c r="A156" s="458" t="s">
        <v>482</v>
      </c>
      <c r="B156" s="567" t="s">
        <v>367</v>
      </c>
      <c r="E156" s="1"/>
    </row>
    <row r="157" spans="1:5" ht="11.25" customHeight="1">
      <c r="A157" s="458" t="s">
        <v>483</v>
      </c>
      <c r="B157" s="567" t="s">
        <v>367</v>
      </c>
      <c r="E157" s="1"/>
    </row>
    <row r="158" spans="1:5" ht="11.25" customHeight="1" thickBot="1">
      <c r="A158" s="516" t="s">
        <v>484</v>
      </c>
      <c r="B158" s="594">
        <v>2000</v>
      </c>
      <c r="E158" s="1"/>
    </row>
    <row r="159" spans="1:5" ht="11.25" customHeight="1" thickTop="1">
      <c r="A159" s="474" t="s">
        <v>696</v>
      </c>
      <c r="B159" s="864"/>
    </row>
    <row r="160" spans="1:5" ht="11.25" customHeight="1">
      <c r="A160" s="1453" t="s">
        <v>511</v>
      </c>
      <c r="B160" s="1442"/>
    </row>
    <row r="161" spans="1:2" ht="11.25" customHeight="1">
      <c r="A161" s="1443"/>
      <c r="B161" s="1445"/>
    </row>
    <row r="162" spans="1:2" ht="11.25" customHeight="1">
      <c r="A162" s="474" t="s">
        <v>488</v>
      </c>
      <c r="B162" s="864"/>
    </row>
    <row r="163" spans="1:2" ht="11.25" customHeight="1">
      <c r="A163" s="479" t="s">
        <v>249</v>
      </c>
      <c r="B163" s="480"/>
    </row>
    <row r="164" spans="1:2" ht="11.25" customHeight="1" thickBot="1">
      <c r="A164" s="706" t="s">
        <v>887</v>
      </c>
      <c r="B164" s="865"/>
    </row>
    <row r="165" spans="1:2" ht="10.5" thickTop="1"/>
  </sheetData>
  <sheetProtection algorithmName="SHA-512" hashValue="skByXdTqdex9KDLZVpgUgU6TcuixlXE4u+bafnd98lIPX7a3SDf0/YtcBMcIkYY2haZQ1R0cWD85GAflJl4/Uw==" saltValue="xFrqb+9amLtVV1BMugtSiA==" spinCount="100000" sheet="1" objects="1" scenarios="1"/>
  <mergeCells count="2">
    <mergeCell ref="A160:B160"/>
    <mergeCell ref="A161:B161"/>
  </mergeCells>
  <phoneticPr fontId="0" type="noConversion"/>
  <printOptions horizontalCentered="1"/>
  <pageMargins left="0.17" right="0.16" top="0.53" bottom="1" header="0.5" footer="0.5"/>
  <pageSetup orientation="portrait" r:id="rId1"/>
  <headerFooter alignWithMargins="0">
    <oddFooter>&amp;LHawai'i DOH
Spring 2024&amp;C&amp;8Page &amp;P of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5"/>
    <pageSetUpPr autoPageBreaks="0" fitToPage="1"/>
  </sheetPr>
  <dimension ref="B1:V37"/>
  <sheetViews>
    <sheetView showGridLines="0" showRowColHeaders="0" workbookViewId="0">
      <selection activeCell="B3" sqref="B3:P3"/>
    </sheetView>
  </sheetViews>
  <sheetFormatPr defaultColWidth="9.1328125" defaultRowHeight="15.4"/>
  <cols>
    <col min="1" max="1" width="1.265625" style="24" customWidth="1"/>
    <col min="2" max="2" width="1.1328125" style="24" customWidth="1"/>
    <col min="3" max="3" width="1.59765625" style="24" customWidth="1"/>
    <col min="4" max="4" width="15.86328125" style="24" customWidth="1"/>
    <col min="5" max="5" width="1.3984375" style="24" customWidth="1"/>
    <col min="6" max="6" width="14.3984375" style="77" customWidth="1"/>
    <col min="7" max="7" width="2.3984375" style="77" customWidth="1"/>
    <col min="8" max="8" width="2.59765625" style="24" customWidth="1"/>
    <col min="9" max="9" width="0.73046875" style="24" customWidth="1"/>
    <col min="10" max="10" width="15.59765625" style="77" customWidth="1"/>
    <col min="11" max="11" width="9.86328125" style="24" customWidth="1"/>
    <col min="12" max="12" width="13.73046875" style="24" customWidth="1"/>
    <col min="13" max="13" width="0.73046875" style="24" customWidth="1"/>
    <col min="14" max="14" width="2.86328125" style="24" customWidth="1"/>
    <col min="15" max="15" width="19.73046875" style="24" customWidth="1"/>
    <col min="16" max="16" width="0.86328125" style="24" customWidth="1"/>
    <col min="17" max="17" width="8.86328125" style="24" customWidth="1"/>
    <col min="18" max="20" width="9"/>
    <col min="21" max="21" width="25.1328125" style="29" customWidth="1"/>
    <col min="22" max="22" width="20.73046875" style="29" customWidth="1"/>
    <col min="23" max="16384" width="9.1328125" style="24"/>
  </cols>
  <sheetData>
    <row r="1" spans="2:21" ht="47.25" customHeight="1">
      <c r="D1" s="1261" t="s">
        <v>575</v>
      </c>
      <c r="E1" s="1261"/>
      <c r="F1" s="1181"/>
      <c r="G1" s="1181"/>
      <c r="H1" s="1181"/>
      <c r="I1" s="1181"/>
      <c r="J1" s="1181"/>
      <c r="K1" s="1181"/>
      <c r="L1" s="1181"/>
      <c r="M1" s="1181"/>
      <c r="N1" s="1181"/>
      <c r="O1" s="1181"/>
    </row>
    <row r="2" spans="2:21" ht="41.25" customHeight="1">
      <c r="D2" s="1184" t="s">
        <v>1750</v>
      </c>
      <c r="E2" s="1184"/>
      <c r="F2" s="1260"/>
      <c r="G2" s="1260"/>
      <c r="H2" s="1260"/>
      <c r="I2" s="1260"/>
      <c r="J2" s="1260"/>
      <c r="K2" s="1260"/>
      <c r="L2" s="1260"/>
      <c r="M2" s="1260"/>
      <c r="N2" s="1260"/>
      <c r="O2" s="1260"/>
    </row>
    <row r="3" spans="2:21" ht="17.25">
      <c r="B3" s="1282" t="str">
        <f>'2. EAL Surfer - Tier 1 EALs'!H3</f>
        <v>DIBROMO,1,2- CHLOROPROPANE,3-</v>
      </c>
      <c r="C3" s="1283"/>
      <c r="D3" s="1283"/>
      <c r="E3" s="1283"/>
      <c r="F3" s="1283"/>
      <c r="G3" s="1283"/>
      <c r="H3" s="1283"/>
      <c r="I3" s="1283"/>
      <c r="J3" s="1283"/>
      <c r="K3" s="1283"/>
      <c r="L3" s="1283"/>
      <c r="M3" s="1283"/>
      <c r="N3" s="1283"/>
      <c r="O3" s="1283"/>
      <c r="P3" s="1283"/>
    </row>
    <row r="4" spans="2:21" ht="6" customHeight="1" thickBot="1"/>
    <row r="5" spans="2:21" ht="5.25" customHeight="1" thickTop="1" thickBot="1">
      <c r="B5" s="124"/>
      <c r="C5" s="125"/>
      <c r="D5" s="126"/>
      <c r="E5" s="126"/>
      <c r="F5" s="127"/>
      <c r="G5" s="127"/>
      <c r="H5" s="125"/>
      <c r="I5" s="125"/>
      <c r="J5" s="128"/>
      <c r="K5" s="128"/>
      <c r="L5" s="128"/>
      <c r="M5" s="128"/>
      <c r="N5" s="125"/>
      <c r="O5" s="125"/>
      <c r="P5" s="129"/>
    </row>
    <row r="6" spans="2:21" ht="43.5" customHeight="1" thickTop="1">
      <c r="B6" s="45"/>
      <c r="C6" s="1274" t="str">
        <f>IF(AND('2. EAL Surfer - Tier 1 EALs'!D22=0,'2. EAL Surfer - Tier 1 EALs'!D24=0),"",IF(OR(K14&lt;'2. EAL Surfer - Tier 1 EALs'!D22,K21&lt;'2. EAL Surfer - Tier 1 EALs'!D24),"EALs Exceeded ('X').
Further evaluation of identified hazards recommended.","No EALs exceeded."))</f>
        <v/>
      </c>
      <c r="D6" s="1275"/>
      <c r="E6" s="1275"/>
      <c r="F6" s="1275"/>
      <c r="G6" s="1275"/>
      <c r="H6" s="152" t="str">
        <f>IF('2. EAL Surfer - Tier 1 EALs'!D22&gt;J7,"X","")</f>
        <v/>
      </c>
      <c r="I6" s="130"/>
      <c r="J6" s="149" t="s">
        <v>269</v>
      </c>
      <c r="K6" s="131"/>
      <c r="L6" s="141" t="s">
        <v>33</v>
      </c>
      <c r="M6" s="132"/>
      <c r="N6" s="133" t="str">
        <f>IF('2. EAL Surfer - Tier 1 EALs'!D22&gt;O7,"X","")</f>
        <v/>
      </c>
      <c r="O6" s="149" t="s">
        <v>322</v>
      </c>
      <c r="P6" s="134"/>
    </row>
    <row r="7" spans="2:21" ht="13.5" customHeight="1" thickBot="1">
      <c r="B7" s="45"/>
      <c r="C7" s="1275"/>
      <c r="D7" s="1275"/>
      <c r="E7" s="1275"/>
      <c r="F7" s="1275"/>
      <c r="G7" s="1275"/>
      <c r="H7" s="151"/>
      <c r="I7" s="130"/>
      <c r="J7" s="150" t="str">
        <f>'Surfer Compiler HDOH'!C22</f>
        <v>site-specific</v>
      </c>
      <c r="K7" s="130"/>
      <c r="L7" s="142">
        <f>'Surfer Compiler HDOH'!C95</f>
        <v>1.6898148148148143E-4</v>
      </c>
      <c r="M7" s="135"/>
      <c r="N7" s="130"/>
      <c r="O7" s="150" t="str">
        <f>'Surfer Compiler HDOH'!C50</f>
        <v>(Use soil gas)</v>
      </c>
      <c r="P7" s="134"/>
    </row>
    <row r="8" spans="2:21" ht="8.25" customHeight="1" thickTop="1" thickBot="1">
      <c r="B8" s="45"/>
      <c r="D8" s="123"/>
      <c r="E8" s="123"/>
      <c r="F8" s="130"/>
      <c r="G8" s="130"/>
      <c r="H8" s="130"/>
      <c r="I8" s="130"/>
      <c r="J8" s="136"/>
      <c r="K8" s="130"/>
      <c r="L8" s="130"/>
      <c r="M8" s="130"/>
      <c r="N8" s="130"/>
      <c r="O8" s="136"/>
      <c r="P8" s="134"/>
    </row>
    <row r="9" spans="2:21" ht="28.5" customHeight="1" thickTop="1">
      <c r="B9" s="45"/>
      <c r="D9" s="138"/>
      <c r="E9" s="137" t="str">
        <f>IF('2. EAL Surfer - Tier 1 EALs'!D22&gt;F10,"X","")</f>
        <v/>
      </c>
      <c r="F9" s="149" t="s">
        <v>270</v>
      </c>
      <c r="G9" s="138"/>
      <c r="H9" s="130"/>
      <c r="I9" s="130"/>
      <c r="J9" s="130"/>
      <c r="K9" s="130"/>
      <c r="L9" s="1262" t="s">
        <v>271</v>
      </c>
      <c r="M9" s="139"/>
      <c r="N9" s="133" t="str">
        <f>IF('2. EAL Surfer - Tier 1 EALs'!D22&gt;O10,"X","")</f>
        <v/>
      </c>
      <c r="O9" s="149" t="s">
        <v>606</v>
      </c>
      <c r="P9" s="134"/>
    </row>
    <row r="10" spans="2:21" ht="13.5" customHeight="1" thickBot="1">
      <c r="B10" s="45"/>
      <c r="D10" s="264"/>
      <c r="E10" s="123"/>
      <c r="F10" s="150">
        <f>'Surfer Compiler HDOH'!C23</f>
        <v>500</v>
      </c>
      <c r="G10" s="135"/>
      <c r="H10" s="130"/>
      <c r="I10" s="130"/>
      <c r="J10" s="130"/>
      <c r="K10" s="130"/>
      <c r="L10" s="1263"/>
      <c r="M10" s="140"/>
      <c r="N10" s="130"/>
      <c r="O10" s="150">
        <f>'Surfer Compiler HDOH'!C46</f>
        <v>5.7102531036448472E-3</v>
      </c>
      <c r="P10" s="134"/>
    </row>
    <row r="11" spans="2:21" ht="4.5" customHeight="1" thickTop="1" thickBot="1">
      <c r="B11" s="45"/>
      <c r="D11" s="136"/>
      <c r="E11" s="136"/>
      <c r="F11" s="130"/>
      <c r="G11" s="130"/>
      <c r="H11" s="130"/>
      <c r="I11" s="130"/>
      <c r="J11" s="130"/>
      <c r="K11" s="130"/>
      <c r="L11" s="130"/>
      <c r="M11" s="130"/>
      <c r="N11" s="130"/>
      <c r="O11" s="136"/>
      <c r="P11" s="134"/>
    </row>
    <row r="12" spans="2:21" ht="11.25" customHeight="1" thickTop="1">
      <c r="B12" s="1279" t="str">
        <f>IF('2. EAL Surfer - Tier 1 EALs'!D22="-","",IF('2. EAL Surfer - Tier 1 EALs'!D22&gt;'Surfer Compiler HDOH'!C70,"X",""))</f>
        <v/>
      </c>
      <c r="C12" s="1280"/>
      <c r="D12" s="1277" t="str">
        <f>IF(VLOOKUP('2. EAL Surfer - Tier 1 EALs'!C16,'2. EAL Surfer - Tier 1 EALs'!O33:X186,10)=2,"Soil Background:","")</f>
        <v/>
      </c>
      <c r="E12" s="1278"/>
      <c r="F12" s="1276" t="str">
        <f>IF(VLOOKUP('2. EAL Surfer - Tier 1 EALs'!C16,'2. EAL Surfer - Tier 1 EALs'!O33:X186,10)=2,IF('Surfer Compiler HDOH'!C24="-","?",'Surfer Compiler HDOH'!C24),"")</f>
        <v/>
      </c>
      <c r="G12" s="146"/>
      <c r="H12" s="1264" t="s">
        <v>34</v>
      </c>
      <c r="I12" s="1265"/>
      <c r="J12" s="1265"/>
      <c r="K12" s="1266"/>
      <c r="L12" s="145"/>
      <c r="M12" s="187"/>
      <c r="N12" s="1270" t="s">
        <v>1143</v>
      </c>
      <c r="O12" s="1271"/>
      <c r="P12" s="147"/>
    </row>
    <row r="13" spans="2:21" ht="8.25" customHeight="1">
      <c r="B13" s="1281"/>
      <c r="C13" s="1280"/>
      <c r="D13" s="1278"/>
      <c r="E13" s="1278"/>
      <c r="F13" s="1276"/>
      <c r="G13" s="146"/>
      <c r="H13" s="1267"/>
      <c r="I13" s="1268"/>
      <c r="J13" s="1268"/>
      <c r="K13" s="1269"/>
      <c r="L13" s="1315" t="str">
        <f>IF('2. EAL Surfer - Tier 1 EALs'!D26&gt;N14,"X","")</f>
        <v/>
      </c>
      <c r="M13" s="145"/>
      <c r="N13" s="1272"/>
      <c r="O13" s="1273"/>
      <c r="P13" s="147"/>
    </row>
    <row r="14" spans="2:21" ht="15.75" customHeight="1" thickBot="1">
      <c r="B14" s="143"/>
      <c r="C14" s="144"/>
      <c r="D14" s="1305" t="str">
        <f>IF(OR('2. EAL Surfer - Tier 1 EALs'!D22&gt;0,'2. EAL Surfer - Tier 1 EALs'!D24&gt;0),"Input Site Concentrations","")</f>
        <v/>
      </c>
      <c r="E14" s="1305"/>
      <c r="F14" s="1306"/>
      <c r="G14" s="146"/>
      <c r="H14" s="1286" t="s">
        <v>276</v>
      </c>
      <c r="I14" s="1287"/>
      <c r="J14" s="1287"/>
      <c r="K14" s="410">
        <f>'Surfer Compiler HDOH'!C71</f>
        <v>8.061539999999999E-4</v>
      </c>
      <c r="L14" s="1316"/>
      <c r="M14" s="56"/>
      <c r="N14" s="1303">
        <f>'Surfer Compiler HDOH'!C99</f>
        <v>0.33796296296296285</v>
      </c>
      <c r="O14" s="1304"/>
      <c r="P14" s="147"/>
    </row>
    <row r="15" spans="2:21" ht="6" customHeight="1" thickTop="1" thickBot="1">
      <c r="B15" s="143"/>
      <c r="C15" s="144"/>
      <c r="D15" s="1306"/>
      <c r="E15" s="1306"/>
      <c r="F15" s="1306"/>
      <c r="G15" s="146"/>
      <c r="H15" s="145"/>
      <c r="I15" s="145"/>
      <c r="J15" s="146"/>
      <c r="K15" s="145"/>
      <c r="L15" s="1316"/>
      <c r="M15" s="145"/>
      <c r="N15" s="145"/>
      <c r="O15" s="145"/>
      <c r="P15" s="147"/>
    </row>
    <row r="16" spans="2:21" ht="14.25" customHeight="1" thickTop="1">
      <c r="B16" s="143"/>
      <c r="C16" s="144"/>
      <c r="D16" s="187" t="str">
        <f>IF('2. EAL Surfer - Tier 1 EALs'!D22&gt;0,"Soil (mg/kg):","")</f>
        <v/>
      </c>
      <c r="E16" s="188"/>
      <c r="F16" s="189" t="str">
        <f>IF('2. EAL Surfer - Tier 1 EALs'!D22&gt;0,'2. EAL Surfer - Tier 1 EALs'!D22,"")</f>
        <v/>
      </c>
      <c r="G16" s="1317" t="str">
        <f>IF('2. EAL Surfer - Tier 1 EALs'!D22&gt;H17,"X","")</f>
        <v/>
      </c>
      <c r="H16" s="1307" t="s">
        <v>272</v>
      </c>
      <c r="I16" s="1308"/>
      <c r="J16" s="1309"/>
      <c r="K16" s="1310"/>
      <c r="L16" s="145"/>
      <c r="M16" s="145"/>
      <c r="N16" s="145"/>
      <c r="O16" s="145"/>
      <c r="P16" s="147"/>
      <c r="U16" s="59"/>
    </row>
    <row r="17" spans="2:21" ht="13.5" customHeight="1" thickBot="1">
      <c r="B17" s="143"/>
      <c r="C17" s="144"/>
      <c r="D17" s="187" t="str">
        <f>IF('2. EAL Surfer - Tier 1 EALs'!D24&gt;0,"Groundwater (ug/L):","")</f>
        <v/>
      </c>
      <c r="E17" s="188"/>
      <c r="F17" s="189" t="str">
        <f>IF('2. EAL Surfer - Tier 1 EALs'!D24&gt;0,'2. EAL Surfer - Tier 1 EALs'!D24,"")</f>
        <v/>
      </c>
      <c r="G17" s="1318"/>
      <c r="H17" s="1288">
        <f>'Surfer Compiler HDOH'!C21</f>
        <v>8.061539999999999E-4</v>
      </c>
      <c r="I17" s="1289"/>
      <c r="J17" s="1290"/>
      <c r="K17" s="1291"/>
      <c r="L17" s="145"/>
      <c r="M17" s="145"/>
      <c r="N17" s="145"/>
      <c r="O17" s="145"/>
      <c r="P17" s="147"/>
      <c r="U17" s="60"/>
    </row>
    <row r="18" spans="2:21" ht="12.75" customHeight="1" thickTop="1" thickBot="1">
      <c r="B18" s="143"/>
      <c r="C18" s="144"/>
      <c r="D18" s="187" t="str">
        <f>IF('2. EAL Surfer - Tier 1 EALs'!D26&gt;0,"Soil Gas (ug/m3):","")</f>
        <v/>
      </c>
      <c r="E18" s="188"/>
      <c r="F18" s="189" t="str">
        <f>IF('2. EAL Surfer - Tier 1 EALs'!D26&gt;0,'2. EAL Surfer - Tier 1 EALs'!D26,"")</f>
        <v/>
      </c>
      <c r="G18" s="146"/>
      <c r="H18" s="145"/>
      <c r="I18" s="145"/>
      <c r="J18" s="146"/>
      <c r="K18" s="145"/>
      <c r="L18" s="145"/>
      <c r="M18" s="145"/>
      <c r="N18" s="145"/>
      <c r="O18" s="145"/>
      <c r="P18" s="147"/>
      <c r="U18" s="28"/>
    </row>
    <row r="19" spans="2:21" ht="5.25" customHeight="1" thickTop="1" thickBot="1">
      <c r="B19" s="62"/>
      <c r="C19" s="63"/>
      <c r="D19" s="64"/>
      <c r="E19" s="64"/>
      <c r="F19" s="65"/>
      <c r="G19" s="65"/>
      <c r="H19" s="1264" t="s">
        <v>35</v>
      </c>
      <c r="I19" s="1292"/>
      <c r="J19" s="1292"/>
      <c r="K19" s="1293"/>
      <c r="L19" s="64"/>
      <c r="M19" s="64"/>
      <c r="N19" s="64"/>
      <c r="O19" s="64"/>
      <c r="P19" s="66"/>
    </row>
    <row r="20" spans="2:21" ht="45" customHeight="1" thickTop="1">
      <c r="B20" s="1311" t="str">
        <f>IF('2. EAL Surfer - Tier 1 EALs'!D24&gt;D21,"X","")</f>
        <v/>
      </c>
      <c r="C20" s="1312"/>
      <c r="D20" s="67" t="s">
        <v>32</v>
      </c>
      <c r="E20" s="261"/>
      <c r="F20" s="1313"/>
      <c r="G20" s="1313"/>
      <c r="H20" s="1294"/>
      <c r="I20" s="1295"/>
      <c r="J20" s="1295"/>
      <c r="K20" s="1296"/>
      <c r="L20" s="64"/>
      <c r="M20" s="64"/>
      <c r="N20" s="68" t="str">
        <f>IF('2. EAL Surfer - Tier 1 EALs'!D24&gt;O21,"X","")</f>
        <v/>
      </c>
      <c r="O20" s="67" t="s">
        <v>322</v>
      </c>
      <c r="P20" s="66"/>
    </row>
    <row r="21" spans="2:21" ht="13.5" customHeight="1" thickBot="1">
      <c r="B21" s="1311"/>
      <c r="C21" s="1312"/>
      <c r="D21" s="69">
        <f>'Surfer Compiler HDOH'!C83</f>
        <v>0.04</v>
      </c>
      <c r="E21" s="262"/>
      <c r="F21" s="1313"/>
      <c r="G21" s="1313"/>
      <c r="H21" s="1286" t="s">
        <v>732</v>
      </c>
      <c r="I21" s="1314"/>
      <c r="J21" s="1314"/>
      <c r="K21" s="410">
        <f>'Surfer Compiler HDOH'!C38</f>
        <v>0.04</v>
      </c>
      <c r="L21" s="64"/>
      <c r="M21" s="64"/>
      <c r="N21" s="64"/>
      <c r="O21" s="69" t="str">
        <f>'Surfer Compiler HDOH'!C35</f>
        <v>(Use soil gas)</v>
      </c>
      <c r="P21" s="66"/>
    </row>
    <row r="22" spans="2:21" ht="8.25" customHeight="1" thickTop="1" thickBot="1">
      <c r="B22" s="62"/>
      <c r="C22" s="63"/>
      <c r="D22" s="64"/>
      <c r="E22" s="64"/>
      <c r="F22" s="65"/>
      <c r="G22" s="65"/>
      <c r="H22" s="64"/>
      <c r="I22" s="64"/>
      <c r="J22" s="65"/>
      <c r="K22" s="64"/>
      <c r="L22" s="64"/>
      <c r="M22" s="64"/>
      <c r="N22" s="64"/>
      <c r="O22" s="64"/>
      <c r="P22" s="66"/>
    </row>
    <row r="23" spans="2:21" ht="35.25" customHeight="1" thickTop="1">
      <c r="B23" s="62"/>
      <c r="C23" s="63"/>
      <c r="D23" s="64"/>
      <c r="E23" s="64"/>
      <c r="F23" s="67" t="str">
        <f>IF('2. EAL Surfer - Tier 1 EALs'!D5='2. EAL Surfer - Tier 1 EALs'!AE13,"Taste &amp;   Odors","Gross Contamination")</f>
        <v>Gross Contamination</v>
      </c>
      <c r="G23" s="65"/>
      <c r="H23" s="64"/>
      <c r="I23" s="64"/>
      <c r="J23" s="65"/>
      <c r="K23" s="64"/>
      <c r="L23" s="1284" t="s">
        <v>271</v>
      </c>
      <c r="M23" s="64"/>
      <c r="N23" s="64"/>
      <c r="O23" s="67" t="s">
        <v>275</v>
      </c>
      <c r="P23" s="66"/>
    </row>
    <row r="24" spans="2:21" ht="16.5" customHeight="1" thickBot="1">
      <c r="B24" s="62"/>
      <c r="C24" s="63"/>
      <c r="D24" s="68" t="str">
        <f>IF('2. EAL Surfer - Tier 1 EALs'!D24&gt;F24,"X","")</f>
        <v/>
      </c>
      <c r="E24" s="68"/>
      <c r="F24" s="69">
        <f>'Surfer Compiler HDOH'!C87</f>
        <v>10</v>
      </c>
      <c r="G24" s="70"/>
      <c r="H24" s="71"/>
      <c r="I24" s="71"/>
      <c r="J24" s="71"/>
      <c r="K24" s="71"/>
      <c r="L24" s="1285"/>
      <c r="M24" s="72"/>
      <c r="N24" s="68" t="str">
        <f>IF('2. EAL Surfer - Tier 1 EALs'!D24&gt;O24,"X","")</f>
        <v/>
      </c>
      <c r="O24" s="69">
        <f>'Surfer Compiler HDOH'!C34</f>
        <v>0.04</v>
      </c>
      <c r="P24" s="66"/>
    </row>
    <row r="25" spans="2:21" ht="6" customHeight="1" thickTop="1" thickBot="1">
      <c r="B25" s="73"/>
      <c r="C25" s="74"/>
      <c r="D25" s="74"/>
      <c r="E25" s="74"/>
      <c r="F25" s="75"/>
      <c r="G25" s="75"/>
      <c r="H25" s="74"/>
      <c r="I25" s="74"/>
      <c r="J25" s="75"/>
      <c r="K25" s="74"/>
      <c r="L25" s="74"/>
      <c r="M25" s="74"/>
      <c r="N25" s="74"/>
      <c r="O25" s="74"/>
      <c r="P25" s="76"/>
    </row>
    <row r="26" spans="2:21" ht="9.75" customHeight="1" thickTop="1" thickBot="1"/>
    <row r="27" spans="2:21" ht="15.75" customHeight="1" thickTop="1" thickBot="1">
      <c r="C27" s="83"/>
      <c r="D27" s="83"/>
      <c r="E27" s="387"/>
      <c r="F27" s="1253" t="s">
        <v>304</v>
      </c>
      <c r="G27" s="1254"/>
      <c r="H27" s="1254"/>
      <c r="I27" s="1254"/>
      <c r="J27" s="1254"/>
      <c r="K27" s="1254"/>
      <c r="L27" s="1254"/>
      <c r="M27" s="1254"/>
      <c r="N27" s="1255"/>
    </row>
    <row r="28" spans="2:21" ht="39.950000000000003" customHeight="1" thickTop="1">
      <c r="E28" s="134"/>
      <c r="F28" s="388"/>
      <c r="H28" s="389"/>
      <c r="I28" s="389"/>
      <c r="J28" s="346" t="s">
        <v>504</v>
      </c>
      <c r="K28" s="1300" t="str">
        <f>'2. EAL Surfer - Tier 1 EALs'!D5</f>
        <v>Unrestricted</v>
      </c>
      <c r="L28" s="1210"/>
      <c r="M28" s="1210"/>
      <c r="N28" s="1233"/>
      <c r="O28" s="354" t="str">
        <f>IF('2. EAL Surfer - Tier 1 EALs'!D5='2. EAL Surfer - Tier 1 EALs'!O14,"Note: Land use restrictions
may apply.","")</f>
        <v/>
      </c>
    </row>
    <row r="29" spans="2:21" ht="39.950000000000003" customHeight="1">
      <c r="E29" s="134"/>
      <c r="F29" s="1301" t="s">
        <v>267</v>
      </c>
      <c r="G29" s="1235"/>
      <c r="H29" s="1235"/>
      <c r="I29" s="1235"/>
      <c r="J29" s="1302"/>
      <c r="K29" s="1297" t="str">
        <f>'2. EAL Surfer - Tier 1 EALs'!D7</f>
        <v>Drinking Water Resource</v>
      </c>
      <c r="L29" s="1298"/>
      <c r="M29" s="1235"/>
      <c r="N29" s="1299"/>
    </row>
    <row r="30" spans="2:21" ht="24.95" customHeight="1" thickBot="1">
      <c r="E30" s="134"/>
      <c r="F30" s="1256" t="s">
        <v>871</v>
      </c>
      <c r="G30" s="1257"/>
      <c r="H30" s="1257"/>
      <c r="I30" s="1257"/>
      <c r="J30" s="1257"/>
      <c r="K30" s="1258" t="str">
        <f>'2. EAL Surfer - Tier 1 EALs'!D10</f>
        <v>&lt; 150m</v>
      </c>
      <c r="L30" s="1257"/>
      <c r="M30" s="1257"/>
      <c r="N30" s="1259"/>
    </row>
    <row r="31" spans="2:21" ht="12.75" customHeight="1" thickTop="1"/>
    <row r="32" spans="2:21" ht="45.75" customHeight="1">
      <c r="D32" s="1250" t="s">
        <v>1397</v>
      </c>
      <c r="E32" s="1250"/>
      <c r="F32" s="1229"/>
      <c r="G32" s="1229"/>
      <c r="H32" s="1229"/>
      <c r="I32" s="1229"/>
      <c r="J32" s="1229"/>
      <c r="K32" s="1229"/>
      <c r="L32" s="1229"/>
      <c r="M32" s="1229"/>
      <c r="N32" s="1229"/>
      <c r="O32" s="1229"/>
      <c r="P32" s="1181"/>
    </row>
    <row r="33" spans="4:17" ht="6.75" customHeight="1">
      <c r="D33" s="184"/>
      <c r="E33" s="184"/>
      <c r="F33" s="186"/>
      <c r="G33" s="186"/>
      <c r="H33" s="186"/>
      <c r="I33" s="186"/>
      <c r="J33" s="186"/>
      <c r="K33" s="186"/>
      <c r="L33" s="186"/>
      <c r="M33" s="186"/>
      <c r="N33" s="186"/>
      <c r="O33" s="186"/>
      <c r="P33" s="123"/>
    </row>
    <row r="34" spans="4:17" ht="15.75" customHeight="1">
      <c r="D34" s="1250" t="s">
        <v>872</v>
      </c>
      <c r="E34" s="1250"/>
      <c r="F34" s="1252"/>
      <c r="G34" s="1252"/>
      <c r="H34" s="1252"/>
      <c r="I34" s="1252"/>
      <c r="J34" s="1252"/>
      <c r="K34" s="1252"/>
      <c r="L34" s="1252"/>
      <c r="M34" s="1252"/>
      <c r="N34" s="1252"/>
      <c r="O34" s="1252"/>
      <c r="P34" s="1252"/>
      <c r="Q34" s="32"/>
    </row>
    <row r="35" spans="4:17" ht="30.75" customHeight="1">
      <c r="D35" s="1251" t="s">
        <v>1060</v>
      </c>
      <c r="E35" s="1251"/>
      <c r="F35" s="1252"/>
      <c r="G35" s="1252"/>
      <c r="H35" s="1252"/>
      <c r="I35" s="1252"/>
      <c r="J35" s="1252"/>
      <c r="K35" s="1252"/>
      <c r="L35" s="1252"/>
      <c r="M35" s="1252"/>
      <c r="N35" s="1252"/>
      <c r="O35" s="1252"/>
      <c r="P35" s="1252"/>
    </row>
    <row r="36" spans="4:17">
      <c r="D36" s="1179" t="s">
        <v>409</v>
      </c>
      <c r="E36" s="1181"/>
      <c r="F36" s="1181"/>
      <c r="G36" s="1181"/>
      <c r="H36" s="1181"/>
      <c r="I36" s="1181"/>
      <c r="J36" s="1181"/>
      <c r="K36" s="1181"/>
      <c r="L36" s="1181"/>
      <c r="M36" s="1181"/>
      <c r="N36" s="1181"/>
      <c r="O36" s="1181"/>
      <c r="P36" s="1181"/>
    </row>
    <row r="37" spans="4:17" ht="32.25" customHeight="1">
      <c r="D37" s="1179" t="s">
        <v>1068</v>
      </c>
      <c r="E37" s="1181"/>
      <c r="F37" s="1181"/>
      <c r="G37" s="1181"/>
      <c r="H37" s="1181"/>
      <c r="I37" s="1181"/>
      <c r="J37" s="1181"/>
      <c r="K37" s="1181"/>
      <c r="L37" s="1181"/>
      <c r="M37" s="1181"/>
      <c r="N37" s="1181"/>
      <c r="O37" s="1181"/>
      <c r="P37" s="1181"/>
    </row>
  </sheetData>
  <sheetProtection algorithmName="SHA-512" hashValue="BW+2jTRcT1hlGTNxX8W7FPbaZIRZsXYXJQluxUtqrTJZxWxb4XUdsv92lQATzwY9/gDPZe4un1t1744HoSnTdw==" saltValue="BElC97UaBdTLo8zUpbpEIg==" spinCount="100000" sheet="1" objects="1" scenarios="1"/>
  <mergeCells count="33">
    <mergeCell ref="B20:C21"/>
    <mergeCell ref="F20:G21"/>
    <mergeCell ref="H21:J21"/>
    <mergeCell ref="L13:L15"/>
    <mergeCell ref="G16:G17"/>
    <mergeCell ref="L23:L24"/>
    <mergeCell ref="H14:J14"/>
    <mergeCell ref="H17:K17"/>
    <mergeCell ref="H19:K20"/>
    <mergeCell ref="K29:N29"/>
    <mergeCell ref="K28:N28"/>
    <mergeCell ref="F29:J29"/>
    <mergeCell ref="N14:O14"/>
    <mergeCell ref="D14:F15"/>
    <mergeCell ref="H16:K16"/>
    <mergeCell ref="D2:O2"/>
    <mergeCell ref="D1:O1"/>
    <mergeCell ref="L9:L10"/>
    <mergeCell ref="H12:K13"/>
    <mergeCell ref="N12:O13"/>
    <mergeCell ref="C6:G7"/>
    <mergeCell ref="F12:F13"/>
    <mergeCell ref="D12:E13"/>
    <mergeCell ref="B12:C13"/>
    <mergeCell ref="B3:P3"/>
    <mergeCell ref="D37:P37"/>
    <mergeCell ref="D36:P36"/>
    <mergeCell ref="D32:P32"/>
    <mergeCell ref="D35:P35"/>
    <mergeCell ref="F27:N27"/>
    <mergeCell ref="D34:P34"/>
    <mergeCell ref="F30:J30"/>
    <mergeCell ref="K30:N30"/>
  </mergeCells>
  <phoneticPr fontId="18" type="noConversion"/>
  <dataValidations disablePrompts="1" count="1">
    <dataValidation type="list" allowBlank="1" showInputMessage="1" showErrorMessage="1" sqref="F5:G5" xr:uid="{00000000-0002-0000-0500-000000000000}">
      <formula1>$U$17:$U$18</formula1>
    </dataValidation>
  </dataValidations>
  <printOptions horizontalCentered="1"/>
  <pageMargins left="0.4" right="0.42" top="0.56999999999999995" bottom="0.53" header="0.5" footer="0.31"/>
  <pageSetup scale="78" orientation="landscape" horizontalDpi="4294967293" r:id="rId1"/>
  <headerFooter alignWithMargins="0">
    <oddFooter>&amp;R&amp;A</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29"/>
  </sheetPr>
  <dimension ref="A1:Q391"/>
  <sheetViews>
    <sheetView topLeftCell="C1" zoomScale="90" zoomScaleNormal="90" workbookViewId="0">
      <pane ySplit="2940" topLeftCell="A7" activePane="bottomLeft"/>
      <selection activeCell="L119" sqref="L119"/>
      <selection pane="bottomLeft" activeCell="C7" sqref="C7"/>
    </sheetView>
  </sheetViews>
  <sheetFormatPr defaultColWidth="8.73046875" defaultRowHeight="10.15"/>
  <cols>
    <col min="1" max="1" width="0" style="3" hidden="1" customWidth="1"/>
    <col min="2" max="2" width="9.1328125" style="3" hidden="1" customWidth="1"/>
    <col min="3" max="3" width="44.59765625" style="1" customWidth="1"/>
    <col min="4" max="4" width="13.59765625" style="518" customWidth="1"/>
    <col min="5" max="5" width="13.59765625" style="518" hidden="1" customWidth="1"/>
    <col min="6" max="6" width="13.59765625" style="518" customWidth="1"/>
    <col min="7" max="7" width="11.1328125" style="518" customWidth="1"/>
    <col min="8" max="8" width="11.1328125" style="475" customWidth="1"/>
    <col min="9" max="13" width="13.59765625" style="475" customWidth="1"/>
    <col min="14" max="14" width="13.59765625" style="481" customWidth="1"/>
    <col min="15" max="16" width="13.59765625" style="3" customWidth="1"/>
    <col min="17" max="16384" width="8.73046875" style="3"/>
  </cols>
  <sheetData>
    <row r="1" spans="1:17" ht="15">
      <c r="C1" s="866" t="s">
        <v>987</v>
      </c>
      <c r="D1" s="867"/>
      <c r="E1" s="867"/>
      <c r="F1" s="867"/>
      <c r="G1" s="867"/>
      <c r="H1" s="868"/>
      <c r="I1" s="868"/>
      <c r="J1" s="868"/>
      <c r="K1" s="868"/>
      <c r="L1" s="868"/>
      <c r="M1" s="868"/>
      <c r="N1" s="868"/>
    </row>
    <row r="2" spans="1:17" ht="15.4" thickBot="1">
      <c r="C2" s="866"/>
      <c r="D2" s="867"/>
      <c r="E2" s="867"/>
      <c r="F2" s="867"/>
      <c r="G2" s="867"/>
      <c r="H2" s="868"/>
      <c r="I2" s="868"/>
      <c r="J2" s="868"/>
      <c r="K2" s="868"/>
      <c r="L2" s="868"/>
      <c r="M2" s="868"/>
      <c r="N2" s="868"/>
      <c r="O2" s="481"/>
    </row>
    <row r="3" spans="1:17" ht="15.75" thickTop="1" thickBot="1">
      <c r="C3" s="751"/>
      <c r="D3" s="3"/>
      <c r="E3" s="3"/>
      <c r="F3" s="3"/>
      <c r="I3" s="869" t="s">
        <v>890</v>
      </c>
      <c r="J3" s="870"/>
      <c r="K3" s="870"/>
      <c r="L3" s="870"/>
      <c r="M3" s="871" t="s">
        <v>898</v>
      </c>
      <c r="N3" s="870"/>
      <c r="O3" s="872"/>
      <c r="P3" s="873"/>
    </row>
    <row r="4" spans="1:17" ht="15.4" thickBot="1">
      <c r="C4" s="751"/>
      <c r="D4" s="3"/>
      <c r="E4" s="650" t="s">
        <v>518</v>
      </c>
      <c r="F4" s="3"/>
      <c r="I4" s="874" t="s">
        <v>899</v>
      </c>
      <c r="J4" s="875"/>
      <c r="K4" s="443" t="s">
        <v>900</v>
      </c>
      <c r="L4" s="876"/>
      <c r="M4" s="877" t="s">
        <v>899</v>
      </c>
      <c r="N4" s="878"/>
      <c r="O4" s="875" t="s">
        <v>900</v>
      </c>
      <c r="P4" s="879"/>
    </row>
    <row r="5" spans="1:17" ht="51" thickTop="1">
      <c r="C5" s="880"/>
      <c r="D5" s="881" t="s">
        <v>891</v>
      </c>
      <c r="E5" s="882" t="s">
        <v>1032</v>
      </c>
      <c r="F5" s="883" t="s">
        <v>892</v>
      </c>
      <c r="G5" s="884" t="s">
        <v>893</v>
      </c>
      <c r="H5" s="885" t="s">
        <v>940</v>
      </c>
      <c r="I5" s="800" t="s">
        <v>170</v>
      </c>
      <c r="J5" s="804" t="s">
        <v>171</v>
      </c>
      <c r="K5" s="804" t="s">
        <v>172</v>
      </c>
      <c r="L5" s="886" t="s">
        <v>173</v>
      </c>
      <c r="M5" s="800" t="s">
        <v>174</v>
      </c>
      <c r="N5" s="821" t="s">
        <v>175</v>
      </c>
      <c r="O5" s="804" t="s">
        <v>174</v>
      </c>
      <c r="P5" s="858" t="s">
        <v>175</v>
      </c>
    </row>
    <row r="6" spans="1:17" ht="15" customHeight="1" thickBot="1">
      <c r="B6" s="3" t="s">
        <v>176</v>
      </c>
      <c r="C6" s="887" t="s">
        <v>613</v>
      </c>
      <c r="D6" s="888" t="s">
        <v>895</v>
      </c>
      <c r="E6" s="889" t="s">
        <v>378</v>
      </c>
      <c r="F6" s="890" t="s">
        <v>896</v>
      </c>
      <c r="G6" s="891"/>
      <c r="H6" s="892" t="s">
        <v>897</v>
      </c>
      <c r="I6" s="893" t="s">
        <v>816</v>
      </c>
      <c r="J6" s="894" t="s">
        <v>816</v>
      </c>
      <c r="K6" s="894" t="s">
        <v>816</v>
      </c>
      <c r="L6" s="892" t="s">
        <v>816</v>
      </c>
      <c r="M6" s="893" t="s">
        <v>897</v>
      </c>
      <c r="N6" s="895" t="s">
        <v>897</v>
      </c>
      <c r="O6" s="894" t="s">
        <v>897</v>
      </c>
      <c r="P6" s="896" t="s">
        <v>897</v>
      </c>
    </row>
    <row r="7" spans="1:17" ht="11.25" customHeight="1">
      <c r="A7" s="3" t="s">
        <v>1428</v>
      </c>
      <c r="B7" s="454" t="s">
        <v>548</v>
      </c>
      <c r="C7" s="454" t="s">
        <v>921</v>
      </c>
      <c r="D7" s="897">
        <v>5027</v>
      </c>
      <c r="E7" s="898">
        <v>5027</v>
      </c>
      <c r="F7" s="898">
        <v>1.8000000000000001E-4</v>
      </c>
      <c r="G7" s="899">
        <v>835.59926000000007</v>
      </c>
      <c r="H7" s="560">
        <v>118.02733726415093</v>
      </c>
      <c r="I7" s="497">
        <v>15</v>
      </c>
      <c r="J7" s="718">
        <v>20</v>
      </c>
      <c r="K7" s="718">
        <v>15</v>
      </c>
      <c r="L7" s="560">
        <v>200</v>
      </c>
      <c r="M7" s="497">
        <v>118.02733726415093</v>
      </c>
      <c r="N7" s="718">
        <v>118.02733726415093</v>
      </c>
      <c r="O7" s="718">
        <v>118.02733726415093</v>
      </c>
      <c r="P7" s="457">
        <v>167.11985200000001</v>
      </c>
      <c r="Q7" s="481"/>
    </row>
    <row r="8" spans="1:17" ht="11.25" customHeight="1">
      <c r="A8" s="3" t="s">
        <v>954</v>
      </c>
      <c r="B8" s="458" t="s">
        <v>549</v>
      </c>
      <c r="C8" s="458" t="s">
        <v>549</v>
      </c>
      <c r="D8" s="802">
        <v>2500</v>
      </c>
      <c r="E8" s="900">
        <v>2500</v>
      </c>
      <c r="F8" s="900">
        <v>1.4499999999999999E-3</v>
      </c>
      <c r="G8" s="901">
        <v>424.00015000000002</v>
      </c>
      <c r="H8" s="566">
        <v>59.387266877358485</v>
      </c>
      <c r="I8" s="501">
        <v>13</v>
      </c>
      <c r="J8" s="720">
        <v>300</v>
      </c>
      <c r="K8" s="720">
        <v>13</v>
      </c>
      <c r="L8" s="566">
        <v>300</v>
      </c>
      <c r="M8" s="501">
        <v>5.5120019500000001</v>
      </c>
      <c r="N8" s="720">
        <v>127.20004500000002</v>
      </c>
      <c r="O8" s="720">
        <v>5.5120019500000001</v>
      </c>
      <c r="P8" s="461">
        <v>127.20004500000002</v>
      </c>
      <c r="Q8" s="481"/>
    </row>
    <row r="9" spans="1:17" ht="11.25" customHeight="1">
      <c r="A9" s="3" t="s">
        <v>954</v>
      </c>
      <c r="B9" s="458" t="s">
        <v>550</v>
      </c>
      <c r="C9" s="458" t="s">
        <v>550</v>
      </c>
      <c r="D9" s="802">
        <v>2.4</v>
      </c>
      <c r="E9" s="900">
        <v>2.4</v>
      </c>
      <c r="F9" s="900">
        <v>3.4999999999999997E-5</v>
      </c>
      <c r="G9" s="901">
        <v>0.615645</v>
      </c>
      <c r="H9" s="566">
        <v>114665.0314465409</v>
      </c>
      <c r="I9" s="501">
        <v>1500</v>
      </c>
      <c r="J9" s="720">
        <v>6044.7756876580943</v>
      </c>
      <c r="K9" s="720">
        <v>1500</v>
      </c>
      <c r="L9" s="566">
        <v>15000</v>
      </c>
      <c r="M9" s="501">
        <v>0.9234675</v>
      </c>
      <c r="N9" s="720">
        <v>3.7214359282282676</v>
      </c>
      <c r="O9" s="720">
        <v>0.9234675</v>
      </c>
      <c r="P9" s="461">
        <v>9.2346749999999993</v>
      </c>
      <c r="Q9" s="481"/>
    </row>
    <row r="10" spans="1:17" ht="11.25" customHeight="1">
      <c r="A10" s="3" t="s">
        <v>1428</v>
      </c>
      <c r="B10" s="458" t="s">
        <v>551</v>
      </c>
      <c r="C10" s="458" t="s">
        <v>797</v>
      </c>
      <c r="D10" s="802">
        <v>82020</v>
      </c>
      <c r="E10" s="900">
        <v>82020</v>
      </c>
      <c r="F10" s="900">
        <v>4.3999999999999999E-5</v>
      </c>
      <c r="G10" s="901">
        <v>13615.593108000001</v>
      </c>
      <c r="H10" s="566">
        <v>8.3677457928301884</v>
      </c>
      <c r="I10" s="501">
        <v>1.3999999999999999E-4</v>
      </c>
      <c r="J10" s="720">
        <v>1.2053821078383794E-3</v>
      </c>
      <c r="K10" s="720">
        <v>1.3999999999999999E-4</v>
      </c>
      <c r="L10" s="566">
        <v>1.3</v>
      </c>
      <c r="M10" s="501">
        <v>8.3677457928301884</v>
      </c>
      <c r="N10" s="720">
        <v>8.3677457928301884</v>
      </c>
      <c r="O10" s="720">
        <v>8.3677457928301884</v>
      </c>
      <c r="P10" s="461">
        <v>17.700271040400004</v>
      </c>
      <c r="Q10" s="481"/>
    </row>
    <row r="11" spans="1:17" ht="11.25" customHeight="1">
      <c r="A11" s="3" t="s">
        <v>954</v>
      </c>
      <c r="B11" s="458" t="s">
        <v>161</v>
      </c>
      <c r="C11" s="458" t="s">
        <v>161</v>
      </c>
      <c r="D11" s="802">
        <v>428.2</v>
      </c>
      <c r="E11" s="900">
        <v>428.2</v>
      </c>
      <c r="F11" s="900">
        <v>2.4E-9</v>
      </c>
      <c r="G11" s="901">
        <v>71.081214896799992</v>
      </c>
      <c r="H11" s="566">
        <v>557.86280391697551</v>
      </c>
      <c r="I11" s="501">
        <v>152.33581908424497</v>
      </c>
      <c r="J11" s="720">
        <v>152.33581908424497</v>
      </c>
      <c r="K11" s="720">
        <v>700</v>
      </c>
      <c r="L11" s="566">
        <v>1800</v>
      </c>
      <c r="M11" s="501">
        <v>10.828215092807262</v>
      </c>
      <c r="N11" s="720">
        <v>10.828215092807262</v>
      </c>
      <c r="O11" s="720">
        <v>49.756850427759993</v>
      </c>
      <c r="P11" s="461">
        <v>127.94618681423999</v>
      </c>
      <c r="Q11" s="481"/>
    </row>
    <row r="12" spans="1:17" ht="11.25" customHeight="1">
      <c r="A12" s="3" t="s">
        <v>954</v>
      </c>
      <c r="B12" s="462" t="s">
        <v>162</v>
      </c>
      <c r="C12" s="462" t="s">
        <v>162</v>
      </c>
      <c r="D12" s="802">
        <v>283</v>
      </c>
      <c r="E12" s="900">
        <v>283</v>
      </c>
      <c r="F12" s="900">
        <v>3.3000000000000002E-11</v>
      </c>
      <c r="G12" s="901">
        <v>46.978000204830998</v>
      </c>
      <c r="H12" s="566">
        <v>2193.5600003002423</v>
      </c>
      <c r="I12" s="501">
        <v>1.9300404753783804</v>
      </c>
      <c r="J12" s="720">
        <v>1.9300404753783804</v>
      </c>
      <c r="K12" s="720">
        <v>18</v>
      </c>
      <c r="L12" s="566">
        <v>160</v>
      </c>
      <c r="M12" s="501">
        <v>9.066944184765767E-2</v>
      </c>
      <c r="N12" s="720">
        <v>9.066944184765767E-2</v>
      </c>
      <c r="O12" s="720">
        <v>0.84560400368695798</v>
      </c>
      <c r="P12" s="461">
        <v>7.51648003277296</v>
      </c>
      <c r="Q12" s="481"/>
    </row>
    <row r="13" spans="1:17" ht="11.25" customHeight="1">
      <c r="A13" s="3" t="s">
        <v>954</v>
      </c>
      <c r="B13" s="462" t="s">
        <v>94</v>
      </c>
      <c r="C13" s="462" t="s">
        <v>94</v>
      </c>
      <c r="D13" s="802">
        <v>283</v>
      </c>
      <c r="E13" s="900">
        <v>283</v>
      </c>
      <c r="F13" s="900">
        <v>3.3000000000000002E-11</v>
      </c>
      <c r="G13" s="901">
        <v>46.978000204830998</v>
      </c>
      <c r="H13" s="566">
        <v>2193.5600003002423</v>
      </c>
      <c r="I13" s="501">
        <v>1.9300404753783804</v>
      </c>
      <c r="J13" s="720">
        <v>1.9300404753783804</v>
      </c>
      <c r="K13" s="720">
        <v>11</v>
      </c>
      <c r="L13" s="566">
        <v>98</v>
      </c>
      <c r="M13" s="501">
        <v>9.066944184765767E-2</v>
      </c>
      <c r="N13" s="720">
        <v>9.066944184765767E-2</v>
      </c>
      <c r="O13" s="720">
        <v>0.51675800225314095</v>
      </c>
      <c r="P13" s="461">
        <v>4.6038440200734376</v>
      </c>
      <c r="Q13" s="481"/>
    </row>
    <row r="14" spans="1:17" ht="11.25" customHeight="1">
      <c r="A14" s="3" t="s">
        <v>1428</v>
      </c>
      <c r="B14" s="458" t="s">
        <v>552</v>
      </c>
      <c r="C14" s="458" t="s">
        <v>923</v>
      </c>
      <c r="D14" s="802">
        <v>16360</v>
      </c>
      <c r="E14" s="900">
        <v>16360</v>
      </c>
      <c r="F14" s="900">
        <v>5.5999999999999999E-5</v>
      </c>
      <c r="G14" s="901">
        <v>2716.1075920000003</v>
      </c>
      <c r="H14" s="566">
        <v>4.2251987225786163</v>
      </c>
      <c r="I14" s="501">
        <v>0.02</v>
      </c>
      <c r="J14" s="720">
        <v>0.18</v>
      </c>
      <c r="K14" s="720">
        <v>0.02</v>
      </c>
      <c r="L14" s="566">
        <v>0.18</v>
      </c>
      <c r="M14" s="501">
        <v>4.2251987225786163</v>
      </c>
      <c r="N14" s="720">
        <v>4.2251987225786163</v>
      </c>
      <c r="O14" s="720">
        <v>4.2251987225786163</v>
      </c>
      <c r="P14" s="461">
        <v>4.2251987225786163</v>
      </c>
      <c r="Q14" s="481"/>
    </row>
    <row r="15" spans="1:17" ht="11.25" customHeight="1">
      <c r="A15" s="3" t="s">
        <v>954</v>
      </c>
      <c r="B15" s="458" t="s">
        <v>553</v>
      </c>
      <c r="C15" s="458" t="s">
        <v>553</v>
      </c>
      <c r="D15" s="802" t="s">
        <v>954</v>
      </c>
      <c r="E15" s="900" t="s">
        <v>954</v>
      </c>
      <c r="F15" s="900" t="s">
        <v>954</v>
      </c>
      <c r="G15" s="901" t="s">
        <v>954</v>
      </c>
      <c r="H15" s="566" t="s">
        <v>954</v>
      </c>
      <c r="I15" s="501">
        <v>6</v>
      </c>
      <c r="J15" s="720">
        <v>6</v>
      </c>
      <c r="K15" s="720">
        <v>30</v>
      </c>
      <c r="L15" s="566">
        <v>180</v>
      </c>
      <c r="M15" s="501" t="s">
        <v>1408</v>
      </c>
      <c r="N15" s="720" t="s">
        <v>1408</v>
      </c>
      <c r="O15" s="720" t="s">
        <v>1408</v>
      </c>
      <c r="P15" s="461" t="s">
        <v>1408</v>
      </c>
      <c r="Q15" s="481"/>
    </row>
    <row r="16" spans="1:17" ht="11.25" customHeight="1">
      <c r="A16" s="3" t="s">
        <v>954</v>
      </c>
      <c r="B16" s="458" t="s">
        <v>686</v>
      </c>
      <c r="C16" s="458" t="s">
        <v>686</v>
      </c>
      <c r="D16" s="802" t="s">
        <v>954</v>
      </c>
      <c r="E16" s="900" t="s">
        <v>954</v>
      </c>
      <c r="F16" s="900" t="s">
        <v>954</v>
      </c>
      <c r="G16" s="901" t="s">
        <v>954</v>
      </c>
      <c r="H16" s="566" t="s">
        <v>954</v>
      </c>
      <c r="I16" s="501">
        <v>10</v>
      </c>
      <c r="J16" s="720">
        <v>10</v>
      </c>
      <c r="K16" s="720">
        <v>36</v>
      </c>
      <c r="L16" s="566">
        <v>69</v>
      </c>
      <c r="M16" s="501" t="s">
        <v>1408</v>
      </c>
      <c r="N16" s="720" t="s">
        <v>1408</v>
      </c>
      <c r="O16" s="720" t="s">
        <v>1408</v>
      </c>
      <c r="P16" s="461" t="s">
        <v>1408</v>
      </c>
      <c r="Q16" s="481"/>
    </row>
    <row r="17" spans="1:17" ht="11.25" customHeight="1">
      <c r="A17" s="3" t="s">
        <v>954</v>
      </c>
      <c r="B17" s="458" t="s">
        <v>95</v>
      </c>
      <c r="C17" s="458" t="s">
        <v>95</v>
      </c>
      <c r="D17" s="802">
        <v>224.5</v>
      </c>
      <c r="E17" s="900">
        <v>224.5</v>
      </c>
      <c r="F17" s="900">
        <v>2.4E-9</v>
      </c>
      <c r="G17" s="901">
        <v>37.267014896800006</v>
      </c>
      <c r="H17" s="566">
        <v>50.645000636075473</v>
      </c>
      <c r="I17" s="501">
        <v>3</v>
      </c>
      <c r="J17" s="720">
        <v>3</v>
      </c>
      <c r="K17" s="720">
        <v>12</v>
      </c>
      <c r="L17" s="566">
        <v>330</v>
      </c>
      <c r="M17" s="501">
        <v>0.11180104469040002</v>
      </c>
      <c r="N17" s="720">
        <v>0.11180104469040002</v>
      </c>
      <c r="O17" s="720">
        <v>0.44720417876160007</v>
      </c>
      <c r="P17" s="461">
        <v>12.298114915944003</v>
      </c>
      <c r="Q17" s="481"/>
    </row>
    <row r="18" spans="1:17" ht="11.25" customHeight="1">
      <c r="A18" s="3" t="s">
        <v>954</v>
      </c>
      <c r="B18" s="458" t="s">
        <v>687</v>
      </c>
      <c r="C18" s="458" t="s">
        <v>687</v>
      </c>
      <c r="D18" s="802" t="s">
        <v>954</v>
      </c>
      <c r="E18" s="900" t="s">
        <v>954</v>
      </c>
      <c r="F18" s="900" t="s">
        <v>954</v>
      </c>
      <c r="G18" s="901" t="s">
        <v>954</v>
      </c>
      <c r="H18" s="566" t="s">
        <v>954</v>
      </c>
      <c r="I18" s="501">
        <v>220</v>
      </c>
      <c r="J18" s="720">
        <v>2000</v>
      </c>
      <c r="K18" s="720">
        <v>220</v>
      </c>
      <c r="L18" s="566">
        <v>2000</v>
      </c>
      <c r="M18" s="501" t="s">
        <v>1408</v>
      </c>
      <c r="N18" s="720" t="s">
        <v>1408</v>
      </c>
      <c r="O18" s="720" t="s">
        <v>1408</v>
      </c>
      <c r="P18" s="461" t="s">
        <v>1408</v>
      </c>
      <c r="Q18" s="481"/>
    </row>
    <row r="19" spans="1:17" ht="11.25" customHeight="1">
      <c r="B19" s="458" t="s">
        <v>1156</v>
      </c>
      <c r="C19" s="458" t="s">
        <v>1156</v>
      </c>
      <c r="D19" s="802">
        <v>336.2</v>
      </c>
      <c r="E19" s="900">
        <v>336.2</v>
      </c>
      <c r="F19" s="900">
        <v>4.8999999999999997E-12</v>
      </c>
      <c r="G19" s="901">
        <v>55.809200030414303</v>
      </c>
      <c r="H19" s="566">
        <v>8.045360000143873</v>
      </c>
      <c r="I19" s="501">
        <v>0.14000000000000001</v>
      </c>
      <c r="J19" s="720">
        <v>2.8</v>
      </c>
      <c r="K19" s="720">
        <v>0.14000000000000001</v>
      </c>
      <c r="L19" s="566">
        <v>2.8</v>
      </c>
      <c r="M19" s="501">
        <v>7.8132880042580035E-3</v>
      </c>
      <c r="N19" s="720">
        <v>0.15626576008516002</v>
      </c>
      <c r="O19" s="720">
        <v>7.8132880042580035E-3</v>
      </c>
      <c r="P19" s="461">
        <v>0.15626576008516002</v>
      </c>
      <c r="Q19" s="481"/>
    </row>
    <row r="20" spans="1:17" ht="11.25" customHeight="1">
      <c r="A20" s="3" t="s">
        <v>954</v>
      </c>
      <c r="B20" s="458" t="s">
        <v>688</v>
      </c>
      <c r="C20" s="458" t="s">
        <v>688</v>
      </c>
      <c r="D20" s="802">
        <v>150</v>
      </c>
      <c r="E20" s="900">
        <v>150</v>
      </c>
      <c r="F20" s="900">
        <v>5.5999999999999999E-3</v>
      </c>
      <c r="G20" s="901">
        <v>59.659199999999998</v>
      </c>
      <c r="H20" s="566">
        <v>1867.9381761006287</v>
      </c>
      <c r="I20" s="501">
        <v>5</v>
      </c>
      <c r="J20" s="720">
        <v>5</v>
      </c>
      <c r="K20" s="720">
        <v>71.3</v>
      </c>
      <c r="L20" s="566">
        <v>1700</v>
      </c>
      <c r="M20" s="501">
        <v>0.29829600000000001</v>
      </c>
      <c r="N20" s="720">
        <v>0.29829600000000001</v>
      </c>
      <c r="O20" s="720">
        <v>4.2537009600000006</v>
      </c>
      <c r="P20" s="461">
        <v>101.42064000000001</v>
      </c>
      <c r="Q20" s="481"/>
    </row>
    <row r="21" spans="1:17" ht="11.25" customHeight="1">
      <c r="A21" s="3" t="s">
        <v>1428</v>
      </c>
      <c r="B21" s="458" t="s">
        <v>689</v>
      </c>
      <c r="C21" s="458" t="s">
        <v>798</v>
      </c>
      <c r="D21" s="802">
        <v>176900</v>
      </c>
      <c r="E21" s="900">
        <v>176900</v>
      </c>
      <c r="F21" s="900">
        <v>1.2E-5</v>
      </c>
      <c r="G21" s="901">
        <v>29365.474484000002</v>
      </c>
      <c r="H21" s="566">
        <v>9.9781008719534601</v>
      </c>
      <c r="I21" s="501">
        <v>2.7E-2</v>
      </c>
      <c r="J21" s="720">
        <v>5.1725078228107436E-2</v>
      </c>
      <c r="K21" s="720">
        <v>2.7E-2</v>
      </c>
      <c r="L21" s="566">
        <v>4.7</v>
      </c>
      <c r="M21" s="501">
        <v>9.9781008719534601</v>
      </c>
      <c r="N21" s="720">
        <v>9.9781008719534601</v>
      </c>
      <c r="O21" s="720">
        <v>9.9781008719534601</v>
      </c>
      <c r="P21" s="461">
        <v>138.01773007480003</v>
      </c>
      <c r="Q21" s="481"/>
    </row>
    <row r="22" spans="1:17" ht="11.25" customHeight="1">
      <c r="A22" s="3" t="s">
        <v>1428</v>
      </c>
      <c r="B22" s="458" t="s">
        <v>690</v>
      </c>
      <c r="C22" s="458" t="s">
        <v>802</v>
      </c>
      <c r="D22" s="802">
        <v>587400</v>
      </c>
      <c r="E22" s="900">
        <v>587400</v>
      </c>
      <c r="F22" s="900">
        <v>4.5999999999999999E-7</v>
      </c>
      <c r="G22" s="901">
        <v>97508.402855220003</v>
      </c>
      <c r="H22" s="566">
        <v>5.6392000057549687</v>
      </c>
      <c r="I22" s="501">
        <v>0.06</v>
      </c>
      <c r="J22" s="720">
        <v>0.2</v>
      </c>
      <c r="K22" s="720">
        <v>0.06</v>
      </c>
      <c r="L22" s="566">
        <v>0.8</v>
      </c>
      <c r="M22" s="501">
        <v>5.8505041713132</v>
      </c>
      <c r="N22" s="720">
        <v>19.501680571044002</v>
      </c>
      <c r="O22" s="720">
        <v>5.8505041713132</v>
      </c>
      <c r="P22" s="461">
        <v>78.006722284176007</v>
      </c>
      <c r="Q22" s="481"/>
    </row>
    <row r="23" spans="1:17" ht="11.25" customHeight="1">
      <c r="A23" s="3" t="s">
        <v>1428</v>
      </c>
      <c r="B23" s="458" t="s">
        <v>691</v>
      </c>
      <c r="C23" s="458" t="s">
        <v>799</v>
      </c>
      <c r="D23" s="802">
        <v>599400</v>
      </c>
      <c r="E23" s="900">
        <v>599400</v>
      </c>
      <c r="F23" s="900">
        <v>6.6000000000000003E-7</v>
      </c>
      <c r="G23" s="901">
        <v>99500.404096620012</v>
      </c>
      <c r="H23" s="566">
        <v>5.394750007666981</v>
      </c>
      <c r="I23" s="501">
        <v>5.8130821430763209E-2</v>
      </c>
      <c r="J23" s="720">
        <v>5.8130821430763209E-2</v>
      </c>
      <c r="K23" s="720">
        <v>0.68</v>
      </c>
      <c r="L23" s="566">
        <v>0.75</v>
      </c>
      <c r="M23" s="501">
        <v>5.7840402228293977</v>
      </c>
      <c r="N23" s="720">
        <v>5.7840402228293977</v>
      </c>
      <c r="O23" s="720">
        <v>67.660274785701603</v>
      </c>
      <c r="P23" s="461">
        <v>74.625303072465002</v>
      </c>
      <c r="Q23" s="481"/>
    </row>
    <row r="24" spans="1:17" ht="11.25" customHeight="1">
      <c r="A24" s="3" t="s">
        <v>1428</v>
      </c>
      <c r="B24" s="458" t="s">
        <v>692</v>
      </c>
      <c r="C24" s="458" t="s">
        <v>801</v>
      </c>
      <c r="D24" s="802">
        <v>1600000</v>
      </c>
      <c r="E24" s="900">
        <v>1600000</v>
      </c>
      <c r="F24" s="900">
        <v>1.4399999999999999E-7</v>
      </c>
      <c r="G24" s="901">
        <v>265600.00089380803</v>
      </c>
      <c r="H24" s="566">
        <v>2.496026000290398</v>
      </c>
      <c r="I24" s="501">
        <v>0.12999999999999998</v>
      </c>
      <c r="J24" s="720">
        <v>0.12999999999999998</v>
      </c>
      <c r="K24" s="720">
        <v>0.12999999999999998</v>
      </c>
      <c r="L24" s="566">
        <v>0.12999999999999998</v>
      </c>
      <c r="M24" s="501">
        <v>34.528000116195038</v>
      </c>
      <c r="N24" s="720">
        <v>34.528000116195038</v>
      </c>
      <c r="O24" s="720">
        <v>34.528000116195038</v>
      </c>
      <c r="P24" s="461">
        <v>34.528000116195038</v>
      </c>
      <c r="Q24" s="481"/>
    </row>
    <row r="25" spans="1:17" ht="11.25" customHeight="1">
      <c r="A25" s="3" t="s">
        <v>1428</v>
      </c>
      <c r="B25" s="458" t="s">
        <v>693</v>
      </c>
      <c r="C25" s="458" t="s">
        <v>800</v>
      </c>
      <c r="D25" s="802">
        <v>587400</v>
      </c>
      <c r="E25" s="900">
        <v>587400</v>
      </c>
      <c r="F25" s="900">
        <v>5.7999999999999995E-7</v>
      </c>
      <c r="G25" s="901">
        <v>97508.403600060003</v>
      </c>
      <c r="H25" s="566">
        <v>2.8196000036347169</v>
      </c>
      <c r="I25" s="501">
        <v>0.36149950113611862</v>
      </c>
      <c r="J25" s="720">
        <v>0.36149950113611862</v>
      </c>
      <c r="K25" s="720">
        <v>0.4</v>
      </c>
      <c r="L25" s="566">
        <v>0.4</v>
      </c>
      <c r="M25" s="501">
        <v>35.249239258001005</v>
      </c>
      <c r="N25" s="720">
        <v>35.249239258001005</v>
      </c>
      <c r="O25" s="720">
        <v>39.003361440024008</v>
      </c>
      <c r="P25" s="461">
        <v>39.003361440024008</v>
      </c>
      <c r="Q25" s="481"/>
    </row>
    <row r="26" spans="1:17" ht="11.25" customHeight="1">
      <c r="A26" s="3" t="s">
        <v>954</v>
      </c>
      <c r="B26" s="458" t="s">
        <v>126</v>
      </c>
      <c r="C26" s="458" t="s">
        <v>126</v>
      </c>
      <c r="D26" s="802" t="s">
        <v>954</v>
      </c>
      <c r="E26" s="900" t="s">
        <v>954</v>
      </c>
      <c r="F26" s="900" t="s">
        <v>954</v>
      </c>
      <c r="G26" s="901" t="s">
        <v>954</v>
      </c>
      <c r="H26" s="566" t="s">
        <v>954</v>
      </c>
      <c r="I26" s="501">
        <v>0.66</v>
      </c>
      <c r="J26" s="720">
        <v>4</v>
      </c>
      <c r="K26" s="720">
        <v>0.66</v>
      </c>
      <c r="L26" s="566">
        <v>35</v>
      </c>
      <c r="M26" s="501" t="s">
        <v>1408</v>
      </c>
      <c r="N26" s="720" t="s">
        <v>1408</v>
      </c>
      <c r="O26" s="720" t="s">
        <v>1408</v>
      </c>
      <c r="P26" s="461" t="s">
        <v>1408</v>
      </c>
      <c r="Q26" s="481"/>
    </row>
    <row r="27" spans="1:17" ht="11.25" customHeight="1">
      <c r="A27" s="3" t="s">
        <v>1428</v>
      </c>
      <c r="B27" s="458" t="s">
        <v>233</v>
      </c>
      <c r="C27" s="458" t="s">
        <v>977</v>
      </c>
      <c r="D27" s="802">
        <v>5129</v>
      </c>
      <c r="E27" s="900">
        <v>5129</v>
      </c>
      <c r="F27" s="900">
        <v>3.1E-4</v>
      </c>
      <c r="G27" s="901">
        <v>853.3381700000001</v>
      </c>
      <c r="H27" s="566">
        <v>230.95592832704406</v>
      </c>
      <c r="I27" s="501">
        <v>0.5</v>
      </c>
      <c r="J27" s="720">
        <v>0.5</v>
      </c>
      <c r="K27" s="720">
        <v>5</v>
      </c>
      <c r="L27" s="566">
        <v>5</v>
      </c>
      <c r="M27" s="501">
        <v>230.95592832704406</v>
      </c>
      <c r="N27" s="720">
        <v>230.95592832704406</v>
      </c>
      <c r="O27" s="720">
        <v>230.95592832704406</v>
      </c>
      <c r="P27" s="461">
        <v>230.95592832704406</v>
      </c>
      <c r="Q27" s="481"/>
    </row>
    <row r="28" spans="1:17" ht="11.25" customHeight="1">
      <c r="A28" s="3" t="s">
        <v>954</v>
      </c>
      <c r="B28" s="458" t="s">
        <v>127</v>
      </c>
      <c r="C28" s="458" t="s">
        <v>127</v>
      </c>
      <c r="D28" s="802">
        <v>32.21</v>
      </c>
      <c r="E28" s="900">
        <v>32.21</v>
      </c>
      <c r="F28" s="900">
        <v>1.7E-5</v>
      </c>
      <c r="G28" s="901">
        <v>5.4523790000000005</v>
      </c>
      <c r="H28" s="566">
        <v>5046.3512704402519</v>
      </c>
      <c r="I28" s="501">
        <v>1.3650810195927489E-2</v>
      </c>
      <c r="J28" s="720">
        <v>1.3650810195927489E-2</v>
      </c>
      <c r="K28" s="720">
        <v>175.65607394552634</v>
      </c>
      <c r="L28" s="566">
        <v>175.65607394552634</v>
      </c>
      <c r="M28" s="501">
        <v>7.4429390845260929E-5</v>
      </c>
      <c r="N28" s="720">
        <v>7.4429390845260929E-5</v>
      </c>
      <c r="O28" s="720">
        <v>0.95774348880303517</v>
      </c>
      <c r="P28" s="461">
        <v>0.95774348880303517</v>
      </c>
      <c r="Q28" s="481"/>
    </row>
    <row r="29" spans="1:17" ht="11.25" customHeight="1">
      <c r="A29" s="3" t="s">
        <v>954</v>
      </c>
      <c r="B29" s="1" t="s">
        <v>1103</v>
      </c>
      <c r="C29" s="503" t="s">
        <v>1103</v>
      </c>
      <c r="D29" s="802">
        <v>61</v>
      </c>
      <c r="E29" s="900">
        <v>61</v>
      </c>
      <c r="F29" s="900">
        <v>1.13E-4</v>
      </c>
      <c r="G29" s="901">
        <v>10.827391</v>
      </c>
      <c r="H29" s="566">
        <v>793.69004465408796</v>
      </c>
      <c r="I29" s="501">
        <v>0.35711381953846194</v>
      </c>
      <c r="J29" s="720">
        <v>0.35711381953846194</v>
      </c>
      <c r="K29" s="720">
        <v>0.35711381953846194</v>
      </c>
      <c r="L29" s="566">
        <v>0.35711381953846194</v>
      </c>
      <c r="M29" s="501">
        <v>3.8666109556463671E-3</v>
      </c>
      <c r="N29" s="720">
        <v>3.8666109556463671E-3</v>
      </c>
      <c r="O29" s="720">
        <v>3.8666109556463671E-3</v>
      </c>
      <c r="P29" s="461">
        <v>3.8666109556463671E-3</v>
      </c>
      <c r="Q29" s="481"/>
    </row>
    <row r="30" spans="1:17" ht="11.25" customHeight="1">
      <c r="A30" s="3" t="s">
        <v>1428</v>
      </c>
      <c r="B30" s="458" t="s">
        <v>128</v>
      </c>
      <c r="C30" s="458" t="s">
        <v>128</v>
      </c>
      <c r="D30" s="802">
        <v>119600</v>
      </c>
      <c r="E30" s="900">
        <v>119600</v>
      </c>
      <c r="F30" s="900">
        <v>2.7000000000000001E-7</v>
      </c>
      <c r="G30" s="901">
        <v>19853.60167589</v>
      </c>
      <c r="H30" s="566">
        <v>193.77900056224536</v>
      </c>
      <c r="I30" s="501">
        <v>3</v>
      </c>
      <c r="J30" s="720">
        <v>6</v>
      </c>
      <c r="K30" s="720">
        <v>3</v>
      </c>
      <c r="L30" s="566">
        <v>27</v>
      </c>
      <c r="M30" s="501">
        <v>193.77900056224536</v>
      </c>
      <c r="N30" s="720">
        <v>193.77900056224536</v>
      </c>
      <c r="O30" s="720">
        <v>193.77900056224536</v>
      </c>
      <c r="P30" s="461">
        <v>536.04724524903008</v>
      </c>
      <c r="Q30" s="481"/>
    </row>
    <row r="31" spans="1:17" ht="11.25" customHeight="1">
      <c r="A31" s="3" t="s">
        <v>954</v>
      </c>
      <c r="B31" s="458" t="s">
        <v>129</v>
      </c>
      <c r="C31" s="458" t="s">
        <v>129</v>
      </c>
      <c r="D31" s="802" t="s">
        <v>954</v>
      </c>
      <c r="E31" s="900" t="s">
        <v>954</v>
      </c>
      <c r="F31" s="900" t="s">
        <v>954</v>
      </c>
      <c r="G31" s="901" t="s">
        <v>954</v>
      </c>
      <c r="H31" s="566" t="s">
        <v>954</v>
      </c>
      <c r="I31" s="501">
        <v>982.67243959237351</v>
      </c>
      <c r="J31" s="720">
        <v>982.67243959237351</v>
      </c>
      <c r="K31" s="720">
        <v>1000</v>
      </c>
      <c r="L31" s="566">
        <v>34000</v>
      </c>
      <c r="M31" s="501" t="s">
        <v>1408</v>
      </c>
      <c r="N31" s="720" t="s">
        <v>1408</v>
      </c>
      <c r="O31" s="720" t="s">
        <v>1408</v>
      </c>
      <c r="P31" s="461" t="s">
        <v>1408</v>
      </c>
      <c r="Q31" s="481"/>
    </row>
    <row r="32" spans="1:17" ht="11.25" customHeight="1">
      <c r="A32" s="3" t="s">
        <v>954</v>
      </c>
      <c r="B32" s="458" t="s">
        <v>130</v>
      </c>
      <c r="C32" s="458" t="s">
        <v>130</v>
      </c>
      <c r="D32" s="802">
        <v>31.82</v>
      </c>
      <c r="E32" s="900">
        <v>31.82</v>
      </c>
      <c r="F32" s="900">
        <v>2.0999999999999999E-3</v>
      </c>
      <c r="G32" s="901">
        <v>18.31682</v>
      </c>
      <c r="H32" s="566">
        <v>932.0059079245284</v>
      </c>
      <c r="I32" s="501">
        <v>0.13443335759216019</v>
      </c>
      <c r="J32" s="720">
        <v>0.13443335759216019</v>
      </c>
      <c r="K32" s="720">
        <v>114.99301190674856</v>
      </c>
      <c r="L32" s="566">
        <v>114.99301190674856</v>
      </c>
      <c r="M32" s="501">
        <v>2.4623916130112316E-3</v>
      </c>
      <c r="N32" s="720">
        <v>2.4623916130112316E-3</v>
      </c>
      <c r="O32" s="720">
        <v>2.1063063003537699</v>
      </c>
      <c r="P32" s="461">
        <v>2.1063063003537699</v>
      </c>
      <c r="Q32" s="481"/>
    </row>
    <row r="33" spans="1:17" ht="11.25" customHeight="1">
      <c r="A33" s="3" t="s">
        <v>954</v>
      </c>
      <c r="B33" s="458" t="s">
        <v>131</v>
      </c>
      <c r="C33" s="458" t="s">
        <v>131</v>
      </c>
      <c r="D33" s="802">
        <v>31.82</v>
      </c>
      <c r="E33" s="900">
        <v>31.82</v>
      </c>
      <c r="F33" s="900">
        <v>5.4000000000000001E-4</v>
      </c>
      <c r="G33" s="901">
        <v>8.6339000000000006</v>
      </c>
      <c r="H33" s="566">
        <v>914.76281761006283</v>
      </c>
      <c r="I33" s="501">
        <v>80</v>
      </c>
      <c r="J33" s="720">
        <v>80</v>
      </c>
      <c r="K33" s="720">
        <v>230</v>
      </c>
      <c r="L33" s="566">
        <v>1100</v>
      </c>
      <c r="M33" s="501">
        <v>0.69071199999999999</v>
      </c>
      <c r="N33" s="720">
        <v>0.69071199999999999</v>
      </c>
      <c r="O33" s="720">
        <v>1.985797</v>
      </c>
      <c r="P33" s="461">
        <v>9.4972900000000013</v>
      </c>
      <c r="Q33" s="481"/>
    </row>
    <row r="34" spans="1:17" ht="11.25" customHeight="1">
      <c r="A34" s="3" t="s">
        <v>954</v>
      </c>
      <c r="B34" s="458" t="s">
        <v>132</v>
      </c>
      <c r="C34" s="458" t="s">
        <v>132</v>
      </c>
      <c r="D34" s="802">
        <v>13.22</v>
      </c>
      <c r="E34" s="900">
        <v>13.22</v>
      </c>
      <c r="F34" s="900">
        <v>7.3000000000000001E-3</v>
      </c>
      <c r="G34" s="901">
        <v>47.50562</v>
      </c>
      <c r="H34" s="566">
        <v>3588.9092830188679</v>
      </c>
      <c r="I34" s="501">
        <v>16</v>
      </c>
      <c r="J34" s="720">
        <v>18.72653049057315</v>
      </c>
      <c r="K34" s="720">
        <v>16</v>
      </c>
      <c r="L34" s="566">
        <v>38</v>
      </c>
      <c r="M34" s="501">
        <v>0.76008991999999997</v>
      </c>
      <c r="N34" s="720">
        <v>0.88961544140358173</v>
      </c>
      <c r="O34" s="720">
        <v>0.76008991999999997</v>
      </c>
      <c r="P34" s="461">
        <v>1.8052135599999999</v>
      </c>
      <c r="Q34" s="481"/>
    </row>
    <row r="35" spans="1:17" ht="11.25" customHeight="1">
      <c r="A35" s="3" t="s">
        <v>954</v>
      </c>
      <c r="B35" s="458" t="s">
        <v>133</v>
      </c>
      <c r="C35" s="458" t="s">
        <v>133</v>
      </c>
      <c r="D35" s="802" t="s">
        <v>954</v>
      </c>
      <c r="E35" s="900" t="s">
        <v>954</v>
      </c>
      <c r="F35" s="900" t="s">
        <v>954</v>
      </c>
      <c r="G35" s="901" t="s">
        <v>954</v>
      </c>
      <c r="H35" s="566" t="s">
        <v>954</v>
      </c>
      <c r="I35" s="501">
        <v>3</v>
      </c>
      <c r="J35" s="720">
        <v>3</v>
      </c>
      <c r="K35" s="720">
        <v>3</v>
      </c>
      <c r="L35" s="566">
        <v>3</v>
      </c>
      <c r="M35" s="501" t="s">
        <v>1408</v>
      </c>
      <c r="N35" s="720" t="s">
        <v>1408</v>
      </c>
      <c r="O35" s="720" t="s">
        <v>1408</v>
      </c>
      <c r="P35" s="461" t="s">
        <v>1408</v>
      </c>
      <c r="Q35" s="481"/>
    </row>
    <row r="36" spans="1:17" ht="11.25" customHeight="1">
      <c r="A36" s="3" t="s">
        <v>954</v>
      </c>
      <c r="B36" s="458" t="s">
        <v>134</v>
      </c>
      <c r="C36" s="458" t="s">
        <v>134</v>
      </c>
      <c r="D36" s="802">
        <v>43.89</v>
      </c>
      <c r="E36" s="900">
        <v>43.89</v>
      </c>
      <c r="F36" s="900">
        <v>2.8000000000000001E-2</v>
      </c>
      <c r="G36" s="901">
        <v>181.08174</v>
      </c>
      <c r="H36" s="566">
        <v>453.26214201257858</v>
      </c>
      <c r="I36" s="501">
        <v>5</v>
      </c>
      <c r="J36" s="720">
        <v>5</v>
      </c>
      <c r="K36" s="720">
        <v>9.8000000000000007</v>
      </c>
      <c r="L36" s="566">
        <v>109.78360683200988</v>
      </c>
      <c r="M36" s="501">
        <v>0.90540869999999996</v>
      </c>
      <c r="N36" s="720">
        <v>0.90540869999999996</v>
      </c>
      <c r="O36" s="720">
        <v>1.774601052</v>
      </c>
      <c r="P36" s="461">
        <v>19.879806548616237</v>
      </c>
      <c r="Q36" s="481"/>
    </row>
    <row r="37" spans="1:17" ht="11.25" customHeight="1">
      <c r="A37" s="3" t="s">
        <v>1428</v>
      </c>
      <c r="B37" s="458" t="s">
        <v>614</v>
      </c>
      <c r="C37" s="458" t="s">
        <v>230</v>
      </c>
      <c r="D37" s="802">
        <v>67540</v>
      </c>
      <c r="E37" s="900">
        <v>67540</v>
      </c>
      <c r="F37" s="900">
        <v>4.8999999999999998E-5</v>
      </c>
      <c r="G37" s="901">
        <v>11211.944143000001</v>
      </c>
      <c r="H37" s="566">
        <v>22.699061202515725</v>
      </c>
      <c r="I37" s="501">
        <v>4.0000000000000001E-3</v>
      </c>
      <c r="J37" s="720">
        <v>0.09</v>
      </c>
      <c r="K37" s="720">
        <v>4.0000000000000001E-3</v>
      </c>
      <c r="L37" s="566">
        <v>0.09</v>
      </c>
      <c r="M37" s="501">
        <v>22.699061202515725</v>
      </c>
      <c r="N37" s="720">
        <v>22.699061202515725</v>
      </c>
      <c r="O37" s="720">
        <v>22.699061202515725</v>
      </c>
      <c r="P37" s="461">
        <v>22.699061202515725</v>
      </c>
      <c r="Q37" s="481"/>
    </row>
    <row r="38" spans="1:17" ht="11.25" customHeight="1">
      <c r="A38" s="3" t="s">
        <v>954</v>
      </c>
      <c r="B38" s="458" t="s">
        <v>135</v>
      </c>
      <c r="C38" s="458" t="s">
        <v>135</v>
      </c>
      <c r="D38" s="802">
        <v>112.7</v>
      </c>
      <c r="E38" s="900">
        <v>112.7</v>
      </c>
      <c r="F38" s="900">
        <v>1.1999999999999999E-6</v>
      </c>
      <c r="G38" s="901">
        <v>18.715648400000003</v>
      </c>
      <c r="H38" s="566">
        <v>3027.2147001886792</v>
      </c>
      <c r="I38" s="501">
        <v>0.36542309808186513</v>
      </c>
      <c r="J38" s="720">
        <v>0.36542309808186513</v>
      </c>
      <c r="K38" s="720">
        <v>19</v>
      </c>
      <c r="L38" s="566">
        <v>459</v>
      </c>
      <c r="M38" s="501">
        <v>6.839130220938904E-3</v>
      </c>
      <c r="N38" s="720">
        <v>6.839130220938904E-3</v>
      </c>
      <c r="O38" s="720">
        <v>0.35559731960000007</v>
      </c>
      <c r="P38" s="461">
        <v>8.5904826156000027</v>
      </c>
      <c r="Q38" s="481"/>
    </row>
    <row r="39" spans="1:17" ht="11.25" customHeight="1">
      <c r="A39" s="3" t="s">
        <v>954</v>
      </c>
      <c r="B39" s="458" t="s">
        <v>136</v>
      </c>
      <c r="C39" s="458" t="s">
        <v>136</v>
      </c>
      <c r="D39" s="802">
        <v>233.9</v>
      </c>
      <c r="E39" s="900">
        <v>233.9</v>
      </c>
      <c r="F39" s="900">
        <v>3.0999999999999999E-3</v>
      </c>
      <c r="G39" s="901">
        <v>58.069100000000006</v>
      </c>
      <c r="H39" s="566">
        <v>760.94901132075483</v>
      </c>
      <c r="I39" s="501">
        <v>25</v>
      </c>
      <c r="J39" s="720">
        <v>50</v>
      </c>
      <c r="K39" s="720">
        <v>25</v>
      </c>
      <c r="L39" s="566">
        <v>220</v>
      </c>
      <c r="M39" s="501">
        <v>1.4517275000000003</v>
      </c>
      <c r="N39" s="720">
        <v>2.9034550000000006</v>
      </c>
      <c r="O39" s="720">
        <v>1.4517275000000003</v>
      </c>
      <c r="P39" s="461">
        <v>12.775202000000002</v>
      </c>
      <c r="Q39" s="481"/>
    </row>
    <row r="40" spans="1:17" ht="11.25" customHeight="1">
      <c r="A40" s="3" t="s">
        <v>954</v>
      </c>
      <c r="B40" s="458" t="s">
        <v>781</v>
      </c>
      <c r="C40" s="458" t="s">
        <v>781</v>
      </c>
      <c r="D40" s="802">
        <v>21.73</v>
      </c>
      <c r="E40" s="900">
        <v>21.73</v>
      </c>
      <c r="F40" s="900">
        <v>1.0999999999999999E-2</v>
      </c>
      <c r="G40" s="901">
        <v>71.884180000000001</v>
      </c>
      <c r="H40" s="566">
        <v>2117.4658377358492</v>
      </c>
      <c r="I40" s="501">
        <v>16</v>
      </c>
      <c r="J40" s="720">
        <v>16</v>
      </c>
      <c r="K40" s="720">
        <v>160</v>
      </c>
      <c r="L40" s="566">
        <v>160</v>
      </c>
      <c r="M40" s="501">
        <v>1.1501468800000001</v>
      </c>
      <c r="N40" s="720">
        <v>1.1501468800000001</v>
      </c>
      <c r="O40" s="720">
        <v>11.501468800000001</v>
      </c>
      <c r="P40" s="461">
        <v>11.501468800000001</v>
      </c>
      <c r="Q40" s="481"/>
    </row>
    <row r="41" spans="1:17" ht="11.25" customHeight="1">
      <c r="A41" s="3" t="s">
        <v>954</v>
      </c>
      <c r="B41" s="464" t="s">
        <v>137</v>
      </c>
      <c r="C41" s="464" t="s">
        <v>137</v>
      </c>
      <c r="D41" s="802">
        <v>31.82</v>
      </c>
      <c r="E41" s="900">
        <v>31.82</v>
      </c>
      <c r="F41" s="900">
        <v>3.7000000000000002E-3</v>
      </c>
      <c r="G41" s="901">
        <v>28.24802</v>
      </c>
      <c r="H41" s="566">
        <v>2538.5640000000003</v>
      </c>
      <c r="I41" s="501">
        <v>28</v>
      </c>
      <c r="J41" s="720">
        <v>70</v>
      </c>
      <c r="K41" s="720">
        <v>28</v>
      </c>
      <c r="L41" s="566">
        <v>108.3094022043858</v>
      </c>
      <c r="M41" s="501">
        <v>0.79094456000000002</v>
      </c>
      <c r="N41" s="720">
        <v>1.9773613999999999</v>
      </c>
      <c r="O41" s="720">
        <v>0.79094456000000002</v>
      </c>
      <c r="P41" s="461">
        <v>3.0595261596575343</v>
      </c>
      <c r="Q41" s="481"/>
    </row>
    <row r="42" spans="1:17" ht="11.25" customHeight="1">
      <c r="A42" s="3" t="s">
        <v>954</v>
      </c>
      <c r="B42" s="458" t="s">
        <v>782</v>
      </c>
      <c r="C42" s="458" t="s">
        <v>782</v>
      </c>
      <c r="D42" s="802">
        <v>13.22</v>
      </c>
      <c r="E42" s="900">
        <v>13.22</v>
      </c>
      <c r="F42" s="900">
        <v>8.8000000000000005E-3</v>
      </c>
      <c r="G42" s="901">
        <v>56.816119999999998</v>
      </c>
      <c r="H42" s="566">
        <v>1316.5454188679244</v>
      </c>
      <c r="I42" s="501">
        <v>1072.6530612244896</v>
      </c>
      <c r="J42" s="720">
        <v>1072.6530612244896</v>
      </c>
      <c r="K42" s="720">
        <v>1072.6530612244896</v>
      </c>
      <c r="L42" s="566">
        <v>1072.6530612244896</v>
      </c>
      <c r="M42" s="501">
        <v>60.94398504489795</v>
      </c>
      <c r="N42" s="720">
        <v>60.94398504489795</v>
      </c>
      <c r="O42" s="720">
        <v>60.94398504489795</v>
      </c>
      <c r="P42" s="461">
        <v>60.94398504489795</v>
      </c>
      <c r="Q42" s="481"/>
    </row>
    <row r="43" spans="1:17" ht="11.25" customHeight="1">
      <c r="A43" s="3" t="s">
        <v>954</v>
      </c>
      <c r="B43" s="458" t="s">
        <v>138</v>
      </c>
      <c r="C43" s="458" t="s">
        <v>138</v>
      </c>
      <c r="D43" s="802">
        <v>388</v>
      </c>
      <c r="E43" s="900">
        <v>388</v>
      </c>
      <c r="F43" s="900">
        <v>1.1E-5</v>
      </c>
      <c r="G43" s="901">
        <v>64.476276999999996</v>
      </c>
      <c r="H43" s="566">
        <v>27437.384023899369</v>
      </c>
      <c r="I43" s="501">
        <v>0.18</v>
      </c>
      <c r="J43" s="720">
        <v>0.18</v>
      </c>
      <c r="K43" s="720">
        <v>1.8</v>
      </c>
      <c r="L43" s="566">
        <v>1.8</v>
      </c>
      <c r="M43" s="501">
        <v>1.1605729859999999E-2</v>
      </c>
      <c r="N43" s="720">
        <v>1.1605729859999999E-2</v>
      </c>
      <c r="O43" s="720">
        <v>0.1160572986</v>
      </c>
      <c r="P43" s="461">
        <v>0.1160572986</v>
      </c>
      <c r="Q43" s="481"/>
    </row>
    <row r="44" spans="1:17" ht="11.25" customHeight="1">
      <c r="A44" s="3" t="s">
        <v>954</v>
      </c>
      <c r="B44" s="458" t="s">
        <v>612</v>
      </c>
      <c r="C44" s="458" t="s">
        <v>612</v>
      </c>
      <c r="D44" s="802" t="s">
        <v>954</v>
      </c>
      <c r="E44" s="900" t="s">
        <v>954</v>
      </c>
      <c r="F44" s="900" t="s">
        <v>954</v>
      </c>
      <c r="G44" s="901" t="s">
        <v>954</v>
      </c>
      <c r="H44" s="566" t="s">
        <v>954</v>
      </c>
      <c r="I44" s="501">
        <v>11</v>
      </c>
      <c r="J44" s="720">
        <v>16</v>
      </c>
      <c r="K44" s="720">
        <v>11</v>
      </c>
      <c r="L44" s="566">
        <v>16</v>
      </c>
      <c r="M44" s="501" t="s">
        <v>1408</v>
      </c>
      <c r="N44" s="720" t="s">
        <v>1408</v>
      </c>
      <c r="O44" s="720" t="s">
        <v>1408</v>
      </c>
      <c r="P44" s="461" t="s">
        <v>1408</v>
      </c>
      <c r="Q44" s="481"/>
    </row>
    <row r="45" spans="1:17" ht="11.25" customHeight="1">
      <c r="A45" s="3" t="s">
        <v>954</v>
      </c>
      <c r="B45" s="458" t="s">
        <v>779</v>
      </c>
      <c r="C45" s="458" t="s">
        <v>779</v>
      </c>
      <c r="D45" s="802" t="s">
        <v>954</v>
      </c>
      <c r="E45" s="900" t="s">
        <v>954</v>
      </c>
      <c r="F45" s="900" t="s">
        <v>954</v>
      </c>
      <c r="G45" s="901" t="s">
        <v>954</v>
      </c>
      <c r="H45" s="566" t="s">
        <v>954</v>
      </c>
      <c r="I45" s="501">
        <v>20</v>
      </c>
      <c r="J45" s="720">
        <v>570</v>
      </c>
      <c r="K45" s="720">
        <v>20</v>
      </c>
      <c r="L45" s="566">
        <v>570</v>
      </c>
      <c r="M45" s="501" t="s">
        <v>1408</v>
      </c>
      <c r="N45" s="720" t="s">
        <v>1408</v>
      </c>
      <c r="O45" s="720" t="s">
        <v>1408</v>
      </c>
      <c r="P45" s="461" t="s">
        <v>1408</v>
      </c>
      <c r="Q45" s="481"/>
    </row>
    <row r="46" spans="1:17" ht="11.25" customHeight="1">
      <c r="A46" s="3" t="s">
        <v>954</v>
      </c>
      <c r="B46" s="458" t="s">
        <v>780</v>
      </c>
      <c r="C46" s="458" t="s">
        <v>780</v>
      </c>
      <c r="D46" s="802" t="s">
        <v>954</v>
      </c>
      <c r="E46" s="900" t="s">
        <v>954</v>
      </c>
      <c r="F46" s="900" t="s">
        <v>954</v>
      </c>
      <c r="G46" s="901" t="s">
        <v>954</v>
      </c>
      <c r="H46" s="566" t="s">
        <v>954</v>
      </c>
      <c r="I46" s="501">
        <v>0.19900033728897804</v>
      </c>
      <c r="J46" s="720">
        <v>0.19900033728897804</v>
      </c>
      <c r="K46" s="720">
        <v>11</v>
      </c>
      <c r="L46" s="566">
        <v>16</v>
      </c>
      <c r="M46" s="501" t="s">
        <v>1408</v>
      </c>
      <c r="N46" s="720" t="s">
        <v>1408</v>
      </c>
      <c r="O46" s="720" t="s">
        <v>1408</v>
      </c>
      <c r="P46" s="461" t="s">
        <v>1408</v>
      </c>
      <c r="Q46" s="481"/>
    </row>
    <row r="47" spans="1:17" ht="11.25" customHeight="1">
      <c r="A47" s="3" t="s">
        <v>1428</v>
      </c>
      <c r="B47" s="458" t="s">
        <v>139</v>
      </c>
      <c r="C47" s="458" t="s">
        <v>803</v>
      </c>
      <c r="D47" s="802">
        <v>180500</v>
      </c>
      <c r="E47" s="900">
        <v>180500</v>
      </c>
      <c r="F47" s="900">
        <v>5.2000000000000002E-6</v>
      </c>
      <c r="G47" s="901">
        <v>29963.032276400001</v>
      </c>
      <c r="H47" s="566">
        <v>2.1662000795094341</v>
      </c>
      <c r="I47" s="501">
        <v>0.24436179506530475</v>
      </c>
      <c r="J47" s="720">
        <v>0.24436179506530475</v>
      </c>
      <c r="K47" s="720">
        <v>1</v>
      </c>
      <c r="L47" s="566">
        <v>1</v>
      </c>
      <c r="M47" s="501">
        <v>7.3218203526607688</v>
      </c>
      <c r="N47" s="720">
        <v>7.3218203526607688</v>
      </c>
      <c r="O47" s="720">
        <v>29.963032276400003</v>
      </c>
      <c r="P47" s="461">
        <v>29.963032276400003</v>
      </c>
      <c r="Q47" s="481"/>
    </row>
    <row r="48" spans="1:17" ht="11.25" customHeight="1">
      <c r="A48" s="3" t="s">
        <v>954</v>
      </c>
      <c r="B48" s="458" t="s">
        <v>140</v>
      </c>
      <c r="C48" s="458" t="s">
        <v>140</v>
      </c>
      <c r="D48" s="802" t="s">
        <v>954</v>
      </c>
      <c r="E48" s="900" t="s">
        <v>954</v>
      </c>
      <c r="F48" s="900" t="s">
        <v>954</v>
      </c>
      <c r="G48" s="901" t="s">
        <v>954</v>
      </c>
      <c r="H48" s="566" t="s">
        <v>954</v>
      </c>
      <c r="I48" s="501">
        <v>2.4124513715922085</v>
      </c>
      <c r="J48" s="720">
        <v>2.4124513715922085</v>
      </c>
      <c r="K48" s="720">
        <v>19</v>
      </c>
      <c r="L48" s="566">
        <v>120</v>
      </c>
      <c r="M48" s="501" t="s">
        <v>1408</v>
      </c>
      <c r="N48" s="720" t="s">
        <v>1408</v>
      </c>
      <c r="O48" s="720" t="s">
        <v>1408</v>
      </c>
      <c r="P48" s="461" t="s">
        <v>1408</v>
      </c>
      <c r="Q48" s="481"/>
    </row>
    <row r="49" spans="1:17" ht="11.25" customHeight="1">
      <c r="A49" s="3" t="s">
        <v>954</v>
      </c>
      <c r="B49" s="458" t="s">
        <v>141</v>
      </c>
      <c r="C49" s="458" t="s">
        <v>141</v>
      </c>
      <c r="D49" s="802" t="s">
        <v>954</v>
      </c>
      <c r="E49" s="900" t="s">
        <v>954</v>
      </c>
      <c r="F49" s="900" t="s">
        <v>954</v>
      </c>
      <c r="G49" s="901" t="s">
        <v>954</v>
      </c>
      <c r="H49" s="566" t="s">
        <v>954</v>
      </c>
      <c r="I49" s="501">
        <v>2.9</v>
      </c>
      <c r="J49" s="720">
        <v>2.9</v>
      </c>
      <c r="K49" s="720">
        <v>2.9</v>
      </c>
      <c r="L49" s="566">
        <v>2.9</v>
      </c>
      <c r="M49" s="501" t="s">
        <v>1408</v>
      </c>
      <c r="N49" s="720" t="s">
        <v>1408</v>
      </c>
      <c r="O49" s="720" t="s">
        <v>1408</v>
      </c>
      <c r="P49" s="461" t="s">
        <v>1408</v>
      </c>
      <c r="Q49" s="481"/>
    </row>
    <row r="50" spans="1:17" ht="11.25" customHeight="1">
      <c r="A50" s="3" t="s">
        <v>954</v>
      </c>
      <c r="B50" s="458" t="s">
        <v>142</v>
      </c>
      <c r="C50" s="458" t="s">
        <v>142</v>
      </c>
      <c r="D50" s="802" t="s">
        <v>954</v>
      </c>
      <c r="E50" s="900" t="s">
        <v>954</v>
      </c>
      <c r="F50" s="900">
        <v>1E-4</v>
      </c>
      <c r="G50" s="901" t="s">
        <v>954</v>
      </c>
      <c r="H50" s="566" t="s">
        <v>954</v>
      </c>
      <c r="I50" s="501">
        <v>1</v>
      </c>
      <c r="J50" s="720">
        <v>1</v>
      </c>
      <c r="K50" s="720">
        <v>1</v>
      </c>
      <c r="L50" s="566">
        <v>1</v>
      </c>
      <c r="M50" s="501" t="s">
        <v>1408</v>
      </c>
      <c r="N50" s="720" t="s">
        <v>1408</v>
      </c>
      <c r="O50" s="720" t="s">
        <v>1408</v>
      </c>
      <c r="P50" s="461" t="s">
        <v>1408</v>
      </c>
      <c r="Q50" s="481"/>
    </row>
    <row r="51" spans="1:17" ht="11.25" customHeight="1">
      <c r="A51" s="3" t="s">
        <v>954</v>
      </c>
      <c r="B51" s="462" t="s">
        <v>96</v>
      </c>
      <c r="C51" s="462" t="s">
        <v>96</v>
      </c>
      <c r="D51" s="802">
        <v>89.07</v>
      </c>
      <c r="E51" s="900">
        <v>89.07</v>
      </c>
      <c r="F51" s="900">
        <v>1.9999999999999999E-11</v>
      </c>
      <c r="G51" s="901">
        <v>14.785620124139999</v>
      </c>
      <c r="H51" s="566">
        <v>37.874874009267401</v>
      </c>
      <c r="I51" s="501">
        <v>0.96590800338662852</v>
      </c>
      <c r="J51" s="720">
        <v>0.96590800338662852</v>
      </c>
      <c r="K51" s="720">
        <v>79</v>
      </c>
      <c r="L51" s="566">
        <v>520</v>
      </c>
      <c r="M51" s="501">
        <v>1.4281548812941221E-2</v>
      </c>
      <c r="N51" s="720">
        <v>1.4281548812941221E-2</v>
      </c>
      <c r="O51" s="720">
        <v>1.1680639898070599</v>
      </c>
      <c r="P51" s="461">
        <v>7.6885224645527996</v>
      </c>
      <c r="Q51" s="481"/>
    </row>
    <row r="52" spans="1:17" ht="11.25" customHeight="1">
      <c r="A52" s="3" t="s">
        <v>954</v>
      </c>
      <c r="B52" s="458" t="s">
        <v>97</v>
      </c>
      <c r="C52" s="458" t="s">
        <v>97</v>
      </c>
      <c r="D52" s="802">
        <v>3.2</v>
      </c>
      <c r="E52" s="900">
        <v>3.2</v>
      </c>
      <c r="F52" s="900">
        <v>5.7000000000000001E-8</v>
      </c>
      <c r="G52" s="901">
        <v>0.53155379899999999</v>
      </c>
      <c r="H52" s="566">
        <v>59838.618575220135</v>
      </c>
      <c r="I52" s="501">
        <v>200</v>
      </c>
      <c r="J52" s="720">
        <v>200</v>
      </c>
      <c r="K52" s="720">
        <v>300</v>
      </c>
      <c r="L52" s="566">
        <v>3000</v>
      </c>
      <c r="M52" s="501">
        <v>0.1063107598</v>
      </c>
      <c r="N52" s="720">
        <v>0.1063107598</v>
      </c>
      <c r="O52" s="720">
        <v>0.15946613969999998</v>
      </c>
      <c r="P52" s="461">
        <v>1.5946613970000001</v>
      </c>
      <c r="Q52" s="481"/>
    </row>
    <row r="53" spans="1:17" ht="11.25" customHeight="1">
      <c r="A53" s="3" t="s">
        <v>1428</v>
      </c>
      <c r="B53" s="458" t="s">
        <v>143</v>
      </c>
      <c r="C53" s="458" t="s">
        <v>166</v>
      </c>
      <c r="D53" s="802">
        <v>1912000</v>
      </c>
      <c r="E53" s="900">
        <v>1912000</v>
      </c>
      <c r="F53" s="900">
        <v>1.4000000000000001E-7</v>
      </c>
      <c r="G53" s="901">
        <v>317392.00086898002</v>
      </c>
      <c r="H53" s="566">
        <v>28.680250002744973</v>
      </c>
      <c r="I53" s="501">
        <v>4.814241578730157E-3</v>
      </c>
      <c r="J53" s="720">
        <v>4.814241578730157E-3</v>
      </c>
      <c r="K53" s="720">
        <v>0.8</v>
      </c>
      <c r="L53" s="566">
        <v>1.25</v>
      </c>
      <c r="M53" s="501">
        <v>28.680250002744973</v>
      </c>
      <c r="N53" s="720">
        <v>28.680250002744973</v>
      </c>
      <c r="O53" s="720">
        <v>253.91360069518402</v>
      </c>
      <c r="P53" s="461">
        <v>396.74000108622505</v>
      </c>
      <c r="Q53" s="481"/>
    </row>
    <row r="54" spans="1:17" ht="11.25" customHeight="1">
      <c r="A54" s="3" t="s">
        <v>954</v>
      </c>
      <c r="B54" s="458" t="s">
        <v>381</v>
      </c>
      <c r="C54" s="458" t="s">
        <v>381</v>
      </c>
      <c r="D54" s="802">
        <v>115.8</v>
      </c>
      <c r="E54" s="900">
        <v>115.8</v>
      </c>
      <c r="F54" s="900">
        <v>1.4999999999999999E-4</v>
      </c>
      <c r="G54" s="901">
        <v>20.153849999999998</v>
      </c>
      <c r="H54" s="566">
        <v>979.0010943396228</v>
      </c>
      <c r="I54" s="501">
        <v>0.04</v>
      </c>
      <c r="J54" s="720">
        <v>0.04</v>
      </c>
      <c r="K54" s="720">
        <v>0.04</v>
      </c>
      <c r="L54" s="566">
        <v>0.04</v>
      </c>
      <c r="M54" s="501">
        <v>8.061539999999999E-4</v>
      </c>
      <c r="N54" s="720">
        <v>8.061539999999999E-4</v>
      </c>
      <c r="O54" s="720">
        <v>8.061539999999999E-4</v>
      </c>
      <c r="P54" s="461">
        <v>8.061539999999999E-4</v>
      </c>
      <c r="Q54" s="481"/>
    </row>
    <row r="55" spans="1:17" ht="11.25" customHeight="1">
      <c r="A55" s="3" t="s">
        <v>954</v>
      </c>
      <c r="B55" s="458" t="s">
        <v>144</v>
      </c>
      <c r="C55" s="458" t="s">
        <v>144</v>
      </c>
      <c r="D55" s="802">
        <v>31.82</v>
      </c>
      <c r="E55" s="900">
        <v>31.82</v>
      </c>
      <c r="F55" s="900">
        <v>7.7999999999999999E-4</v>
      </c>
      <c r="G55" s="901">
        <v>10.12358</v>
      </c>
      <c r="H55" s="566">
        <v>801.84022641509443</v>
      </c>
      <c r="I55" s="501">
        <v>0.87111199475121337</v>
      </c>
      <c r="J55" s="720">
        <v>0.87111199475121337</v>
      </c>
      <c r="K55" s="720">
        <v>34</v>
      </c>
      <c r="L55" s="566">
        <v>2900</v>
      </c>
      <c r="M55" s="501">
        <v>8.8187719678234893E-3</v>
      </c>
      <c r="N55" s="720">
        <v>8.8187719678234893E-3</v>
      </c>
      <c r="O55" s="720">
        <v>0.34420172000000004</v>
      </c>
      <c r="P55" s="461">
        <v>29.358382000000002</v>
      </c>
      <c r="Q55" s="481"/>
    </row>
    <row r="56" spans="1:17" ht="11.25" customHeight="1">
      <c r="A56" s="3" t="s">
        <v>954</v>
      </c>
      <c r="B56" s="458" t="s">
        <v>487</v>
      </c>
      <c r="C56" s="458" t="s">
        <v>487</v>
      </c>
      <c r="D56" s="802">
        <v>39.6</v>
      </c>
      <c r="E56" s="900">
        <v>39.6</v>
      </c>
      <c r="F56" s="900">
        <v>6.4999999999999997E-4</v>
      </c>
      <c r="G56" s="901">
        <v>10.60815</v>
      </c>
      <c r="H56" s="566">
        <v>1340.0012641509431</v>
      </c>
      <c r="I56" s="501">
        <v>0.04</v>
      </c>
      <c r="J56" s="720">
        <v>0.04</v>
      </c>
      <c r="K56" s="720">
        <v>18.617708877383702</v>
      </c>
      <c r="L56" s="566">
        <v>18.617708877383702</v>
      </c>
      <c r="M56" s="501">
        <v>4.2432600000000004E-4</v>
      </c>
      <c r="N56" s="720">
        <v>4.2432600000000004E-4</v>
      </c>
      <c r="O56" s="720">
        <v>0.19749944842761794</v>
      </c>
      <c r="P56" s="461">
        <v>0.19749944842761794</v>
      </c>
      <c r="Q56" s="481"/>
    </row>
    <row r="57" spans="1:17" ht="11.25" customHeight="1">
      <c r="A57" s="3" t="s">
        <v>954</v>
      </c>
      <c r="B57" s="458" t="s">
        <v>145</v>
      </c>
      <c r="C57" s="458" t="s">
        <v>145</v>
      </c>
      <c r="D57" s="802">
        <v>382.9</v>
      </c>
      <c r="E57" s="900">
        <v>382.9</v>
      </c>
      <c r="F57" s="900">
        <v>1.9E-3</v>
      </c>
      <c r="G57" s="901">
        <v>75.354699999999994</v>
      </c>
      <c r="H57" s="566">
        <v>376.29790188679249</v>
      </c>
      <c r="I57" s="501">
        <v>10</v>
      </c>
      <c r="J57" s="720">
        <v>10</v>
      </c>
      <c r="K57" s="720">
        <v>14</v>
      </c>
      <c r="L57" s="566">
        <v>100</v>
      </c>
      <c r="M57" s="501">
        <v>0.75354699999999997</v>
      </c>
      <c r="N57" s="720">
        <v>0.75354699999999997</v>
      </c>
      <c r="O57" s="720">
        <v>1.0549658</v>
      </c>
      <c r="P57" s="461">
        <v>7.5354699999999992</v>
      </c>
      <c r="Q57" s="481"/>
    </row>
    <row r="58" spans="1:17" ht="11.25" customHeight="1">
      <c r="A58" s="3" t="s">
        <v>954</v>
      </c>
      <c r="B58" s="458" t="s">
        <v>225</v>
      </c>
      <c r="C58" s="458" t="s">
        <v>225</v>
      </c>
      <c r="D58" s="802">
        <v>617</v>
      </c>
      <c r="E58" s="900">
        <v>617</v>
      </c>
      <c r="F58" s="900">
        <v>1.9E-3</v>
      </c>
      <c r="G58" s="901">
        <v>114.21530000000001</v>
      </c>
      <c r="H58" s="566">
        <v>595.41254867924533</v>
      </c>
      <c r="I58" s="501">
        <v>5</v>
      </c>
      <c r="J58" s="720">
        <v>5</v>
      </c>
      <c r="K58" s="720">
        <v>22</v>
      </c>
      <c r="L58" s="566">
        <v>370</v>
      </c>
      <c r="M58" s="501">
        <v>0.5710765000000001</v>
      </c>
      <c r="N58" s="720">
        <v>0.5710765000000001</v>
      </c>
      <c r="O58" s="720">
        <v>2.5127366000000002</v>
      </c>
      <c r="P58" s="461">
        <v>42.259661000000008</v>
      </c>
      <c r="Q58" s="481"/>
    </row>
    <row r="59" spans="1:17" ht="11.25" customHeight="1">
      <c r="A59" s="3" t="s">
        <v>954</v>
      </c>
      <c r="B59" s="458" t="s">
        <v>226</v>
      </c>
      <c r="C59" s="458" t="s">
        <v>226</v>
      </c>
      <c r="D59" s="802">
        <v>375.3</v>
      </c>
      <c r="E59" s="900">
        <v>375.3</v>
      </c>
      <c r="F59" s="900">
        <v>2.3999999999999998E-3</v>
      </c>
      <c r="G59" s="901">
        <v>77.196600000000004</v>
      </c>
      <c r="H59" s="566">
        <v>192.72502471698112</v>
      </c>
      <c r="I59" s="501">
        <v>5</v>
      </c>
      <c r="J59" s="720">
        <v>5</v>
      </c>
      <c r="K59" s="720">
        <v>9.4</v>
      </c>
      <c r="L59" s="566">
        <v>110</v>
      </c>
      <c r="M59" s="501">
        <v>0.38598300000000002</v>
      </c>
      <c r="N59" s="720">
        <v>0.38598300000000002</v>
      </c>
      <c r="O59" s="720">
        <v>0.72564804000000005</v>
      </c>
      <c r="P59" s="461">
        <v>8.4916260000000001</v>
      </c>
      <c r="Q59" s="481"/>
    </row>
    <row r="60" spans="1:17" ht="11.25" customHeight="1">
      <c r="A60" s="3" t="s">
        <v>954</v>
      </c>
      <c r="B60" s="458" t="s">
        <v>227</v>
      </c>
      <c r="C60" s="458" t="s">
        <v>227</v>
      </c>
      <c r="D60" s="802">
        <v>3190</v>
      </c>
      <c r="E60" s="900">
        <v>3190</v>
      </c>
      <c r="F60" s="900">
        <v>2.8E-11</v>
      </c>
      <c r="G60" s="901">
        <v>529.5400001737961</v>
      </c>
      <c r="H60" s="566">
        <v>59.644000000704231</v>
      </c>
      <c r="I60" s="501">
        <v>0.12521244906182924</v>
      </c>
      <c r="J60" s="720">
        <v>0.12521244906182924</v>
      </c>
      <c r="K60" s="720">
        <v>4.5</v>
      </c>
      <c r="L60" s="566">
        <v>41</v>
      </c>
      <c r="M60" s="501">
        <v>6.6305000297962491E-2</v>
      </c>
      <c r="N60" s="720">
        <v>6.6305000297962491E-2</v>
      </c>
      <c r="O60" s="720">
        <v>2.3829300007820824</v>
      </c>
      <c r="P60" s="461">
        <v>21.711140007125639</v>
      </c>
      <c r="Q60" s="481"/>
    </row>
    <row r="61" spans="1:17" ht="11.25" customHeight="1">
      <c r="A61" s="3" t="s">
        <v>1428</v>
      </c>
      <c r="B61" s="458" t="s">
        <v>361</v>
      </c>
      <c r="C61" s="458" t="s">
        <v>938</v>
      </c>
      <c r="D61" s="802">
        <v>117500</v>
      </c>
      <c r="E61" s="900">
        <v>117500</v>
      </c>
      <c r="F61" s="900">
        <v>6.6000000000000003E-6</v>
      </c>
      <c r="G61" s="901">
        <v>19505.040966199998</v>
      </c>
      <c r="H61" s="566">
        <v>63.459004600188678</v>
      </c>
      <c r="I61" s="501">
        <v>1.0999999999999999E-2</v>
      </c>
      <c r="J61" s="720">
        <v>2.5860506035294707E-2</v>
      </c>
      <c r="K61" s="720">
        <v>1.0999999999999999E-2</v>
      </c>
      <c r="L61" s="566">
        <v>0.19</v>
      </c>
      <c r="M61" s="501">
        <v>63.459004600188678</v>
      </c>
      <c r="N61" s="720">
        <v>63.459004600188678</v>
      </c>
      <c r="O61" s="720">
        <v>63.459004600188678</v>
      </c>
      <c r="P61" s="461">
        <v>63.459004600188678</v>
      </c>
      <c r="Q61" s="481"/>
    </row>
    <row r="62" spans="1:17" ht="11.25" customHeight="1">
      <c r="A62" s="3" t="s">
        <v>1428</v>
      </c>
      <c r="B62" s="458" t="s">
        <v>362</v>
      </c>
      <c r="C62" s="458" t="s">
        <v>749</v>
      </c>
      <c r="D62" s="802">
        <v>117500</v>
      </c>
      <c r="E62" s="900">
        <v>117500</v>
      </c>
      <c r="F62" s="900">
        <v>4.1999999999999998E-5</v>
      </c>
      <c r="G62" s="901">
        <v>19505.260694000001</v>
      </c>
      <c r="H62" s="566">
        <v>28.204012872955982</v>
      </c>
      <c r="I62" s="501">
        <v>8.8953098238132352E-3</v>
      </c>
      <c r="J62" s="720">
        <v>8.8953098238132352E-3</v>
      </c>
      <c r="K62" s="720">
        <v>0.41</v>
      </c>
      <c r="L62" s="566">
        <v>7</v>
      </c>
      <c r="M62" s="501">
        <v>28.204012872955982</v>
      </c>
      <c r="N62" s="720">
        <v>28.204012872955982</v>
      </c>
      <c r="O62" s="720">
        <v>28.204012872955982</v>
      </c>
      <c r="P62" s="461">
        <v>136.53682485800002</v>
      </c>
      <c r="Q62" s="481"/>
    </row>
    <row r="63" spans="1:17" ht="11.25" customHeight="1">
      <c r="A63" s="3" t="s">
        <v>1428</v>
      </c>
      <c r="B63" s="458" t="s">
        <v>363</v>
      </c>
      <c r="C63" s="458" t="s">
        <v>750</v>
      </c>
      <c r="D63" s="802">
        <v>168600</v>
      </c>
      <c r="E63" s="900">
        <v>168600</v>
      </c>
      <c r="F63" s="900">
        <v>8.3000000000000002E-6</v>
      </c>
      <c r="G63" s="901">
        <v>27987.651518100003</v>
      </c>
      <c r="H63" s="566">
        <v>5.5643503540062893</v>
      </c>
      <c r="I63" s="501">
        <v>1E-3</v>
      </c>
      <c r="J63" s="720">
        <v>6.177825520156369E-3</v>
      </c>
      <c r="K63" s="720">
        <v>1E-3</v>
      </c>
      <c r="L63" s="566">
        <v>1.2999999999999999E-2</v>
      </c>
      <c r="M63" s="501">
        <v>5.5643503540062893</v>
      </c>
      <c r="N63" s="720">
        <v>5.5643503540062893</v>
      </c>
      <c r="O63" s="720">
        <v>5.5643503540062893</v>
      </c>
      <c r="P63" s="461">
        <v>5.5643503540062893</v>
      </c>
      <c r="Q63" s="481"/>
    </row>
    <row r="64" spans="1:17" ht="11.25" customHeight="1">
      <c r="A64" s="3" t="s">
        <v>954</v>
      </c>
      <c r="B64" s="458" t="s">
        <v>234</v>
      </c>
      <c r="C64" s="458" t="s">
        <v>234</v>
      </c>
      <c r="D64" s="802">
        <v>31.82</v>
      </c>
      <c r="E64" s="900">
        <v>31.82</v>
      </c>
      <c r="F64" s="900">
        <v>5.5999999999999999E-3</v>
      </c>
      <c r="G64" s="901">
        <v>40.041319999999999</v>
      </c>
      <c r="H64" s="566">
        <v>1685.682837735849</v>
      </c>
      <c r="I64" s="501">
        <v>2.7505849956546897</v>
      </c>
      <c r="J64" s="720">
        <v>2.7505849956546897</v>
      </c>
      <c r="K64" s="720">
        <v>47</v>
      </c>
      <c r="L64" s="566">
        <v>830</v>
      </c>
      <c r="M64" s="501">
        <v>0.11013705399820803</v>
      </c>
      <c r="N64" s="720">
        <v>0.11013705399820803</v>
      </c>
      <c r="O64" s="720">
        <v>1.88194204</v>
      </c>
      <c r="P64" s="461">
        <v>33.234295599999996</v>
      </c>
      <c r="Q64" s="481"/>
    </row>
    <row r="65" spans="1:17" ht="11.25" customHeight="1">
      <c r="A65" s="3" t="s">
        <v>954</v>
      </c>
      <c r="B65" s="458" t="s">
        <v>235</v>
      </c>
      <c r="C65" s="458" t="s">
        <v>235</v>
      </c>
      <c r="D65" s="802">
        <v>39.6</v>
      </c>
      <c r="E65" s="900">
        <v>39.6</v>
      </c>
      <c r="F65" s="900">
        <v>1.1999999999999999E-3</v>
      </c>
      <c r="G65" s="901">
        <v>14.022</v>
      </c>
      <c r="H65" s="566">
        <v>2981.506415094339</v>
      </c>
      <c r="I65" s="501">
        <v>5</v>
      </c>
      <c r="J65" s="720">
        <v>5</v>
      </c>
      <c r="K65" s="720">
        <v>182.45621075944572</v>
      </c>
      <c r="L65" s="566">
        <v>182.45621075944572</v>
      </c>
      <c r="M65" s="501">
        <v>7.0110000000000006E-2</v>
      </c>
      <c r="N65" s="720">
        <v>7.0110000000000006E-2</v>
      </c>
      <c r="O65" s="720">
        <v>2.5584009872689482</v>
      </c>
      <c r="P65" s="461">
        <v>2.5584009872689482</v>
      </c>
      <c r="Q65" s="481"/>
    </row>
    <row r="66" spans="1:17" ht="11.25" customHeight="1">
      <c r="A66" s="3" t="s">
        <v>954</v>
      </c>
      <c r="B66" s="458" t="s">
        <v>294</v>
      </c>
      <c r="C66" s="458" t="s">
        <v>294</v>
      </c>
      <c r="D66" s="802">
        <v>31.82</v>
      </c>
      <c r="E66" s="900">
        <v>31.82</v>
      </c>
      <c r="F66" s="900">
        <v>2.5999999999999999E-2</v>
      </c>
      <c r="G66" s="901">
        <v>166.66412</v>
      </c>
      <c r="H66" s="566">
        <v>1207.9647647798743</v>
      </c>
      <c r="I66" s="501">
        <v>7</v>
      </c>
      <c r="J66" s="720">
        <v>7</v>
      </c>
      <c r="K66" s="720">
        <v>25</v>
      </c>
      <c r="L66" s="566">
        <v>3900</v>
      </c>
      <c r="M66" s="501">
        <v>1.1666488400000001</v>
      </c>
      <c r="N66" s="720">
        <v>1.1666488400000001</v>
      </c>
      <c r="O66" s="720">
        <v>4.1666030000000003</v>
      </c>
      <c r="P66" s="461">
        <v>649.99006799999995</v>
      </c>
      <c r="Q66" s="481"/>
    </row>
    <row r="67" spans="1:17" ht="11.25" customHeight="1">
      <c r="A67" s="3" t="s">
        <v>954</v>
      </c>
      <c r="B67" s="458" t="s">
        <v>295</v>
      </c>
      <c r="C67" s="458" t="s">
        <v>295</v>
      </c>
      <c r="D67" s="802">
        <v>39.6</v>
      </c>
      <c r="E67" s="900">
        <v>39.6</v>
      </c>
      <c r="F67" s="900">
        <v>4.1000000000000003E-3</v>
      </c>
      <c r="G67" s="901">
        <v>32.022300000000001</v>
      </c>
      <c r="H67" s="566">
        <v>2370.3051194968548</v>
      </c>
      <c r="I67" s="501">
        <v>70</v>
      </c>
      <c r="J67" s="720">
        <v>70</v>
      </c>
      <c r="K67" s="720">
        <v>620</v>
      </c>
      <c r="L67" s="566">
        <v>5500</v>
      </c>
      <c r="M67" s="501">
        <v>2.2415610000000004</v>
      </c>
      <c r="N67" s="720">
        <v>2.2415610000000004</v>
      </c>
      <c r="O67" s="720">
        <v>19.853826000000002</v>
      </c>
      <c r="P67" s="461">
        <v>176.12264999999999</v>
      </c>
      <c r="Q67" s="481"/>
    </row>
    <row r="68" spans="1:17" ht="11.25" customHeight="1">
      <c r="A68" s="3" t="s">
        <v>954</v>
      </c>
      <c r="B68" s="458" t="s">
        <v>228</v>
      </c>
      <c r="C68" s="458" t="s">
        <v>228</v>
      </c>
      <c r="D68" s="802">
        <v>39.6</v>
      </c>
      <c r="E68" s="900">
        <v>39.6</v>
      </c>
      <c r="F68" s="900">
        <v>9.4000000000000004E-3</v>
      </c>
      <c r="G68" s="901">
        <v>64.91940000000001</v>
      </c>
      <c r="H68" s="566">
        <v>1851.1077232704401</v>
      </c>
      <c r="I68" s="501">
        <v>100</v>
      </c>
      <c r="J68" s="720">
        <v>100</v>
      </c>
      <c r="K68" s="720">
        <v>558</v>
      </c>
      <c r="L68" s="566">
        <v>2600</v>
      </c>
      <c r="M68" s="501">
        <v>6.4919400000000014</v>
      </c>
      <c r="N68" s="720">
        <v>6.4919400000000014</v>
      </c>
      <c r="O68" s="720">
        <v>36.225025200000005</v>
      </c>
      <c r="P68" s="461">
        <v>168.79044000000005</v>
      </c>
      <c r="Q68" s="481"/>
    </row>
    <row r="69" spans="1:17" ht="11.25" customHeight="1">
      <c r="A69" s="3" t="s">
        <v>954</v>
      </c>
      <c r="B69" s="458" t="s">
        <v>942</v>
      </c>
      <c r="C69" s="458" t="s">
        <v>942</v>
      </c>
      <c r="D69" s="802">
        <v>147</v>
      </c>
      <c r="E69" s="900">
        <v>147</v>
      </c>
      <c r="F69" s="900">
        <v>4.3000000000000003E-6</v>
      </c>
      <c r="G69" s="901">
        <v>24.428690100000001</v>
      </c>
      <c r="H69" s="566">
        <v>5450.2891188679241</v>
      </c>
      <c r="I69" s="501">
        <v>0.3</v>
      </c>
      <c r="J69" s="720">
        <v>0.3</v>
      </c>
      <c r="K69" s="720">
        <v>3</v>
      </c>
      <c r="L69" s="566">
        <v>3</v>
      </c>
      <c r="M69" s="501">
        <v>7.3286070299999999E-3</v>
      </c>
      <c r="N69" s="720">
        <v>7.3286070299999999E-3</v>
      </c>
      <c r="O69" s="720">
        <v>7.3286070300000006E-2</v>
      </c>
      <c r="P69" s="461">
        <v>7.3286070300000006E-2</v>
      </c>
      <c r="Q69" s="481"/>
    </row>
    <row r="70" spans="1:17" ht="11.25" customHeight="1">
      <c r="A70" s="3" t="s">
        <v>954</v>
      </c>
      <c r="B70" s="458" t="s">
        <v>98</v>
      </c>
      <c r="C70" s="458" t="s">
        <v>98</v>
      </c>
      <c r="D70" s="802">
        <v>29.63</v>
      </c>
      <c r="E70" s="900">
        <v>29.63</v>
      </c>
      <c r="F70" s="900">
        <v>3.5000000000000002E-8</v>
      </c>
      <c r="G70" s="901">
        <v>4.9187972450000004</v>
      </c>
      <c r="H70" s="566">
        <v>188.0572394262893</v>
      </c>
      <c r="I70" s="501">
        <v>70</v>
      </c>
      <c r="J70" s="720">
        <v>70</v>
      </c>
      <c r="K70" s="720">
        <v>70</v>
      </c>
      <c r="L70" s="566">
        <v>130</v>
      </c>
      <c r="M70" s="501">
        <v>0.34431580715000004</v>
      </c>
      <c r="N70" s="720">
        <v>0.34431580715000004</v>
      </c>
      <c r="O70" s="720">
        <v>0.34431580715000004</v>
      </c>
      <c r="P70" s="461">
        <v>0.63944364185000002</v>
      </c>
      <c r="Q70" s="481"/>
    </row>
    <row r="71" spans="1:17" ht="11.25" customHeight="1">
      <c r="A71" s="3" t="s">
        <v>954</v>
      </c>
      <c r="B71" s="458" t="s">
        <v>943</v>
      </c>
      <c r="C71" s="458" t="s">
        <v>943</v>
      </c>
      <c r="D71" s="802">
        <v>60.7</v>
      </c>
      <c r="E71" s="900">
        <v>60.7</v>
      </c>
      <c r="F71" s="900">
        <v>2.8E-3</v>
      </c>
      <c r="G71" s="901">
        <v>27.455800000000004</v>
      </c>
      <c r="H71" s="566">
        <v>1363.3675471698114</v>
      </c>
      <c r="I71" s="501">
        <v>5</v>
      </c>
      <c r="J71" s="720">
        <v>5</v>
      </c>
      <c r="K71" s="720">
        <v>100</v>
      </c>
      <c r="L71" s="566">
        <v>100</v>
      </c>
      <c r="M71" s="501">
        <v>0.13727900000000004</v>
      </c>
      <c r="N71" s="720">
        <v>0.13727900000000004</v>
      </c>
      <c r="O71" s="720">
        <v>2.7455800000000004</v>
      </c>
      <c r="P71" s="461">
        <v>2.7455800000000004</v>
      </c>
      <c r="Q71" s="481"/>
    </row>
    <row r="72" spans="1:17" ht="11.25" customHeight="1">
      <c r="A72" s="3" t="s">
        <v>954</v>
      </c>
      <c r="B72" s="458" t="s">
        <v>296</v>
      </c>
      <c r="C72" s="458" t="s">
        <v>296</v>
      </c>
      <c r="D72" s="802">
        <v>72.17</v>
      </c>
      <c r="E72" s="900">
        <v>72.17</v>
      </c>
      <c r="F72" s="900">
        <v>3.5999999999999999E-3</v>
      </c>
      <c r="G72" s="901">
        <v>34.325420000000001</v>
      </c>
      <c r="H72" s="566">
        <v>1571.9654339622643</v>
      </c>
      <c r="I72" s="501">
        <v>0.06</v>
      </c>
      <c r="J72" s="720">
        <v>0.47246971144685262</v>
      </c>
      <c r="K72" s="720">
        <v>0.06</v>
      </c>
      <c r="L72" s="566">
        <v>260</v>
      </c>
      <c r="M72" s="501">
        <v>2.0595252000000001E-3</v>
      </c>
      <c r="N72" s="720">
        <v>1.6217721282692027E-2</v>
      </c>
      <c r="O72" s="720">
        <v>2.0595252000000001E-3</v>
      </c>
      <c r="P72" s="461">
        <v>8.9246092000000008</v>
      </c>
      <c r="Q72" s="481"/>
    </row>
    <row r="73" spans="1:17" ht="11.25" customHeight="1">
      <c r="A73" s="3" t="s">
        <v>1428</v>
      </c>
      <c r="B73" s="458" t="s">
        <v>944</v>
      </c>
      <c r="C73" s="458" t="s">
        <v>967</v>
      </c>
      <c r="D73" s="802">
        <v>20090</v>
      </c>
      <c r="E73" s="900">
        <v>20090</v>
      </c>
      <c r="F73" s="900">
        <v>1.0000000000000001E-5</v>
      </c>
      <c r="G73" s="901">
        <v>3335.00207</v>
      </c>
      <c r="H73" s="566">
        <v>23.524815135188682</v>
      </c>
      <c r="I73" s="501">
        <v>1.9E-3</v>
      </c>
      <c r="J73" s="720">
        <v>3.4549060656200404E-3</v>
      </c>
      <c r="K73" s="720">
        <v>1.9E-3</v>
      </c>
      <c r="L73" s="566">
        <v>0.71</v>
      </c>
      <c r="M73" s="501">
        <v>23.524815135188682</v>
      </c>
      <c r="N73" s="720">
        <v>23.524815135188682</v>
      </c>
      <c r="O73" s="720">
        <v>23.524815135188682</v>
      </c>
      <c r="P73" s="461">
        <v>23.524815135188682</v>
      </c>
      <c r="Q73" s="481"/>
    </row>
    <row r="74" spans="1:17" ht="11.25" customHeight="1">
      <c r="A74" s="3" t="s">
        <v>954</v>
      </c>
      <c r="B74" s="458" t="s">
        <v>945</v>
      </c>
      <c r="C74" s="458" t="s">
        <v>945</v>
      </c>
      <c r="D74" s="802">
        <v>104.9</v>
      </c>
      <c r="E74" s="900">
        <v>104.9</v>
      </c>
      <c r="F74" s="900">
        <v>6.0999999999999998E-7</v>
      </c>
      <c r="G74" s="901">
        <v>17.417186270000002</v>
      </c>
      <c r="H74" s="566">
        <v>787.75711132075469</v>
      </c>
      <c r="I74" s="501">
        <v>210</v>
      </c>
      <c r="J74" s="720">
        <v>980</v>
      </c>
      <c r="K74" s="720">
        <v>210</v>
      </c>
      <c r="L74" s="566">
        <v>980</v>
      </c>
      <c r="M74" s="501">
        <v>3.6576091167000007</v>
      </c>
      <c r="N74" s="720">
        <v>17.068842544600002</v>
      </c>
      <c r="O74" s="720">
        <v>3.6576091167000007</v>
      </c>
      <c r="P74" s="461">
        <v>17.068842544600002</v>
      </c>
      <c r="Q74" s="481"/>
    </row>
    <row r="75" spans="1:17" ht="11.25" customHeight="1">
      <c r="A75" s="3" t="s">
        <v>954</v>
      </c>
      <c r="B75" s="458" t="s">
        <v>947</v>
      </c>
      <c r="C75" s="458" t="s">
        <v>947</v>
      </c>
      <c r="D75" s="802">
        <v>491.8</v>
      </c>
      <c r="E75" s="900">
        <v>491.8</v>
      </c>
      <c r="F75" s="900">
        <v>9.5000000000000001E-7</v>
      </c>
      <c r="G75" s="901">
        <v>81.64469665</v>
      </c>
      <c r="H75" s="566">
        <v>24009.854104358492</v>
      </c>
      <c r="I75" s="501">
        <v>120</v>
      </c>
      <c r="J75" s="720">
        <v>355.32722285616643</v>
      </c>
      <c r="K75" s="720">
        <v>120</v>
      </c>
      <c r="L75" s="566">
        <v>700</v>
      </c>
      <c r="M75" s="501">
        <v>9.7973635980000005</v>
      </c>
      <c r="N75" s="720">
        <v>29.010583321578657</v>
      </c>
      <c r="O75" s="720">
        <v>9.7973635980000005</v>
      </c>
      <c r="P75" s="461">
        <v>57.151287655000004</v>
      </c>
      <c r="Q75" s="481"/>
    </row>
    <row r="76" spans="1:17" ht="11.25" customHeight="1">
      <c r="A76" s="3" t="s">
        <v>954</v>
      </c>
      <c r="B76" s="458" t="s">
        <v>946</v>
      </c>
      <c r="C76" s="458" t="s">
        <v>946</v>
      </c>
      <c r="D76" s="802">
        <v>140</v>
      </c>
      <c r="E76" s="900">
        <v>140</v>
      </c>
      <c r="F76" s="900">
        <v>1.05E-7</v>
      </c>
      <c r="G76" s="901">
        <v>23.240651735000004</v>
      </c>
      <c r="H76" s="566">
        <v>4700.0040795911955</v>
      </c>
      <c r="I76" s="501">
        <v>1100</v>
      </c>
      <c r="J76" s="720">
        <v>3200</v>
      </c>
      <c r="K76" s="720">
        <v>1100</v>
      </c>
      <c r="L76" s="566">
        <v>3200</v>
      </c>
      <c r="M76" s="501">
        <v>25.564716908500003</v>
      </c>
      <c r="N76" s="720">
        <v>74.37008555200002</v>
      </c>
      <c r="O76" s="720">
        <v>25.564716908500003</v>
      </c>
      <c r="P76" s="461">
        <v>74.37008555200002</v>
      </c>
      <c r="Q76" s="481"/>
    </row>
    <row r="77" spans="1:17" ht="11.25" customHeight="1">
      <c r="A77" s="3" t="s">
        <v>954</v>
      </c>
      <c r="B77" s="462" t="s">
        <v>99</v>
      </c>
      <c r="C77" s="462" t="s">
        <v>99</v>
      </c>
      <c r="D77" s="802">
        <v>351.6</v>
      </c>
      <c r="E77" s="900">
        <v>351.6</v>
      </c>
      <c r="F77" s="900">
        <v>4.9000000000000002E-8</v>
      </c>
      <c r="G77" s="901">
        <v>58.365904143000009</v>
      </c>
      <c r="H77" s="566">
        <v>1177.7170018025158</v>
      </c>
      <c r="I77" s="501">
        <v>1.9515311927751111</v>
      </c>
      <c r="J77" s="720">
        <v>1.9515311927751111</v>
      </c>
      <c r="K77" s="720">
        <v>10</v>
      </c>
      <c r="L77" s="566">
        <v>100</v>
      </c>
      <c r="M77" s="501">
        <v>0.11390288252958661</v>
      </c>
      <c r="N77" s="720">
        <v>0.11390288252958661</v>
      </c>
      <c r="O77" s="720">
        <v>0.58365904143000014</v>
      </c>
      <c r="P77" s="461">
        <v>5.8365904143000007</v>
      </c>
      <c r="Q77" s="481"/>
    </row>
    <row r="78" spans="1:17" ht="11.25" customHeight="1">
      <c r="A78" s="3" t="s">
        <v>954</v>
      </c>
      <c r="B78" s="458" t="s">
        <v>297</v>
      </c>
      <c r="C78" s="458" t="s">
        <v>297</v>
      </c>
      <c r="D78" s="802">
        <v>460.8</v>
      </c>
      <c r="E78" s="900">
        <v>460.8</v>
      </c>
      <c r="F78" s="900">
        <v>8.6000000000000002E-8</v>
      </c>
      <c r="G78" s="901">
        <v>76.493333802000009</v>
      </c>
      <c r="H78" s="566">
        <v>7992.7938485943405</v>
      </c>
      <c r="I78" s="501">
        <v>14.3</v>
      </c>
      <c r="J78" s="720">
        <v>38.830541475137551</v>
      </c>
      <c r="K78" s="720">
        <v>14.3</v>
      </c>
      <c r="L78" s="566">
        <v>379</v>
      </c>
      <c r="M78" s="501">
        <v>1.0938546733686003</v>
      </c>
      <c r="N78" s="720">
        <v>2.9702775707701026</v>
      </c>
      <c r="O78" s="720">
        <v>1.0938546733686003</v>
      </c>
      <c r="P78" s="461">
        <v>28.990973510958003</v>
      </c>
      <c r="Q78" s="481"/>
    </row>
    <row r="79" spans="1:17" ht="11.25" customHeight="1">
      <c r="A79" s="3" t="s">
        <v>954</v>
      </c>
      <c r="B79" s="462" t="s">
        <v>100</v>
      </c>
      <c r="C79" s="462" t="s">
        <v>100</v>
      </c>
      <c r="D79" s="802">
        <v>575.6</v>
      </c>
      <c r="E79" s="900">
        <v>575.6</v>
      </c>
      <c r="F79" s="900">
        <v>5.4E-8</v>
      </c>
      <c r="G79" s="901">
        <v>95.549935178000013</v>
      </c>
      <c r="H79" s="566">
        <v>710.72008329559765</v>
      </c>
      <c r="I79" s="501">
        <v>0.2374799832189621</v>
      </c>
      <c r="J79" s="720">
        <v>0.2374799832189621</v>
      </c>
      <c r="K79" s="720">
        <v>9.1</v>
      </c>
      <c r="L79" s="566">
        <v>110</v>
      </c>
      <c r="M79" s="501">
        <v>2.269119700264436E-2</v>
      </c>
      <c r="N79" s="720">
        <v>2.269119700264436E-2</v>
      </c>
      <c r="O79" s="720">
        <v>0.86950441011980018</v>
      </c>
      <c r="P79" s="461">
        <v>10.51049286958</v>
      </c>
      <c r="Q79" s="481"/>
    </row>
    <row r="80" spans="1:17" ht="11.25" customHeight="1">
      <c r="A80" s="3" t="s">
        <v>954</v>
      </c>
      <c r="B80" s="462" t="s">
        <v>101</v>
      </c>
      <c r="C80" s="462" t="s">
        <v>101</v>
      </c>
      <c r="D80" s="802">
        <v>587.4</v>
      </c>
      <c r="E80" s="900">
        <v>587.4</v>
      </c>
      <c r="F80" s="900">
        <v>7.5000000000000002E-7</v>
      </c>
      <c r="G80" s="901">
        <v>97.513055249999994</v>
      </c>
      <c r="H80" s="566">
        <v>659.64186807672957</v>
      </c>
      <c r="I80" s="501">
        <v>4.8541215187419794E-2</v>
      </c>
      <c r="J80" s="720">
        <v>4.8541215187419794E-2</v>
      </c>
      <c r="K80" s="720">
        <v>81</v>
      </c>
      <c r="L80" s="566">
        <v>110</v>
      </c>
      <c r="M80" s="501">
        <v>4.7334021984730048E-3</v>
      </c>
      <c r="N80" s="720">
        <v>4.7334021984730048E-3</v>
      </c>
      <c r="O80" s="720">
        <v>7.8985574752499996</v>
      </c>
      <c r="P80" s="461">
        <v>10.726436077499999</v>
      </c>
      <c r="Q80" s="481"/>
    </row>
    <row r="81" spans="1:17" ht="11.25" customHeight="1">
      <c r="A81" s="3" t="s">
        <v>954</v>
      </c>
      <c r="B81" s="458" t="s">
        <v>382</v>
      </c>
      <c r="C81" s="458" t="s">
        <v>382</v>
      </c>
      <c r="D81" s="802">
        <v>2.6</v>
      </c>
      <c r="E81" s="900">
        <v>2.6</v>
      </c>
      <c r="F81" s="900">
        <v>4.7999999999999998E-6</v>
      </c>
      <c r="G81" s="901">
        <v>0.46139360000000001</v>
      </c>
      <c r="H81" s="566">
        <v>115637.86163522014</v>
      </c>
      <c r="I81" s="501">
        <v>0.45905899511359882</v>
      </c>
      <c r="J81" s="720">
        <v>0.45905899511359882</v>
      </c>
      <c r="K81" s="720">
        <v>50000</v>
      </c>
      <c r="L81" s="566">
        <v>50000</v>
      </c>
      <c r="M81" s="501">
        <v>2.1180688236784579E-4</v>
      </c>
      <c r="N81" s="720">
        <v>2.1180688236784579E-4</v>
      </c>
      <c r="O81" s="720">
        <v>23.069680000000002</v>
      </c>
      <c r="P81" s="461">
        <v>23.069680000000002</v>
      </c>
      <c r="Q81" s="481"/>
    </row>
    <row r="82" spans="1:17" ht="11.25" customHeight="1">
      <c r="A82" s="3" t="s">
        <v>1428</v>
      </c>
      <c r="B82" s="458" t="s">
        <v>594</v>
      </c>
      <c r="C82" s="458" t="s">
        <v>976</v>
      </c>
      <c r="D82" s="802">
        <v>249100</v>
      </c>
      <c r="E82" s="900">
        <v>249100</v>
      </c>
      <c r="F82" s="900">
        <v>5.0000000000000002E-5</v>
      </c>
      <c r="G82" s="901">
        <v>41350.910349999998</v>
      </c>
      <c r="H82" s="566">
        <v>0.29894007572327047</v>
      </c>
      <c r="I82" s="501">
        <v>3.1E-9</v>
      </c>
      <c r="J82" s="720">
        <v>3.0000000000000001E-5</v>
      </c>
      <c r="K82" s="720">
        <v>3.1E-9</v>
      </c>
      <c r="L82" s="566">
        <v>3.0000000000000001E-3</v>
      </c>
      <c r="M82" s="501">
        <v>0.29894007572327047</v>
      </c>
      <c r="N82" s="720">
        <v>0.29894007572327047</v>
      </c>
      <c r="O82" s="720">
        <v>0.29894007572327047</v>
      </c>
      <c r="P82" s="461">
        <v>0.29894007572327047</v>
      </c>
      <c r="Q82" s="481"/>
    </row>
    <row r="83" spans="1:17" ht="11.25" customHeight="1">
      <c r="A83" s="3" t="s">
        <v>954</v>
      </c>
      <c r="B83" s="458" t="s">
        <v>102</v>
      </c>
      <c r="C83" s="458" t="s">
        <v>102</v>
      </c>
      <c r="D83" s="802">
        <v>109.1</v>
      </c>
      <c r="E83" s="900">
        <v>109.1</v>
      </c>
      <c r="F83" s="900">
        <v>5.0000000000000003E-10</v>
      </c>
      <c r="G83" s="901">
        <v>18.110603103500001</v>
      </c>
      <c r="H83" s="566">
        <v>31.693200166969806</v>
      </c>
      <c r="I83" s="501">
        <v>36.050648892392552</v>
      </c>
      <c r="J83" s="720">
        <v>36.050648892392552</v>
      </c>
      <c r="K83" s="720">
        <v>60</v>
      </c>
      <c r="L83" s="566">
        <v>200</v>
      </c>
      <c r="M83" s="501">
        <v>0.65289899371375337</v>
      </c>
      <c r="N83" s="720">
        <v>0.65289899371375337</v>
      </c>
      <c r="O83" s="720">
        <v>1.08663618621</v>
      </c>
      <c r="P83" s="461">
        <v>3.6221206207000001</v>
      </c>
      <c r="Q83" s="481"/>
    </row>
    <row r="84" spans="1:17" ht="11.25" customHeight="1">
      <c r="A84" s="3" t="s">
        <v>1428</v>
      </c>
      <c r="B84" s="458" t="s">
        <v>370</v>
      </c>
      <c r="C84" s="458" t="s">
        <v>975</v>
      </c>
      <c r="D84" s="802">
        <v>6761</v>
      </c>
      <c r="E84" s="900">
        <v>6761</v>
      </c>
      <c r="F84" s="900">
        <v>6.4999999999999994E-5</v>
      </c>
      <c r="G84" s="901">
        <v>1122.7294549999999</v>
      </c>
      <c r="H84" s="566">
        <v>13.216616117924531</v>
      </c>
      <c r="I84" s="501">
        <v>8.6999999999999994E-3</v>
      </c>
      <c r="J84" s="720">
        <v>3.4000000000000002E-2</v>
      </c>
      <c r="K84" s="720">
        <v>8.6999999999999994E-3</v>
      </c>
      <c r="L84" s="566">
        <v>3.4000000000000002E-2</v>
      </c>
      <c r="M84" s="501">
        <v>13.216616117924531</v>
      </c>
      <c r="N84" s="720">
        <v>13.216616117924531</v>
      </c>
      <c r="O84" s="720">
        <v>13.216616117924531</v>
      </c>
      <c r="P84" s="461">
        <v>13.216616117924531</v>
      </c>
      <c r="Q84" s="481"/>
    </row>
    <row r="85" spans="1:17" ht="11.25" customHeight="1">
      <c r="A85" s="3" t="s">
        <v>1428</v>
      </c>
      <c r="B85" s="458" t="s">
        <v>337</v>
      </c>
      <c r="C85" s="458" t="s">
        <v>974</v>
      </c>
      <c r="D85" s="802">
        <v>20090</v>
      </c>
      <c r="E85" s="900">
        <v>20090</v>
      </c>
      <c r="F85" s="900">
        <v>6.3999999999999997E-6</v>
      </c>
      <c r="G85" s="901">
        <v>3334.9797248</v>
      </c>
      <c r="H85" s="566">
        <v>30.160012305031447</v>
      </c>
      <c r="I85" s="501">
        <v>2.3E-3</v>
      </c>
      <c r="J85" s="720">
        <v>3.6999999999999998E-2</v>
      </c>
      <c r="K85" s="720">
        <v>2.3E-3</v>
      </c>
      <c r="L85" s="566">
        <v>3.6999999999999998E-2</v>
      </c>
      <c r="M85" s="501">
        <v>30.160012305031447</v>
      </c>
      <c r="N85" s="720">
        <v>30.160012305031447</v>
      </c>
      <c r="O85" s="720">
        <v>30.160012305031447</v>
      </c>
      <c r="P85" s="461">
        <v>30.160012305031447</v>
      </c>
      <c r="Q85" s="481"/>
    </row>
    <row r="86" spans="1:17" ht="11.25" customHeight="1">
      <c r="A86" s="3" t="s">
        <v>954</v>
      </c>
      <c r="B86" s="458" t="s">
        <v>28</v>
      </c>
      <c r="C86" s="458" t="s">
        <v>28</v>
      </c>
      <c r="D86" s="802">
        <v>0.309</v>
      </c>
      <c r="E86" s="900">
        <v>0.309</v>
      </c>
      <c r="F86" s="900">
        <v>6.2899999999999999E-6</v>
      </c>
      <c r="G86" s="901">
        <v>9.0336029999999998E-2</v>
      </c>
      <c r="H86" s="566">
        <v>101902.84150943397</v>
      </c>
      <c r="I86" s="501">
        <v>0</v>
      </c>
      <c r="J86" s="720">
        <v>0</v>
      </c>
      <c r="K86" s="720">
        <v>0</v>
      </c>
      <c r="L86" s="566">
        <v>0</v>
      </c>
      <c r="M86" s="501">
        <v>0</v>
      </c>
      <c r="N86" s="720">
        <v>0</v>
      </c>
      <c r="O86" s="720">
        <v>0</v>
      </c>
      <c r="P86" s="461">
        <v>0</v>
      </c>
      <c r="Q86" s="481"/>
    </row>
    <row r="87" spans="1:17" ht="11.25" customHeight="1">
      <c r="A87" s="3" t="s">
        <v>954</v>
      </c>
      <c r="B87" s="458" t="s">
        <v>338</v>
      </c>
      <c r="C87" s="458" t="s">
        <v>338</v>
      </c>
      <c r="D87" s="802">
        <v>446.1</v>
      </c>
      <c r="E87" s="900">
        <v>446.1</v>
      </c>
      <c r="F87" s="900">
        <v>7.9000000000000008E-3</v>
      </c>
      <c r="G87" s="901">
        <v>123.08790000000002</v>
      </c>
      <c r="H87" s="566">
        <v>479.48318616352208</v>
      </c>
      <c r="I87" s="501">
        <v>7.3</v>
      </c>
      <c r="J87" s="720">
        <v>30</v>
      </c>
      <c r="K87" s="720">
        <v>7.3</v>
      </c>
      <c r="L87" s="566">
        <v>140</v>
      </c>
      <c r="M87" s="501">
        <v>0.89854167000000007</v>
      </c>
      <c r="N87" s="720">
        <v>3.6926370000000008</v>
      </c>
      <c r="O87" s="720">
        <v>0.89854167000000007</v>
      </c>
      <c r="P87" s="461">
        <v>17.232306000000005</v>
      </c>
      <c r="Q87" s="481"/>
    </row>
    <row r="88" spans="1:17" ht="11.25" customHeight="1">
      <c r="A88" s="3" t="s">
        <v>1428</v>
      </c>
      <c r="B88" s="458" t="s">
        <v>339</v>
      </c>
      <c r="C88" s="458" t="s">
        <v>751</v>
      </c>
      <c r="D88" s="802">
        <v>55450</v>
      </c>
      <c r="E88" s="900">
        <v>55450</v>
      </c>
      <c r="F88" s="900">
        <v>8.8999999999999995E-6</v>
      </c>
      <c r="G88" s="901">
        <v>9204.7552423000016</v>
      </c>
      <c r="H88" s="566">
        <v>86.52801771924527</v>
      </c>
      <c r="I88" s="501">
        <v>0.8</v>
      </c>
      <c r="J88" s="720">
        <v>13</v>
      </c>
      <c r="K88" s="720">
        <v>0.8</v>
      </c>
      <c r="L88" s="566">
        <v>13</v>
      </c>
      <c r="M88" s="501">
        <v>86.52801771924527</v>
      </c>
      <c r="N88" s="720">
        <v>119.66181814990003</v>
      </c>
      <c r="O88" s="720">
        <v>86.52801771924527</v>
      </c>
      <c r="P88" s="461">
        <v>119.66181814990003</v>
      </c>
      <c r="Q88" s="481"/>
    </row>
    <row r="89" spans="1:17" ht="11.25" customHeight="1">
      <c r="A89" s="3" t="s">
        <v>1428</v>
      </c>
      <c r="B89" s="458" t="s">
        <v>340</v>
      </c>
      <c r="C89" s="458" t="s">
        <v>927</v>
      </c>
      <c r="D89" s="802">
        <v>9160</v>
      </c>
      <c r="E89" s="900">
        <v>9160</v>
      </c>
      <c r="F89" s="900">
        <v>9.6000000000000002E-5</v>
      </c>
      <c r="G89" s="901">
        <v>1521.1558720000003</v>
      </c>
      <c r="H89" s="566">
        <v>93.052647730188681</v>
      </c>
      <c r="I89" s="501">
        <v>3.9</v>
      </c>
      <c r="J89" s="720">
        <v>250.08516556490937</v>
      </c>
      <c r="K89" s="720">
        <v>3.9</v>
      </c>
      <c r="L89" s="566">
        <v>300</v>
      </c>
      <c r="M89" s="501">
        <v>93.052647730188681</v>
      </c>
      <c r="N89" s="720">
        <v>380.4185180991542</v>
      </c>
      <c r="O89" s="720">
        <v>93.052647730188681</v>
      </c>
      <c r="P89" s="461">
        <v>456.34676160000009</v>
      </c>
      <c r="Q89" s="481"/>
    </row>
    <row r="90" spans="1:17" ht="11.25" customHeight="1">
      <c r="A90" s="3" t="s">
        <v>954</v>
      </c>
      <c r="B90" s="458" t="s">
        <v>103</v>
      </c>
      <c r="C90" s="458" t="s">
        <v>103</v>
      </c>
      <c r="D90" s="802">
        <v>2100</v>
      </c>
      <c r="E90" s="900">
        <v>2100</v>
      </c>
      <c r="F90" s="900">
        <v>2.0999999999999999E-12</v>
      </c>
      <c r="G90" s="901">
        <v>348.60000001303473</v>
      </c>
      <c r="H90" s="566">
        <v>133350.00000017093</v>
      </c>
      <c r="I90" s="501">
        <v>700</v>
      </c>
      <c r="J90" s="720">
        <v>700</v>
      </c>
      <c r="K90" s="720">
        <v>1800</v>
      </c>
      <c r="L90" s="566">
        <v>21500</v>
      </c>
      <c r="M90" s="501">
        <v>244.02000000912432</v>
      </c>
      <c r="N90" s="720">
        <v>244.02000000912432</v>
      </c>
      <c r="O90" s="720">
        <v>627.48000002346248</v>
      </c>
      <c r="P90" s="461">
        <v>7494.9000002802468</v>
      </c>
      <c r="Q90" s="481"/>
    </row>
    <row r="91" spans="1:17" ht="11.25" customHeight="1">
      <c r="A91" s="3" t="s">
        <v>1428</v>
      </c>
      <c r="B91" s="458" t="s">
        <v>341</v>
      </c>
      <c r="C91" s="458" t="s">
        <v>973</v>
      </c>
      <c r="D91" s="802">
        <v>41260</v>
      </c>
      <c r="E91" s="900">
        <v>41260</v>
      </c>
      <c r="F91" s="900">
        <v>2.9E-4</v>
      </c>
      <c r="G91" s="901">
        <v>6850.9600300000011</v>
      </c>
      <c r="H91" s="566">
        <v>44.579208905660373</v>
      </c>
      <c r="I91" s="501">
        <v>3.5999999999999999E-3</v>
      </c>
      <c r="J91" s="720">
        <v>5.2999999999999999E-2</v>
      </c>
      <c r="K91" s="720">
        <v>3.5999999999999999E-3</v>
      </c>
      <c r="L91" s="566">
        <v>5.2999999999999999E-2</v>
      </c>
      <c r="M91" s="501">
        <v>44.579208905660373</v>
      </c>
      <c r="N91" s="720">
        <v>44.579208905660373</v>
      </c>
      <c r="O91" s="720">
        <v>44.579208905660373</v>
      </c>
      <c r="P91" s="461">
        <v>44.579208905660373</v>
      </c>
      <c r="Q91" s="481"/>
    </row>
    <row r="92" spans="1:17" ht="11.25" customHeight="1">
      <c r="A92" s="3" t="s">
        <v>1428</v>
      </c>
      <c r="B92" s="458" t="s">
        <v>342</v>
      </c>
      <c r="C92" s="458" t="s">
        <v>972</v>
      </c>
      <c r="D92" s="802">
        <v>10110</v>
      </c>
      <c r="E92" s="900">
        <v>10110</v>
      </c>
      <c r="F92" s="900">
        <v>2.0999999999999999E-5</v>
      </c>
      <c r="G92" s="901">
        <v>1678.390347</v>
      </c>
      <c r="H92" s="566">
        <v>12.15203256100629</v>
      </c>
      <c r="I92" s="501">
        <v>3.5999999999999999E-3</v>
      </c>
      <c r="J92" s="720">
        <v>5.2999999999999999E-2</v>
      </c>
      <c r="K92" s="720">
        <v>3.5999999999999999E-3</v>
      </c>
      <c r="L92" s="566">
        <v>5.2999999999999999E-2</v>
      </c>
      <c r="M92" s="501">
        <v>12.15203256100629</v>
      </c>
      <c r="N92" s="720">
        <v>12.15203256100629</v>
      </c>
      <c r="O92" s="720">
        <v>12.15203256100629</v>
      </c>
      <c r="P92" s="461">
        <v>12.15203256100629</v>
      </c>
      <c r="Q92" s="481"/>
    </row>
    <row r="93" spans="1:17" ht="11.25" customHeight="1">
      <c r="A93" s="3" t="s">
        <v>1428</v>
      </c>
      <c r="B93" s="458" t="s">
        <v>371</v>
      </c>
      <c r="C93" s="458" t="s">
        <v>752</v>
      </c>
      <c r="D93" s="802">
        <v>6195</v>
      </c>
      <c r="E93" s="900">
        <v>6195</v>
      </c>
      <c r="F93" s="900">
        <v>1.6999999999999999E-3</v>
      </c>
      <c r="G93" s="901">
        <v>1038.9219000000001</v>
      </c>
      <c r="H93" s="566">
        <v>0.23115615974842768</v>
      </c>
      <c r="I93" s="501">
        <v>2.9999999999999997E-4</v>
      </c>
      <c r="J93" s="720">
        <v>2.9999999999999997E-4</v>
      </c>
      <c r="K93" s="720">
        <v>2.9999999999999997E-4</v>
      </c>
      <c r="L93" s="566">
        <v>2.9999999999999997E-4</v>
      </c>
      <c r="M93" s="501">
        <v>0.23115615974842768</v>
      </c>
      <c r="N93" s="720">
        <v>0.23115615974842768</v>
      </c>
      <c r="O93" s="720">
        <v>0.23115615974842768</v>
      </c>
      <c r="P93" s="461">
        <v>0.23115615974842768</v>
      </c>
      <c r="Q93" s="481"/>
    </row>
    <row r="94" spans="1:17" ht="11.25" customHeight="1">
      <c r="A94" s="3" t="s">
        <v>954</v>
      </c>
      <c r="B94" s="458" t="s">
        <v>343</v>
      </c>
      <c r="C94" s="458" t="s">
        <v>343</v>
      </c>
      <c r="D94" s="802">
        <v>845.2</v>
      </c>
      <c r="E94" s="900">
        <v>845.2</v>
      </c>
      <c r="F94" s="900">
        <v>0.01</v>
      </c>
      <c r="G94" s="901">
        <v>202.3732</v>
      </c>
      <c r="H94" s="566">
        <v>16.802270188679245</v>
      </c>
      <c r="I94" s="501">
        <v>0.28185208671381157</v>
      </c>
      <c r="J94" s="720">
        <v>0.28185208671381157</v>
      </c>
      <c r="K94" s="720">
        <v>0.3</v>
      </c>
      <c r="L94" s="566">
        <v>11</v>
      </c>
      <c r="M94" s="501">
        <v>5.7039308714951532E-2</v>
      </c>
      <c r="N94" s="720">
        <v>5.7039308714951532E-2</v>
      </c>
      <c r="O94" s="720">
        <v>6.0711960000000002E-2</v>
      </c>
      <c r="P94" s="461">
        <v>2.2261052000000001</v>
      </c>
      <c r="Q94" s="481"/>
    </row>
    <row r="95" spans="1:17" ht="11.25" customHeight="1">
      <c r="A95" s="3" t="s">
        <v>954</v>
      </c>
      <c r="B95" s="458" t="s">
        <v>364</v>
      </c>
      <c r="C95" s="458" t="s">
        <v>364</v>
      </c>
      <c r="D95" s="802">
        <v>2807</v>
      </c>
      <c r="E95" s="900">
        <v>2807</v>
      </c>
      <c r="F95" s="900">
        <v>5.1000000000000003E-6</v>
      </c>
      <c r="G95" s="901">
        <v>465.99365570000003</v>
      </c>
      <c r="H95" s="566">
        <v>123.67689020943395</v>
      </c>
      <c r="I95" s="501">
        <v>6.3E-2</v>
      </c>
      <c r="J95" s="720">
        <v>0.16</v>
      </c>
      <c r="K95" s="720">
        <v>6.3E-2</v>
      </c>
      <c r="L95" s="566">
        <v>0.16</v>
      </c>
      <c r="M95" s="501">
        <v>2.9357600309100004E-2</v>
      </c>
      <c r="N95" s="720">
        <v>7.4558984912000012E-2</v>
      </c>
      <c r="O95" s="720">
        <v>2.9357600309100004E-2</v>
      </c>
      <c r="P95" s="461">
        <v>7.4558984912000012E-2</v>
      </c>
      <c r="Q95" s="481"/>
    </row>
    <row r="96" spans="1:17" ht="11.25" customHeight="1">
      <c r="A96" s="3" t="s">
        <v>954</v>
      </c>
      <c r="B96" s="458" t="s">
        <v>344</v>
      </c>
      <c r="C96" s="458" t="s">
        <v>344</v>
      </c>
      <c r="D96" s="802">
        <v>196.8</v>
      </c>
      <c r="E96" s="900">
        <v>196.8</v>
      </c>
      <c r="F96" s="900">
        <v>3.8999999999999998E-3</v>
      </c>
      <c r="G96" s="901">
        <v>56.876100000000008</v>
      </c>
      <c r="H96" s="566">
        <v>65.554465408805044</v>
      </c>
      <c r="I96" s="501">
        <v>0.92032782815026715</v>
      </c>
      <c r="J96" s="720">
        <v>0.92032782815026715</v>
      </c>
      <c r="K96" s="720">
        <v>12</v>
      </c>
      <c r="L96" s="566">
        <v>100</v>
      </c>
      <c r="M96" s="501">
        <v>5.234465758665742E-2</v>
      </c>
      <c r="N96" s="720">
        <v>5.234465758665742E-2</v>
      </c>
      <c r="O96" s="720">
        <v>0.68251320000000015</v>
      </c>
      <c r="P96" s="461">
        <v>5.6876100000000003</v>
      </c>
      <c r="Q96" s="481"/>
    </row>
    <row r="97" spans="1:17" ht="11.25" customHeight="1">
      <c r="A97" s="3" t="s">
        <v>954</v>
      </c>
      <c r="B97" s="458" t="s">
        <v>104</v>
      </c>
      <c r="C97" s="458" t="s">
        <v>104</v>
      </c>
      <c r="D97" s="802">
        <v>129.4</v>
      </c>
      <c r="E97" s="900">
        <v>129.4</v>
      </c>
      <c r="F97" s="900">
        <v>2.2999999999999999E-12</v>
      </c>
      <c r="G97" s="901">
        <v>21.480400014276103</v>
      </c>
      <c r="H97" s="566">
        <v>28921.200000574736</v>
      </c>
      <c r="I97" s="501">
        <v>643.85147502055895</v>
      </c>
      <c r="J97" s="720">
        <v>643.85147502055895</v>
      </c>
      <c r="K97" s="720">
        <v>17000</v>
      </c>
      <c r="L97" s="566">
        <v>50000</v>
      </c>
      <c r="M97" s="501">
        <v>13.830187233223306</v>
      </c>
      <c r="N97" s="720">
        <v>13.830187233223306</v>
      </c>
      <c r="O97" s="720">
        <v>365.16680024269374</v>
      </c>
      <c r="P97" s="461">
        <v>1074.0200007138053</v>
      </c>
      <c r="Q97" s="481"/>
    </row>
    <row r="98" spans="1:17" ht="11.25" customHeight="1">
      <c r="A98" s="3" t="s">
        <v>1428</v>
      </c>
      <c r="B98" s="458" t="s">
        <v>345</v>
      </c>
      <c r="C98" s="458" t="s">
        <v>753</v>
      </c>
      <c r="D98" s="802">
        <v>1951000</v>
      </c>
      <c r="E98" s="900">
        <v>1951000</v>
      </c>
      <c r="F98" s="900">
        <v>3.4999999999999998E-7</v>
      </c>
      <c r="G98" s="901">
        <v>323866.00217245001</v>
      </c>
      <c r="H98" s="566">
        <v>2.2241590005035596</v>
      </c>
      <c r="I98" s="501">
        <v>1.7683609753016836E-2</v>
      </c>
      <c r="J98" s="720">
        <v>1.7683609753016836E-2</v>
      </c>
      <c r="K98" s="720">
        <v>9.5000000000000001E-2</v>
      </c>
      <c r="L98" s="566">
        <v>9.5000000000000001E-2</v>
      </c>
      <c r="M98" s="501">
        <v>5.7271199946873086</v>
      </c>
      <c r="N98" s="720">
        <v>5.7271199946873086</v>
      </c>
      <c r="O98" s="720">
        <v>30.767270206382754</v>
      </c>
      <c r="P98" s="461">
        <v>30.767270206382754</v>
      </c>
      <c r="Q98" s="481"/>
    </row>
    <row r="99" spans="1:17" ht="11.25" customHeight="1">
      <c r="A99" s="3" t="s">
        <v>954</v>
      </c>
      <c r="B99" s="458" t="s">
        <v>105</v>
      </c>
      <c r="C99" s="458" t="s">
        <v>105</v>
      </c>
      <c r="D99" s="802">
        <v>65</v>
      </c>
      <c r="E99" s="900">
        <v>65</v>
      </c>
      <c r="F99" s="900">
        <v>6.6000000000000003E-6</v>
      </c>
      <c r="G99" s="901">
        <v>10.830966200000001</v>
      </c>
      <c r="H99" s="566">
        <v>5880.6133584905656</v>
      </c>
      <c r="I99" s="501">
        <v>78.070039071294488</v>
      </c>
      <c r="J99" s="720">
        <v>78.070039071294488</v>
      </c>
      <c r="K99" s="720">
        <v>920</v>
      </c>
      <c r="L99" s="566">
        <v>4300</v>
      </c>
      <c r="M99" s="501">
        <v>0.84557395441387007</v>
      </c>
      <c r="N99" s="720">
        <v>0.84557395441387007</v>
      </c>
      <c r="O99" s="720">
        <v>9.9644889039999995</v>
      </c>
      <c r="P99" s="461">
        <v>46.57315466</v>
      </c>
      <c r="Q99" s="481"/>
    </row>
    <row r="100" spans="1:17" ht="11.25" customHeight="1">
      <c r="A100" s="3" t="s">
        <v>954</v>
      </c>
      <c r="B100" s="458" t="s">
        <v>346</v>
      </c>
      <c r="C100" s="458" t="s">
        <v>346</v>
      </c>
      <c r="D100" s="802" t="s">
        <v>954</v>
      </c>
      <c r="E100" s="900" t="s">
        <v>954</v>
      </c>
      <c r="F100" s="900" t="s">
        <v>954</v>
      </c>
      <c r="G100" s="901" t="s">
        <v>954</v>
      </c>
      <c r="H100" s="566" t="s">
        <v>954</v>
      </c>
      <c r="I100" s="501">
        <v>5.6</v>
      </c>
      <c r="J100" s="720">
        <v>15</v>
      </c>
      <c r="K100" s="720">
        <v>5.6</v>
      </c>
      <c r="L100" s="566">
        <v>29</v>
      </c>
      <c r="M100" s="501" t="s">
        <v>1408</v>
      </c>
      <c r="N100" s="720" t="s">
        <v>1408</v>
      </c>
      <c r="O100" s="720" t="s">
        <v>1408</v>
      </c>
      <c r="P100" s="461" t="s">
        <v>1408</v>
      </c>
      <c r="Q100" s="481"/>
    </row>
    <row r="101" spans="1:17" ht="11.25" customHeight="1">
      <c r="A101" s="3" t="s">
        <v>954</v>
      </c>
      <c r="B101" s="458" t="s">
        <v>347</v>
      </c>
      <c r="C101" s="458" t="s">
        <v>347</v>
      </c>
      <c r="D101" s="802" t="s">
        <v>954</v>
      </c>
      <c r="E101" s="900" t="s">
        <v>954</v>
      </c>
      <c r="F101" s="900" t="s">
        <v>954</v>
      </c>
      <c r="G101" s="901" t="s">
        <v>954</v>
      </c>
      <c r="H101" s="566" t="s">
        <v>954</v>
      </c>
      <c r="I101" s="501">
        <v>2.5000000000000001E-2</v>
      </c>
      <c r="J101" s="720">
        <v>2</v>
      </c>
      <c r="K101" s="720">
        <v>2.5000000000000001E-2</v>
      </c>
      <c r="L101" s="566">
        <v>2.1</v>
      </c>
      <c r="M101" s="501" t="s">
        <v>1408</v>
      </c>
      <c r="N101" s="720" t="s">
        <v>1408</v>
      </c>
      <c r="O101" s="720" t="s">
        <v>1408</v>
      </c>
      <c r="P101" s="461" t="s">
        <v>1408</v>
      </c>
      <c r="Q101" s="481"/>
    </row>
    <row r="102" spans="1:17" ht="11.25" customHeight="1">
      <c r="A102" s="3" t="s">
        <v>1428</v>
      </c>
      <c r="B102" s="458" t="s">
        <v>348</v>
      </c>
      <c r="C102" s="458" t="s">
        <v>754</v>
      </c>
      <c r="D102" s="802">
        <v>26890</v>
      </c>
      <c r="E102" s="900">
        <v>26890</v>
      </c>
      <c r="F102" s="900">
        <v>1.9999999999999999E-7</v>
      </c>
      <c r="G102" s="901">
        <v>4463.7412414</v>
      </c>
      <c r="H102" s="566">
        <v>16.144000157125785</v>
      </c>
      <c r="I102" s="501">
        <v>0.03</v>
      </c>
      <c r="J102" s="720">
        <v>0.7</v>
      </c>
      <c r="K102" s="720">
        <v>0.03</v>
      </c>
      <c r="L102" s="566">
        <v>0.7</v>
      </c>
      <c r="M102" s="501">
        <v>16.144000157125785</v>
      </c>
      <c r="N102" s="720">
        <v>16.144000157125785</v>
      </c>
      <c r="O102" s="720">
        <v>16.144000157125785</v>
      </c>
      <c r="P102" s="461">
        <v>16.144000157125785</v>
      </c>
      <c r="Q102" s="481"/>
    </row>
    <row r="103" spans="1:17" ht="11.25" customHeight="1">
      <c r="A103" s="3" t="s">
        <v>954</v>
      </c>
      <c r="B103" s="458" t="s">
        <v>350</v>
      </c>
      <c r="C103" s="458" t="s">
        <v>350</v>
      </c>
      <c r="D103" s="802">
        <v>4.51</v>
      </c>
      <c r="E103" s="900">
        <v>4.51</v>
      </c>
      <c r="F103" s="900">
        <v>5.7000000000000003E-5</v>
      </c>
      <c r="G103" s="901">
        <v>1.1024590000000001</v>
      </c>
      <c r="H103" s="566">
        <v>28431.476163522013</v>
      </c>
      <c r="I103" s="501">
        <v>8400</v>
      </c>
      <c r="J103" s="720">
        <v>8400</v>
      </c>
      <c r="K103" s="720">
        <v>14000</v>
      </c>
      <c r="L103" s="566">
        <v>50000</v>
      </c>
      <c r="M103" s="501">
        <v>9.2606555999999998</v>
      </c>
      <c r="N103" s="720">
        <v>9.2606555999999998</v>
      </c>
      <c r="O103" s="720">
        <v>15.434426000000002</v>
      </c>
      <c r="P103" s="461">
        <v>55.122950000000003</v>
      </c>
      <c r="Q103" s="481"/>
    </row>
    <row r="104" spans="1:17" ht="11.25" customHeight="1">
      <c r="A104" s="3" t="s">
        <v>954</v>
      </c>
      <c r="B104" s="458" t="s">
        <v>351</v>
      </c>
      <c r="C104" s="458" t="s">
        <v>351</v>
      </c>
      <c r="D104" s="802">
        <v>12.6</v>
      </c>
      <c r="E104" s="900">
        <v>12.6</v>
      </c>
      <c r="F104" s="900">
        <v>1.3999999999999999E-4</v>
      </c>
      <c r="G104" s="901">
        <v>2.9605800000000002</v>
      </c>
      <c r="H104" s="566">
        <v>3356.5423899371067</v>
      </c>
      <c r="I104" s="501">
        <v>170</v>
      </c>
      <c r="J104" s="720">
        <v>1300</v>
      </c>
      <c r="K104" s="720">
        <v>170</v>
      </c>
      <c r="L104" s="566">
        <v>2200</v>
      </c>
      <c r="M104" s="501">
        <v>0.50329860000000004</v>
      </c>
      <c r="N104" s="720">
        <v>3.8487540000000005</v>
      </c>
      <c r="O104" s="720">
        <v>0.50329860000000004</v>
      </c>
      <c r="P104" s="461">
        <v>6.5132760000000012</v>
      </c>
      <c r="Q104" s="481"/>
    </row>
    <row r="105" spans="1:17" ht="11.25" customHeight="1">
      <c r="A105" s="3" t="s">
        <v>954</v>
      </c>
      <c r="B105" s="458" t="s">
        <v>352</v>
      </c>
      <c r="C105" s="458" t="s">
        <v>352</v>
      </c>
      <c r="D105" s="802" t="s">
        <v>954</v>
      </c>
      <c r="E105" s="900" t="s">
        <v>954</v>
      </c>
      <c r="F105" s="900" t="s">
        <v>954</v>
      </c>
      <c r="G105" s="901" t="s">
        <v>954</v>
      </c>
      <c r="H105" s="566" t="s">
        <v>954</v>
      </c>
      <c r="I105" s="501">
        <v>2.8E-3</v>
      </c>
      <c r="J105" s="720">
        <v>9.9000000000000005E-2</v>
      </c>
      <c r="K105" s="720">
        <v>2.8E-3</v>
      </c>
      <c r="L105" s="566">
        <v>9.9000000000000005E-2</v>
      </c>
      <c r="M105" s="501" t="s">
        <v>1408</v>
      </c>
      <c r="N105" s="720" t="s">
        <v>1408</v>
      </c>
      <c r="O105" s="720" t="s">
        <v>1408</v>
      </c>
      <c r="P105" s="461" t="s">
        <v>1408</v>
      </c>
      <c r="Q105" s="481"/>
    </row>
    <row r="106" spans="1:17" ht="11.25" customHeight="1">
      <c r="A106" s="3" t="s">
        <v>954</v>
      </c>
      <c r="B106" s="458" t="s">
        <v>353</v>
      </c>
      <c r="C106" s="458" t="s">
        <v>353</v>
      </c>
      <c r="D106" s="802">
        <v>11.56</v>
      </c>
      <c r="E106" s="900">
        <v>11.56</v>
      </c>
      <c r="F106" s="900">
        <v>5.9000000000000003E-4</v>
      </c>
      <c r="G106" s="901">
        <v>5.5810900000000006</v>
      </c>
      <c r="H106" s="566">
        <v>8869.0732075471715</v>
      </c>
      <c r="I106" s="501">
        <v>5</v>
      </c>
      <c r="J106" s="720">
        <v>5</v>
      </c>
      <c r="K106" s="720">
        <v>730</v>
      </c>
      <c r="L106" s="566">
        <v>1800</v>
      </c>
      <c r="M106" s="501">
        <v>2.7905450000000002E-2</v>
      </c>
      <c r="N106" s="720">
        <v>2.7905450000000002E-2</v>
      </c>
      <c r="O106" s="720">
        <v>4.0741957000000006</v>
      </c>
      <c r="P106" s="461">
        <v>10.045962000000001</v>
      </c>
      <c r="Q106" s="481"/>
    </row>
    <row r="107" spans="1:17" ht="11.25" customHeight="1">
      <c r="A107" s="3" t="s">
        <v>954</v>
      </c>
      <c r="B107" s="458" t="s">
        <v>349</v>
      </c>
      <c r="C107" s="458" t="s">
        <v>349</v>
      </c>
      <c r="D107" s="802">
        <v>21.73</v>
      </c>
      <c r="E107" s="900">
        <v>21.73</v>
      </c>
      <c r="F107" s="900">
        <v>3.3E-3</v>
      </c>
      <c r="G107" s="901">
        <v>24.09028</v>
      </c>
      <c r="H107" s="566">
        <v>3314.8708176100631</v>
      </c>
      <c r="I107" s="501">
        <v>5</v>
      </c>
      <c r="J107" s="720">
        <v>5</v>
      </c>
      <c r="K107" s="720">
        <v>1500</v>
      </c>
      <c r="L107" s="566">
        <v>8500</v>
      </c>
      <c r="M107" s="501">
        <v>0.12045140000000001</v>
      </c>
      <c r="N107" s="720">
        <v>0.12045140000000001</v>
      </c>
      <c r="O107" s="720">
        <v>36.135419999999996</v>
      </c>
      <c r="P107" s="461">
        <v>204.76738</v>
      </c>
      <c r="Q107" s="481"/>
    </row>
    <row r="108" spans="1:17" ht="11.25" customHeight="1">
      <c r="A108" s="3" t="s">
        <v>954</v>
      </c>
      <c r="B108" s="458" t="s">
        <v>590</v>
      </c>
      <c r="C108" s="458" t="s">
        <v>590</v>
      </c>
      <c r="D108" s="802">
        <v>2528</v>
      </c>
      <c r="E108" s="900">
        <v>2528</v>
      </c>
      <c r="F108" s="900">
        <v>5.1000000000000004E-4</v>
      </c>
      <c r="G108" s="901">
        <v>422.81357000000003</v>
      </c>
      <c r="H108" s="566">
        <v>394.01696716981132</v>
      </c>
      <c r="I108" s="501">
        <v>2.1</v>
      </c>
      <c r="J108" s="720">
        <v>10</v>
      </c>
      <c r="K108" s="720">
        <v>2.1</v>
      </c>
      <c r="L108" s="566">
        <v>37</v>
      </c>
      <c r="M108" s="501">
        <v>0.88790849700000019</v>
      </c>
      <c r="N108" s="720">
        <v>4.2281357000000011</v>
      </c>
      <c r="O108" s="720">
        <v>0.88790849700000019</v>
      </c>
      <c r="P108" s="461">
        <v>15.644102090000001</v>
      </c>
      <c r="Q108" s="481"/>
    </row>
    <row r="109" spans="1:17" ht="11.25" customHeight="1">
      <c r="A109" s="3" t="s">
        <v>954</v>
      </c>
      <c r="B109" s="458" t="s">
        <v>591</v>
      </c>
      <c r="C109" s="458" t="s">
        <v>591</v>
      </c>
      <c r="D109" s="802">
        <v>2478</v>
      </c>
      <c r="E109" s="900">
        <v>2478</v>
      </c>
      <c r="F109" s="900">
        <v>5.1999999999999995E-4</v>
      </c>
      <c r="G109" s="901">
        <v>414.57564000000002</v>
      </c>
      <c r="H109" s="566">
        <v>368.3105966037736</v>
      </c>
      <c r="I109" s="501">
        <v>4.7</v>
      </c>
      <c r="J109" s="720">
        <v>10</v>
      </c>
      <c r="K109" s="720">
        <v>4.7</v>
      </c>
      <c r="L109" s="566">
        <v>42</v>
      </c>
      <c r="M109" s="501">
        <v>1.9485055080000002</v>
      </c>
      <c r="N109" s="720">
        <v>4.1457564000000007</v>
      </c>
      <c r="O109" s="720">
        <v>1.9485055080000002</v>
      </c>
      <c r="P109" s="461">
        <v>17.412176880000001</v>
      </c>
      <c r="Q109" s="481"/>
    </row>
    <row r="110" spans="1:17" ht="11.25" customHeight="1">
      <c r="A110" s="3" t="s">
        <v>954</v>
      </c>
      <c r="B110" s="458" t="s">
        <v>465</v>
      </c>
      <c r="C110" s="458" t="s">
        <v>465</v>
      </c>
      <c r="D110" s="802" t="s">
        <v>954</v>
      </c>
      <c r="E110" s="900" t="s">
        <v>954</v>
      </c>
      <c r="F110" s="900" t="s">
        <v>954</v>
      </c>
      <c r="G110" s="901" t="s">
        <v>954</v>
      </c>
      <c r="H110" s="566" t="s">
        <v>954</v>
      </c>
      <c r="I110" s="501">
        <v>99.283946060627287</v>
      </c>
      <c r="J110" s="720">
        <v>99.283946060627287</v>
      </c>
      <c r="K110" s="720">
        <v>370</v>
      </c>
      <c r="L110" s="566">
        <v>7200</v>
      </c>
      <c r="M110" s="501" t="s">
        <v>1408</v>
      </c>
      <c r="N110" s="720" t="s">
        <v>1408</v>
      </c>
      <c r="O110" s="720" t="s">
        <v>1408</v>
      </c>
      <c r="P110" s="461" t="s">
        <v>1408</v>
      </c>
      <c r="Q110" s="481"/>
    </row>
    <row r="111" spans="1:17" ht="11.25" customHeight="1">
      <c r="A111" s="3" t="s">
        <v>954</v>
      </c>
      <c r="B111" s="458" t="s">
        <v>466</v>
      </c>
      <c r="C111" s="458" t="s">
        <v>466</v>
      </c>
      <c r="D111" s="802">
        <v>1544</v>
      </c>
      <c r="E111" s="900">
        <v>1544</v>
      </c>
      <c r="F111" s="900">
        <v>4.4000000000000002E-4</v>
      </c>
      <c r="G111" s="901">
        <v>259.03508000000005</v>
      </c>
      <c r="H111" s="566">
        <v>290.38963396226416</v>
      </c>
      <c r="I111" s="501">
        <v>12</v>
      </c>
      <c r="J111" s="720">
        <v>17</v>
      </c>
      <c r="K111" s="720">
        <v>12</v>
      </c>
      <c r="L111" s="566">
        <v>210</v>
      </c>
      <c r="M111" s="501">
        <v>3.1084209600000006</v>
      </c>
      <c r="N111" s="720">
        <v>4.4035963600000008</v>
      </c>
      <c r="O111" s="720">
        <v>3.1084209600000006</v>
      </c>
      <c r="P111" s="461">
        <v>54.397366800000015</v>
      </c>
      <c r="Q111" s="481"/>
    </row>
    <row r="112" spans="1:17" ht="11.25" customHeight="1">
      <c r="A112" s="3" t="s">
        <v>954</v>
      </c>
      <c r="B112" s="458" t="s">
        <v>812</v>
      </c>
      <c r="C112" s="458" t="s">
        <v>812</v>
      </c>
      <c r="D112" s="802" t="s">
        <v>954</v>
      </c>
      <c r="E112" s="900" t="s">
        <v>954</v>
      </c>
      <c r="F112" s="900" t="s">
        <v>954</v>
      </c>
      <c r="G112" s="901" t="s">
        <v>954</v>
      </c>
      <c r="H112" s="566" t="s">
        <v>954</v>
      </c>
      <c r="I112" s="501">
        <v>5</v>
      </c>
      <c r="J112" s="720">
        <v>5</v>
      </c>
      <c r="K112" s="720">
        <v>5</v>
      </c>
      <c r="L112" s="566">
        <v>5</v>
      </c>
      <c r="M112" s="501" t="s">
        <v>1408</v>
      </c>
      <c r="N112" s="720" t="s">
        <v>1408</v>
      </c>
      <c r="O112" s="720" t="s">
        <v>1408</v>
      </c>
      <c r="P112" s="461" t="s">
        <v>1408</v>
      </c>
      <c r="Q112" s="481"/>
    </row>
    <row r="113" spans="1:17" ht="11.25" customHeight="1">
      <c r="A113" s="3" t="s">
        <v>954</v>
      </c>
      <c r="B113" s="462" t="s">
        <v>106</v>
      </c>
      <c r="C113" s="462" t="s">
        <v>106</v>
      </c>
      <c r="D113" s="802">
        <v>226.4</v>
      </c>
      <c r="E113" s="900">
        <v>226.4</v>
      </c>
      <c r="F113" s="900">
        <v>2.4000000000000001E-5</v>
      </c>
      <c r="G113" s="901">
        <v>37.731368000000003</v>
      </c>
      <c r="H113" s="566">
        <v>3048.4437410062897</v>
      </c>
      <c r="I113" s="501">
        <v>0.14038461538461536</v>
      </c>
      <c r="J113" s="720">
        <v>0.14038461538461536</v>
      </c>
      <c r="K113" s="720">
        <v>380</v>
      </c>
      <c r="L113" s="566">
        <v>2000</v>
      </c>
      <c r="M113" s="501">
        <v>5.2969035846153843E-3</v>
      </c>
      <c r="N113" s="720">
        <v>5.2969035846153843E-3</v>
      </c>
      <c r="O113" s="720">
        <v>14.337919840000001</v>
      </c>
      <c r="P113" s="461">
        <v>75.462736000000007</v>
      </c>
      <c r="Q113" s="481"/>
    </row>
    <row r="114" spans="1:17" ht="11.25" customHeight="1">
      <c r="A114" s="3" t="s">
        <v>954</v>
      </c>
      <c r="B114" s="462" t="s">
        <v>107</v>
      </c>
      <c r="C114" s="462" t="s">
        <v>107</v>
      </c>
      <c r="D114" s="802">
        <v>115.8</v>
      </c>
      <c r="E114" s="900">
        <v>115.8</v>
      </c>
      <c r="F114" s="900">
        <v>8.6999999999999998E-8</v>
      </c>
      <c r="G114" s="901">
        <v>19.223340009000001</v>
      </c>
      <c r="H114" s="566">
        <v>1096.8249143584908</v>
      </c>
      <c r="I114" s="501">
        <v>1.9602041687573981</v>
      </c>
      <c r="J114" s="720">
        <v>1.9602041687573981</v>
      </c>
      <c r="K114" s="720">
        <v>18</v>
      </c>
      <c r="L114" s="566">
        <v>160</v>
      </c>
      <c r="M114" s="501">
        <v>3.7681671223082684E-2</v>
      </c>
      <c r="N114" s="720">
        <v>3.7681671223082684E-2</v>
      </c>
      <c r="O114" s="720">
        <v>0.34602012016200001</v>
      </c>
      <c r="P114" s="461">
        <v>3.0757344014400001</v>
      </c>
      <c r="Q114" s="481"/>
    </row>
    <row r="115" spans="1:17" ht="11.25" customHeight="1">
      <c r="A115" s="3" t="s">
        <v>954</v>
      </c>
      <c r="B115" s="462" t="s">
        <v>108</v>
      </c>
      <c r="C115" s="462" t="s">
        <v>108</v>
      </c>
      <c r="D115" s="802">
        <v>370.6</v>
      </c>
      <c r="E115" s="900">
        <v>370.6</v>
      </c>
      <c r="F115" s="900">
        <v>1.2999999999999999E-5</v>
      </c>
      <c r="G115" s="901">
        <v>61.600291000000006</v>
      </c>
      <c r="H115" s="566">
        <v>1510.4027556603774</v>
      </c>
      <c r="I115" s="501">
        <v>0.31415552893667309</v>
      </c>
      <c r="J115" s="720">
        <v>0.31415552893667309</v>
      </c>
      <c r="K115" s="720">
        <v>71</v>
      </c>
      <c r="L115" s="566">
        <v>640</v>
      </c>
      <c r="M115" s="501">
        <v>1.9352072001757988E-2</v>
      </c>
      <c r="N115" s="720">
        <v>1.9352072001757988E-2</v>
      </c>
      <c r="O115" s="720">
        <v>4.3736206610000012</v>
      </c>
      <c r="P115" s="461">
        <v>39.424186240000004</v>
      </c>
      <c r="Q115" s="481"/>
    </row>
    <row r="116" spans="1:17" ht="11.25" customHeight="1">
      <c r="A116" s="3" t="s">
        <v>954</v>
      </c>
      <c r="B116" s="462" t="s">
        <v>109</v>
      </c>
      <c r="C116" s="462" t="s">
        <v>109</v>
      </c>
      <c r="D116" s="802">
        <v>363.2</v>
      </c>
      <c r="E116" s="900">
        <v>363.2</v>
      </c>
      <c r="F116" s="900">
        <v>9.3000000000000007E-6</v>
      </c>
      <c r="G116" s="901">
        <v>60.348925100000002</v>
      </c>
      <c r="H116" s="566">
        <v>1139.635968553459</v>
      </c>
      <c r="I116" s="501">
        <v>1.7483564887195151</v>
      </c>
      <c r="J116" s="720">
        <v>1.7483564887195151</v>
      </c>
      <c r="K116" s="720">
        <v>42</v>
      </c>
      <c r="L116" s="566">
        <v>380</v>
      </c>
      <c r="M116" s="501">
        <v>0.10551143478583302</v>
      </c>
      <c r="N116" s="720">
        <v>0.10551143478583302</v>
      </c>
      <c r="O116" s="720">
        <v>2.5346548542000003</v>
      </c>
      <c r="P116" s="461">
        <v>22.932591538</v>
      </c>
      <c r="Q116" s="481"/>
    </row>
    <row r="117" spans="1:17" ht="11.25" customHeight="1">
      <c r="A117" s="3" t="s">
        <v>954</v>
      </c>
      <c r="B117" s="462" t="s">
        <v>110</v>
      </c>
      <c r="C117" s="462" t="s">
        <v>110</v>
      </c>
      <c r="D117" s="802">
        <v>363.2</v>
      </c>
      <c r="E117" s="900">
        <v>363.2</v>
      </c>
      <c r="F117" s="900">
        <v>5.5999999999999997E-6</v>
      </c>
      <c r="G117" s="901">
        <v>60.325959200000007</v>
      </c>
      <c r="H117" s="566">
        <v>1007.4256450691823</v>
      </c>
      <c r="I117" s="501">
        <v>4.2655457130423766</v>
      </c>
      <c r="J117" s="720">
        <v>4.2655457130423766</v>
      </c>
      <c r="K117" s="720">
        <v>46</v>
      </c>
      <c r="L117" s="566">
        <v>410</v>
      </c>
      <c r="M117" s="501">
        <v>0.25732313665072937</v>
      </c>
      <c r="N117" s="720">
        <v>0.25732313665072937</v>
      </c>
      <c r="O117" s="720">
        <v>2.7749941231999999</v>
      </c>
      <c r="P117" s="461">
        <v>24.733643272000002</v>
      </c>
      <c r="Q117" s="481"/>
    </row>
    <row r="118" spans="1:17" ht="11.25" customHeight="1">
      <c r="A118" s="3" t="s">
        <v>954</v>
      </c>
      <c r="B118" s="458" t="s">
        <v>467</v>
      </c>
      <c r="C118" s="458" t="s">
        <v>467</v>
      </c>
      <c r="D118" s="802">
        <v>592</v>
      </c>
      <c r="E118" s="900">
        <v>592</v>
      </c>
      <c r="F118" s="900">
        <v>2.4999999999999999E-8</v>
      </c>
      <c r="G118" s="901">
        <v>98.272155175000009</v>
      </c>
      <c r="H118" s="566">
        <v>51.128002650314478</v>
      </c>
      <c r="I118" s="501">
        <v>1</v>
      </c>
      <c r="J118" s="720">
        <v>1</v>
      </c>
      <c r="K118" s="720">
        <v>7.9</v>
      </c>
      <c r="L118" s="566">
        <v>13</v>
      </c>
      <c r="M118" s="501">
        <v>9.8272155175000014E-2</v>
      </c>
      <c r="N118" s="720">
        <v>9.8272155175000014E-2</v>
      </c>
      <c r="O118" s="720">
        <v>0.77635002588250013</v>
      </c>
      <c r="P118" s="461">
        <v>1.2775380172750002</v>
      </c>
      <c r="Q118" s="481"/>
    </row>
    <row r="119" spans="1:17" ht="11.25" customHeight="1">
      <c r="A119" s="3" t="s">
        <v>954</v>
      </c>
      <c r="B119" s="462" t="s">
        <v>111</v>
      </c>
      <c r="C119" s="462" t="s">
        <v>111</v>
      </c>
      <c r="D119" s="802">
        <v>647.9</v>
      </c>
      <c r="E119" s="900">
        <v>647.9</v>
      </c>
      <c r="F119" s="900">
        <v>1.3000000000000001E-9</v>
      </c>
      <c r="G119" s="901">
        <v>107.55140806910001</v>
      </c>
      <c r="H119" s="566">
        <v>171.4582004395736</v>
      </c>
      <c r="I119" s="501">
        <v>17.332516072630696</v>
      </c>
      <c r="J119" s="720">
        <v>17.332516072630696</v>
      </c>
      <c r="K119" s="720">
        <v>21500</v>
      </c>
      <c r="L119" s="566">
        <v>21500</v>
      </c>
      <c r="M119" s="501">
        <v>1.8641365089917386</v>
      </c>
      <c r="N119" s="720">
        <v>1.8641365089917386</v>
      </c>
      <c r="O119" s="720">
        <v>2312.3552734856503</v>
      </c>
      <c r="P119" s="461">
        <v>2312.3552734856503</v>
      </c>
      <c r="Q119" s="481"/>
    </row>
    <row r="120" spans="1:17" ht="11.25" customHeight="1">
      <c r="A120" s="3" t="s">
        <v>954</v>
      </c>
      <c r="B120" s="458" t="s">
        <v>231</v>
      </c>
      <c r="C120" s="458" t="s">
        <v>231</v>
      </c>
      <c r="D120" s="802" t="s">
        <v>954</v>
      </c>
      <c r="E120" s="900" t="s">
        <v>954</v>
      </c>
      <c r="F120" s="900" t="s">
        <v>954</v>
      </c>
      <c r="G120" s="901" t="s">
        <v>954</v>
      </c>
      <c r="H120" s="566" t="s">
        <v>954</v>
      </c>
      <c r="I120" s="501">
        <v>15</v>
      </c>
      <c r="J120" s="720">
        <v>15</v>
      </c>
      <c r="K120" s="720">
        <v>600</v>
      </c>
      <c r="L120" s="566">
        <v>5000</v>
      </c>
      <c r="M120" s="501">
        <v>7.0000000000000001E-3</v>
      </c>
      <c r="N120" s="460">
        <v>7.0000000000000001E-3</v>
      </c>
      <c r="O120" s="720">
        <v>1.2</v>
      </c>
      <c r="P120" s="461">
        <v>1.2</v>
      </c>
      <c r="Q120" s="481"/>
    </row>
    <row r="121" spans="1:17" ht="11.25" customHeight="1">
      <c r="A121" s="3" t="s">
        <v>1428</v>
      </c>
      <c r="B121" s="458" t="s">
        <v>468</v>
      </c>
      <c r="C121" s="458" t="s">
        <v>971</v>
      </c>
      <c r="D121" s="802">
        <v>14000</v>
      </c>
      <c r="E121" s="900">
        <v>14000</v>
      </c>
      <c r="F121" s="900">
        <v>3.93E-5</v>
      </c>
      <c r="G121" s="901">
        <v>2324.2439350999998</v>
      </c>
      <c r="H121" s="566">
        <v>68.625848705509426</v>
      </c>
      <c r="I121" s="501">
        <v>2.2999999999999998</v>
      </c>
      <c r="J121" s="720">
        <v>250.08516556490937</v>
      </c>
      <c r="K121" s="720">
        <v>2.2999999999999998</v>
      </c>
      <c r="L121" s="566">
        <v>300</v>
      </c>
      <c r="M121" s="501">
        <v>68.625848705509426</v>
      </c>
      <c r="N121" s="720">
        <v>581.25892932271995</v>
      </c>
      <c r="O121" s="720">
        <v>68.625848705509426</v>
      </c>
      <c r="P121" s="461">
        <v>697.27318052999988</v>
      </c>
      <c r="Q121" s="481"/>
    </row>
    <row r="122" spans="1:17" ht="11.25" customHeight="1">
      <c r="A122" s="3" t="s">
        <v>954</v>
      </c>
      <c r="B122" s="458" t="s">
        <v>469</v>
      </c>
      <c r="C122" s="458" t="s">
        <v>469</v>
      </c>
      <c r="D122" s="802">
        <v>187.2</v>
      </c>
      <c r="E122" s="900">
        <v>187.2</v>
      </c>
      <c r="F122" s="900">
        <v>3.3000000000000002E-7</v>
      </c>
      <c r="G122" s="901">
        <v>31.077248309999998</v>
      </c>
      <c r="H122" s="566">
        <v>101281.17944603773</v>
      </c>
      <c r="I122" s="501">
        <v>58</v>
      </c>
      <c r="J122" s="720">
        <v>300</v>
      </c>
      <c r="K122" s="720">
        <v>58</v>
      </c>
      <c r="L122" s="566">
        <v>300</v>
      </c>
      <c r="M122" s="501">
        <v>1.80248040198</v>
      </c>
      <c r="N122" s="720">
        <v>9.323174492999998</v>
      </c>
      <c r="O122" s="720">
        <v>1.80248040198</v>
      </c>
      <c r="P122" s="461">
        <v>9.323174492999998</v>
      </c>
      <c r="Q122" s="481"/>
    </row>
    <row r="123" spans="1:17" ht="11.25" customHeight="1">
      <c r="A123" s="3" t="s">
        <v>1428</v>
      </c>
      <c r="B123" s="458" t="s">
        <v>365</v>
      </c>
      <c r="C123" s="458" t="s">
        <v>755</v>
      </c>
      <c r="D123" s="802">
        <v>130500</v>
      </c>
      <c r="E123" s="900">
        <v>130500</v>
      </c>
      <c r="F123" s="900">
        <v>2.7999999999999998E-4</v>
      </c>
      <c r="G123" s="901">
        <v>21664.737959999999</v>
      </c>
      <c r="H123" s="566">
        <v>33.673397683018869</v>
      </c>
      <c r="I123" s="501">
        <v>1.4E-2</v>
      </c>
      <c r="J123" s="720">
        <v>0.5</v>
      </c>
      <c r="K123" s="720">
        <v>1.4E-2</v>
      </c>
      <c r="L123" s="566">
        <v>2</v>
      </c>
      <c r="M123" s="501">
        <v>33.673397683018869</v>
      </c>
      <c r="N123" s="720">
        <v>33.673397683018869</v>
      </c>
      <c r="O123" s="720">
        <v>33.673397683018869</v>
      </c>
      <c r="P123" s="461">
        <v>43.32947592</v>
      </c>
      <c r="Q123" s="481"/>
    </row>
    <row r="124" spans="1:17" ht="11.25" customHeight="1">
      <c r="A124" s="3" t="s">
        <v>954</v>
      </c>
      <c r="B124" s="458" t="s">
        <v>112</v>
      </c>
      <c r="C124" s="458" t="s">
        <v>112</v>
      </c>
      <c r="D124" s="802">
        <v>1556</v>
      </c>
      <c r="E124" s="900">
        <v>1556</v>
      </c>
      <c r="F124" s="900">
        <v>1.6999999999999999E-9</v>
      </c>
      <c r="G124" s="901">
        <v>258.2960105519</v>
      </c>
      <c r="H124" s="566">
        <v>1037.9600014576731</v>
      </c>
      <c r="I124" s="501">
        <v>95</v>
      </c>
      <c r="J124" s="720">
        <v>425</v>
      </c>
      <c r="K124" s="720">
        <v>95</v>
      </c>
      <c r="L124" s="566">
        <v>425</v>
      </c>
      <c r="M124" s="501">
        <v>24.538121002430501</v>
      </c>
      <c r="N124" s="720">
        <v>109.7758044845575</v>
      </c>
      <c r="O124" s="720">
        <v>24.538121002430501</v>
      </c>
      <c r="P124" s="461">
        <v>109.7758044845575</v>
      </c>
      <c r="Q124" s="481"/>
    </row>
    <row r="125" spans="1:17" ht="11.25" customHeight="1">
      <c r="A125" s="3" t="s">
        <v>1428</v>
      </c>
      <c r="B125" s="458" t="s">
        <v>470</v>
      </c>
      <c r="C125" s="458" t="s">
        <v>929</v>
      </c>
      <c r="D125" s="802">
        <v>54340</v>
      </c>
      <c r="E125" s="900">
        <v>54340</v>
      </c>
      <c r="F125" s="900">
        <v>1.2E-5</v>
      </c>
      <c r="G125" s="901">
        <v>9020.5144840000012</v>
      </c>
      <c r="H125" s="566">
        <v>44.028912522735858</v>
      </c>
      <c r="I125" s="501">
        <v>4.5999999999999996</v>
      </c>
      <c r="J125" s="720">
        <v>67.5</v>
      </c>
      <c r="K125" s="720">
        <v>4.5999999999999996</v>
      </c>
      <c r="L125" s="566">
        <v>67.5</v>
      </c>
      <c r="M125" s="501">
        <v>44.028912522735858</v>
      </c>
      <c r="N125" s="720">
        <v>608.88472767000007</v>
      </c>
      <c r="O125" s="720">
        <v>44.028912522735858</v>
      </c>
      <c r="P125" s="461">
        <v>608.88472767000007</v>
      </c>
      <c r="Q125" s="481"/>
    </row>
    <row r="126" spans="1:17" ht="11.25" customHeight="1">
      <c r="A126" s="3" t="s">
        <v>954</v>
      </c>
      <c r="B126" s="458" t="s">
        <v>471</v>
      </c>
      <c r="C126" s="458" t="s">
        <v>471</v>
      </c>
      <c r="D126" s="802" t="s">
        <v>954</v>
      </c>
      <c r="E126" s="900" t="s">
        <v>954</v>
      </c>
      <c r="F126" s="900" t="s">
        <v>954</v>
      </c>
      <c r="G126" s="901" t="s">
        <v>954</v>
      </c>
      <c r="H126" s="566" t="s">
        <v>954</v>
      </c>
      <c r="I126" s="501">
        <v>5</v>
      </c>
      <c r="J126" s="720">
        <v>20</v>
      </c>
      <c r="K126" s="720">
        <v>5</v>
      </c>
      <c r="L126" s="566">
        <v>20</v>
      </c>
      <c r="M126" s="501" t="s">
        <v>1408</v>
      </c>
      <c r="N126" s="720" t="s">
        <v>1408</v>
      </c>
      <c r="O126" s="720" t="s">
        <v>1408</v>
      </c>
      <c r="P126" s="461" t="s">
        <v>1408</v>
      </c>
      <c r="Q126" s="481"/>
    </row>
    <row r="127" spans="1:17" ht="11.25" customHeight="1">
      <c r="A127" s="3" t="s">
        <v>954</v>
      </c>
      <c r="B127" s="458" t="s">
        <v>813</v>
      </c>
      <c r="C127" s="458" t="s">
        <v>813</v>
      </c>
      <c r="D127" s="802" t="s">
        <v>954</v>
      </c>
      <c r="E127" s="900" t="s">
        <v>954</v>
      </c>
      <c r="F127" s="900" t="s">
        <v>954</v>
      </c>
      <c r="G127" s="901" t="s">
        <v>954</v>
      </c>
      <c r="H127" s="566" t="s">
        <v>954</v>
      </c>
      <c r="I127" s="501">
        <v>0.1</v>
      </c>
      <c r="J127" s="720">
        <v>1</v>
      </c>
      <c r="K127" s="720">
        <v>0.1</v>
      </c>
      <c r="L127" s="566">
        <v>1</v>
      </c>
      <c r="M127" s="501" t="s">
        <v>1408</v>
      </c>
      <c r="N127" s="720" t="s">
        <v>1408</v>
      </c>
      <c r="O127" s="720" t="s">
        <v>1408</v>
      </c>
      <c r="P127" s="461" t="s">
        <v>1408</v>
      </c>
      <c r="Q127" s="481"/>
    </row>
    <row r="128" spans="1:17" ht="11.25" customHeight="1">
      <c r="A128" s="3" t="s">
        <v>954</v>
      </c>
      <c r="B128" s="458" t="s">
        <v>113</v>
      </c>
      <c r="C128" s="458" t="s">
        <v>113</v>
      </c>
      <c r="D128" s="802">
        <v>146.5</v>
      </c>
      <c r="E128" s="900">
        <v>146.5</v>
      </c>
      <c r="F128" s="900">
        <v>9.4000000000000006E-10</v>
      </c>
      <c r="G128" s="901">
        <v>24.319005834580004</v>
      </c>
      <c r="H128" s="566">
        <v>6.069800045774719</v>
      </c>
      <c r="I128" s="501">
        <v>4</v>
      </c>
      <c r="J128" s="720">
        <v>4</v>
      </c>
      <c r="K128" s="720">
        <v>9</v>
      </c>
      <c r="L128" s="566">
        <v>80</v>
      </c>
      <c r="M128" s="501">
        <v>9.7276023338320014E-2</v>
      </c>
      <c r="N128" s="720">
        <v>9.7276023338320014E-2</v>
      </c>
      <c r="O128" s="720">
        <v>0.21887105251122002</v>
      </c>
      <c r="P128" s="461">
        <v>1.9455204667664003</v>
      </c>
      <c r="Q128" s="481"/>
    </row>
    <row r="129" spans="1:17" ht="11.25" customHeight="1">
      <c r="A129" s="3" t="s">
        <v>954</v>
      </c>
      <c r="B129" s="458" t="s">
        <v>472</v>
      </c>
      <c r="C129" s="458" t="s">
        <v>472</v>
      </c>
      <c r="D129" s="802">
        <v>446.1</v>
      </c>
      <c r="E129" s="900">
        <v>446.1</v>
      </c>
      <c r="F129" s="900">
        <v>2.8E-3</v>
      </c>
      <c r="G129" s="901">
        <v>91.432200000000009</v>
      </c>
      <c r="H129" s="566">
        <v>867.20140880503141</v>
      </c>
      <c r="I129" s="501">
        <v>10</v>
      </c>
      <c r="J129" s="720">
        <v>10</v>
      </c>
      <c r="K129" s="720">
        <v>32</v>
      </c>
      <c r="L129" s="566">
        <v>110</v>
      </c>
      <c r="M129" s="501">
        <v>0.91432200000000019</v>
      </c>
      <c r="N129" s="720">
        <v>0.91432200000000019</v>
      </c>
      <c r="O129" s="720">
        <v>2.9258304000000002</v>
      </c>
      <c r="P129" s="461">
        <v>10.057542000000002</v>
      </c>
      <c r="Q129" s="481"/>
    </row>
    <row r="130" spans="1:17" ht="11.25" customHeight="1">
      <c r="A130" s="3" t="s">
        <v>954</v>
      </c>
      <c r="B130" s="458" t="s">
        <v>114</v>
      </c>
      <c r="C130" s="458" t="s">
        <v>114</v>
      </c>
      <c r="D130" s="802">
        <v>50.1</v>
      </c>
      <c r="E130" s="900">
        <v>50.1</v>
      </c>
      <c r="F130" s="900">
        <v>1.2E-10</v>
      </c>
      <c r="G130" s="901">
        <v>8.3166007448400006</v>
      </c>
      <c r="H130" s="566">
        <v>284.42600065860319</v>
      </c>
      <c r="I130" s="501">
        <v>251.31929956026045</v>
      </c>
      <c r="J130" s="720">
        <v>251.31929956026045</v>
      </c>
      <c r="K130" s="720">
        <v>251.31929956026045</v>
      </c>
      <c r="L130" s="566">
        <v>251.31929956026045</v>
      </c>
      <c r="M130" s="501">
        <v>2.0901222739155294</v>
      </c>
      <c r="N130" s="720">
        <v>2.0901222739155294</v>
      </c>
      <c r="O130" s="720">
        <v>2.0901222739155294</v>
      </c>
      <c r="P130" s="461">
        <v>2.0901222739155294</v>
      </c>
      <c r="Q130" s="481"/>
    </row>
    <row r="131" spans="1:17" ht="11.25" customHeight="1">
      <c r="A131" s="3" t="s">
        <v>954</v>
      </c>
      <c r="B131" s="458" t="s">
        <v>19</v>
      </c>
      <c r="C131" s="458" t="s">
        <v>19</v>
      </c>
      <c r="D131" s="802">
        <v>2.1</v>
      </c>
      <c r="E131" s="900">
        <v>2.1</v>
      </c>
      <c r="F131" s="900">
        <v>9.0999999999999993E-6</v>
      </c>
      <c r="G131" s="901">
        <v>0.40508370000000005</v>
      </c>
      <c r="H131" s="566">
        <v>112670.04402515724</v>
      </c>
      <c r="I131" s="501">
        <v>59.526771727540208</v>
      </c>
      <c r="J131" s="720">
        <v>59.526771727540208</v>
      </c>
      <c r="K131" s="720">
        <v>18000</v>
      </c>
      <c r="L131" s="566">
        <v>50000</v>
      </c>
      <c r="M131" s="501">
        <v>2.4113324940447382E-2</v>
      </c>
      <c r="N131" s="720">
        <v>2.4113324940447382E-2</v>
      </c>
      <c r="O131" s="720">
        <v>7.2915066000000008</v>
      </c>
      <c r="P131" s="461">
        <v>20.254185000000003</v>
      </c>
      <c r="Q131" s="481"/>
    </row>
    <row r="132" spans="1:17" ht="11.25" customHeight="1">
      <c r="A132" s="3" t="s">
        <v>954</v>
      </c>
      <c r="B132" s="458" t="s">
        <v>473</v>
      </c>
      <c r="C132" s="458" t="s">
        <v>473</v>
      </c>
      <c r="D132" s="802">
        <v>86.03</v>
      </c>
      <c r="E132" s="900">
        <v>86.03</v>
      </c>
      <c r="F132" s="900">
        <v>2.5000000000000001E-3</v>
      </c>
      <c r="G132" s="901">
        <v>29.798480000000001</v>
      </c>
      <c r="H132" s="566">
        <v>679.56857484276736</v>
      </c>
      <c r="I132" s="501">
        <v>0.57369738025483408</v>
      </c>
      <c r="J132" s="720">
        <v>0.57369738025483408</v>
      </c>
      <c r="K132" s="720">
        <v>10.8</v>
      </c>
      <c r="L132" s="566">
        <v>770</v>
      </c>
      <c r="M132" s="501">
        <v>1.7095309911576071E-2</v>
      </c>
      <c r="N132" s="720">
        <v>1.7095309911576071E-2</v>
      </c>
      <c r="O132" s="720">
        <v>0.32182358400000005</v>
      </c>
      <c r="P132" s="461">
        <v>22.944829600000002</v>
      </c>
      <c r="Q132" s="481"/>
    </row>
    <row r="133" spans="1:17" ht="11.25" customHeight="1">
      <c r="A133" s="3" t="s">
        <v>954</v>
      </c>
      <c r="B133" s="458" t="s">
        <v>474</v>
      </c>
      <c r="C133" s="458" t="s">
        <v>474</v>
      </c>
      <c r="D133" s="802">
        <v>94.94</v>
      </c>
      <c r="E133" s="900">
        <v>94.94</v>
      </c>
      <c r="F133" s="900">
        <v>3.6999999999999999E-4</v>
      </c>
      <c r="G133" s="901">
        <v>18.056629999999998</v>
      </c>
      <c r="H133" s="566">
        <v>1903.1173320754715</v>
      </c>
      <c r="I133" s="501">
        <v>7.5738899992116304E-2</v>
      </c>
      <c r="J133" s="720">
        <v>7.5738899992116304E-2</v>
      </c>
      <c r="K133" s="720">
        <v>200</v>
      </c>
      <c r="L133" s="566">
        <v>240.39246728311088</v>
      </c>
      <c r="M133" s="501">
        <v>1.3675892937646469E-3</v>
      </c>
      <c r="N133" s="720">
        <v>1.3675892937646469E-3</v>
      </c>
      <c r="O133" s="720">
        <v>3.6113259999999996</v>
      </c>
      <c r="P133" s="461">
        <v>4.3406778365182381</v>
      </c>
      <c r="Q133" s="481"/>
    </row>
    <row r="134" spans="1:17" ht="11.25" customHeight="1">
      <c r="A134" s="3" t="s">
        <v>954</v>
      </c>
      <c r="B134" s="458" t="s">
        <v>475</v>
      </c>
      <c r="C134" s="458" t="s">
        <v>475</v>
      </c>
      <c r="D134" s="802">
        <v>94.94</v>
      </c>
      <c r="E134" s="900">
        <v>94.94</v>
      </c>
      <c r="F134" s="900">
        <v>1.7999999999999999E-2</v>
      </c>
      <c r="G134" s="901">
        <v>127.48603999999999</v>
      </c>
      <c r="H134" s="566">
        <v>166.02402867924528</v>
      </c>
      <c r="I134" s="501">
        <v>5</v>
      </c>
      <c r="J134" s="720">
        <v>5</v>
      </c>
      <c r="K134" s="720">
        <v>53</v>
      </c>
      <c r="L134" s="566">
        <v>194.19961168935555</v>
      </c>
      <c r="M134" s="501">
        <v>0.63743019999999995</v>
      </c>
      <c r="N134" s="720">
        <v>0.63743019999999995</v>
      </c>
      <c r="O134" s="720">
        <v>6.7567601199999991</v>
      </c>
      <c r="P134" s="461">
        <v>24.757739463813646</v>
      </c>
      <c r="Q134" s="481"/>
    </row>
    <row r="135" spans="1:17" ht="11.25" customHeight="1">
      <c r="A135" s="3" t="s">
        <v>954</v>
      </c>
      <c r="B135" s="458" t="s">
        <v>115</v>
      </c>
      <c r="C135" s="458" t="s">
        <v>115</v>
      </c>
      <c r="D135" s="802">
        <v>280</v>
      </c>
      <c r="E135" s="900">
        <v>280</v>
      </c>
      <c r="F135" s="900">
        <v>8.8000000000000004E-6</v>
      </c>
      <c r="G135" s="901">
        <v>46.534621600000001</v>
      </c>
      <c r="H135" s="566">
        <v>40.941567471698114</v>
      </c>
      <c r="I135" s="501">
        <v>1.2</v>
      </c>
      <c r="J135" s="720">
        <v>11</v>
      </c>
      <c r="K135" s="720">
        <v>1.2</v>
      </c>
      <c r="L135" s="566">
        <v>11</v>
      </c>
      <c r="M135" s="501">
        <v>5.5841545920000006E-2</v>
      </c>
      <c r="N135" s="720">
        <v>0.51188083760000003</v>
      </c>
      <c r="O135" s="720">
        <v>5.5841545920000006E-2</v>
      </c>
      <c r="P135" s="461">
        <v>0.51188083760000003</v>
      </c>
      <c r="Q135" s="481"/>
    </row>
    <row r="136" spans="1:17" ht="11.25" customHeight="1">
      <c r="A136" s="3" t="s">
        <v>954</v>
      </c>
      <c r="B136" s="462" t="s">
        <v>116</v>
      </c>
      <c r="C136" s="462" t="s">
        <v>116</v>
      </c>
      <c r="D136" s="802">
        <v>531.6</v>
      </c>
      <c r="E136" s="900">
        <v>531.6</v>
      </c>
      <c r="F136" s="900">
        <v>8.6999999999999999E-10</v>
      </c>
      <c r="G136" s="901">
        <v>88.245605400090014</v>
      </c>
      <c r="H136" s="566">
        <v>16.448000033128931</v>
      </c>
      <c r="I136" s="501">
        <v>220</v>
      </c>
      <c r="J136" s="720">
        <v>1001.1634345604283</v>
      </c>
      <c r="K136" s="720">
        <v>220</v>
      </c>
      <c r="L136" s="566">
        <v>1200</v>
      </c>
      <c r="M136" s="501">
        <v>19.414033188019804</v>
      </c>
      <c r="N136" s="720">
        <v>88.348273387218399</v>
      </c>
      <c r="O136" s="720">
        <v>19.414033188019804</v>
      </c>
      <c r="P136" s="461">
        <v>105.89472648010802</v>
      </c>
      <c r="Q136" s="481"/>
    </row>
    <row r="137" spans="1:17" ht="11.25" customHeight="1">
      <c r="A137" s="3" t="s">
        <v>954</v>
      </c>
      <c r="B137" s="458" t="s">
        <v>476</v>
      </c>
      <c r="C137" s="458" t="s">
        <v>476</v>
      </c>
      <c r="D137" s="802" t="s">
        <v>954</v>
      </c>
      <c r="E137" s="900" t="s">
        <v>954</v>
      </c>
      <c r="F137" s="900" t="s">
        <v>954</v>
      </c>
      <c r="G137" s="901" t="s">
        <v>954</v>
      </c>
      <c r="H137" s="566" t="s">
        <v>954</v>
      </c>
      <c r="I137" s="501">
        <v>2</v>
      </c>
      <c r="J137" s="720">
        <v>2</v>
      </c>
      <c r="K137" s="720">
        <v>6</v>
      </c>
      <c r="L137" s="566">
        <v>470</v>
      </c>
      <c r="M137" s="501" t="s">
        <v>1408</v>
      </c>
      <c r="N137" s="720" t="s">
        <v>1408</v>
      </c>
      <c r="O137" s="720" t="s">
        <v>1408</v>
      </c>
      <c r="P137" s="461" t="s">
        <v>1408</v>
      </c>
      <c r="Q137" s="481"/>
    </row>
    <row r="138" spans="1:17" ht="11.25" customHeight="1">
      <c r="A138" s="3" t="s">
        <v>954</v>
      </c>
      <c r="B138" s="458" t="s">
        <v>366</v>
      </c>
      <c r="C138" s="458" t="s">
        <v>366</v>
      </c>
      <c r="D138" s="802">
        <v>233.9</v>
      </c>
      <c r="E138" s="900">
        <v>233.9</v>
      </c>
      <c r="F138" s="900">
        <v>6.6E-3</v>
      </c>
      <c r="G138" s="901">
        <v>79.793599999999998</v>
      </c>
      <c r="H138" s="566">
        <v>817.67394716981141</v>
      </c>
      <c r="I138" s="501">
        <v>9.8000000000000007</v>
      </c>
      <c r="J138" s="720">
        <v>40</v>
      </c>
      <c r="K138" s="720">
        <v>9.8000000000000007</v>
      </c>
      <c r="L138" s="566">
        <v>400</v>
      </c>
      <c r="M138" s="501">
        <v>0.78197728000000011</v>
      </c>
      <c r="N138" s="720">
        <v>3.1917439999999999</v>
      </c>
      <c r="O138" s="720">
        <v>0.78197728000000011</v>
      </c>
      <c r="P138" s="461">
        <v>31.917439999999999</v>
      </c>
      <c r="Q138" s="481"/>
    </row>
    <row r="139" spans="1:17" ht="11.25" customHeight="1">
      <c r="A139" s="3" t="s">
        <v>1428</v>
      </c>
      <c r="B139" s="458" t="s">
        <v>20</v>
      </c>
      <c r="C139" s="458" t="s">
        <v>970</v>
      </c>
      <c r="D139" s="802">
        <v>77200</v>
      </c>
      <c r="E139" s="900">
        <v>77200</v>
      </c>
      <c r="F139" s="900">
        <v>6.0000000000000002E-6</v>
      </c>
      <c r="G139" s="901">
        <v>12815.237242000001</v>
      </c>
      <c r="H139" s="566">
        <v>254.81502602987422</v>
      </c>
      <c r="I139" s="501">
        <v>2.0000000000000001E-4</v>
      </c>
      <c r="J139" s="720">
        <v>0.21</v>
      </c>
      <c r="K139" s="720">
        <v>2.0000000000000001E-4</v>
      </c>
      <c r="L139" s="566">
        <v>0.21</v>
      </c>
      <c r="M139" s="501">
        <v>254.81502602987422</v>
      </c>
      <c r="N139" s="720">
        <v>254.81502602987422</v>
      </c>
      <c r="O139" s="720">
        <v>254.81502602987422</v>
      </c>
      <c r="P139" s="461">
        <v>254.81502602987422</v>
      </c>
      <c r="Q139" s="481"/>
    </row>
    <row r="140" spans="1:17" ht="11.25" customHeight="1">
      <c r="A140" s="3" t="s">
        <v>954</v>
      </c>
      <c r="B140" s="458" t="s">
        <v>57</v>
      </c>
      <c r="C140" s="458" t="s">
        <v>57</v>
      </c>
      <c r="D140" s="802">
        <v>1778</v>
      </c>
      <c r="E140" s="900">
        <v>1778</v>
      </c>
      <c r="F140" s="900">
        <v>0.33</v>
      </c>
      <c r="G140" s="901">
        <v>2343.4580000000001</v>
      </c>
      <c r="H140" s="566">
        <v>2009.9075471698116</v>
      </c>
      <c r="I140" s="501">
        <v>73.986001486842099</v>
      </c>
      <c r="J140" s="720">
        <v>73.986001486842099</v>
      </c>
      <c r="K140" s="720">
        <v>500</v>
      </c>
      <c r="L140" s="566">
        <v>5000</v>
      </c>
      <c r="M140" s="501">
        <v>173.383087072352</v>
      </c>
      <c r="N140" s="720">
        <v>173.383087072352</v>
      </c>
      <c r="O140" s="720">
        <v>1171.729</v>
      </c>
      <c r="P140" s="461">
        <v>5000</v>
      </c>
      <c r="Q140" s="481"/>
    </row>
    <row r="141" spans="1:17" ht="11.25" customHeight="1">
      <c r="A141" s="3" t="s">
        <v>954</v>
      </c>
      <c r="B141" s="458" t="s">
        <v>56</v>
      </c>
      <c r="C141" s="458" t="s">
        <v>56</v>
      </c>
      <c r="D141" s="802">
        <v>1778</v>
      </c>
      <c r="E141" s="900">
        <v>1778</v>
      </c>
      <c r="F141" s="900">
        <v>0.33</v>
      </c>
      <c r="G141" s="901">
        <v>2343.4580000000001</v>
      </c>
      <c r="H141" s="566">
        <v>683.36856603773595</v>
      </c>
      <c r="I141" s="501">
        <v>91.174062952030283</v>
      </c>
      <c r="J141" s="720">
        <v>91.174062952030283</v>
      </c>
      <c r="K141" s="720">
        <v>640</v>
      </c>
      <c r="L141" s="566">
        <v>2500</v>
      </c>
      <c r="M141" s="501">
        <v>213.66258721743901</v>
      </c>
      <c r="N141" s="720">
        <v>213.66258721743901</v>
      </c>
      <c r="O141" s="720">
        <v>1499.8131200000003</v>
      </c>
      <c r="P141" s="461">
        <v>5000</v>
      </c>
      <c r="Q141" s="481"/>
    </row>
    <row r="142" spans="1:17" ht="11.25" customHeight="1">
      <c r="A142" s="3" t="s">
        <v>954</v>
      </c>
      <c r="B142" s="458" t="s">
        <v>777</v>
      </c>
      <c r="C142" s="458" t="s">
        <v>777</v>
      </c>
      <c r="D142" s="802" t="s">
        <v>954</v>
      </c>
      <c r="E142" s="900" t="s">
        <v>954</v>
      </c>
      <c r="F142" s="900" t="s">
        <v>954</v>
      </c>
      <c r="G142" s="901" t="s">
        <v>954</v>
      </c>
      <c r="H142" s="566" t="s">
        <v>954</v>
      </c>
      <c r="I142" s="501">
        <v>90.983894715319366</v>
      </c>
      <c r="J142" s="720">
        <v>90.983894715319366</v>
      </c>
      <c r="K142" s="720">
        <v>640</v>
      </c>
      <c r="L142" s="566">
        <v>2500</v>
      </c>
      <c r="M142" s="501">
        <v>1000</v>
      </c>
      <c r="N142" s="720">
        <v>1000</v>
      </c>
      <c r="O142" s="720">
        <v>1499.8131200000003</v>
      </c>
      <c r="P142" s="461">
        <v>5000</v>
      </c>
      <c r="Q142" s="481"/>
    </row>
    <row r="143" spans="1:17" ht="11.25" customHeight="1">
      <c r="A143" s="3" t="s">
        <v>954</v>
      </c>
      <c r="B143" s="458" t="s">
        <v>814</v>
      </c>
      <c r="C143" s="458" t="s">
        <v>814</v>
      </c>
      <c r="D143" s="802">
        <v>1356</v>
      </c>
      <c r="E143" s="900">
        <v>1356</v>
      </c>
      <c r="F143" s="900">
        <v>1.4E-3</v>
      </c>
      <c r="G143" s="901">
        <v>233.78579999999999</v>
      </c>
      <c r="H143" s="566">
        <v>404.10201383647802</v>
      </c>
      <c r="I143" s="501">
        <v>70</v>
      </c>
      <c r="J143" s="720">
        <v>70</v>
      </c>
      <c r="K143" s="720">
        <v>110</v>
      </c>
      <c r="L143" s="566">
        <v>420</v>
      </c>
      <c r="M143" s="501">
        <v>16.365006000000001</v>
      </c>
      <c r="N143" s="720">
        <v>16.365006000000001</v>
      </c>
      <c r="O143" s="720">
        <v>25.716438</v>
      </c>
      <c r="P143" s="461">
        <v>98.190035999999992</v>
      </c>
      <c r="Q143" s="481"/>
    </row>
    <row r="144" spans="1:17" ht="11.25" customHeight="1">
      <c r="A144" s="3" t="s">
        <v>954</v>
      </c>
      <c r="B144" s="458" t="s">
        <v>815</v>
      </c>
      <c r="C144" s="458" t="s">
        <v>815</v>
      </c>
      <c r="D144" s="802">
        <v>43.89</v>
      </c>
      <c r="E144" s="900">
        <v>43.89</v>
      </c>
      <c r="F144" s="900">
        <v>1.7000000000000001E-2</v>
      </c>
      <c r="G144" s="901">
        <v>112.80474000000001</v>
      </c>
      <c r="H144" s="566">
        <v>639.65388301886787</v>
      </c>
      <c r="I144" s="501">
        <v>11</v>
      </c>
      <c r="J144" s="720">
        <v>200</v>
      </c>
      <c r="K144" s="720">
        <v>11</v>
      </c>
      <c r="L144" s="566">
        <v>6000</v>
      </c>
      <c r="M144" s="501">
        <v>1.2408521400000003</v>
      </c>
      <c r="N144" s="720">
        <v>22.560948</v>
      </c>
      <c r="O144" s="720">
        <v>1.2408521400000003</v>
      </c>
      <c r="P144" s="461">
        <v>676.82844000000011</v>
      </c>
      <c r="Q144" s="481"/>
    </row>
    <row r="145" spans="1:17" ht="11.25" customHeight="1">
      <c r="A145" s="3" t="s">
        <v>954</v>
      </c>
      <c r="B145" s="458" t="s">
        <v>477</v>
      </c>
      <c r="C145" s="458" t="s">
        <v>477</v>
      </c>
      <c r="D145" s="802">
        <v>60.7</v>
      </c>
      <c r="E145" s="900">
        <v>60.7</v>
      </c>
      <c r="F145" s="900">
        <v>8.1999999999999998E-4</v>
      </c>
      <c r="G145" s="901">
        <v>15.165940000000003</v>
      </c>
      <c r="H145" s="566">
        <v>2160.2214339622642</v>
      </c>
      <c r="I145" s="501">
        <v>5</v>
      </c>
      <c r="J145" s="720">
        <v>5</v>
      </c>
      <c r="K145" s="720">
        <v>106.62958207144922</v>
      </c>
      <c r="L145" s="566">
        <v>106.62958207144922</v>
      </c>
      <c r="M145" s="501">
        <v>7.5829700000000014E-2</v>
      </c>
      <c r="N145" s="720">
        <v>7.5829700000000014E-2</v>
      </c>
      <c r="O145" s="720">
        <v>1.6171378439206749</v>
      </c>
      <c r="P145" s="461">
        <v>1.6171378439206749</v>
      </c>
      <c r="Q145" s="481"/>
    </row>
    <row r="146" spans="1:17" ht="11.25" customHeight="1">
      <c r="A146" s="3" t="s">
        <v>954</v>
      </c>
      <c r="B146" s="458" t="s">
        <v>478</v>
      </c>
      <c r="C146" s="458" t="s">
        <v>478</v>
      </c>
      <c r="D146" s="802">
        <v>60.7</v>
      </c>
      <c r="E146" s="900">
        <v>60.7</v>
      </c>
      <c r="F146" s="900">
        <v>9.9000000000000008E-3</v>
      </c>
      <c r="G146" s="901">
        <v>71.525500000000008</v>
      </c>
      <c r="H146" s="566">
        <v>691.10178616352209</v>
      </c>
      <c r="I146" s="501">
        <v>5</v>
      </c>
      <c r="J146" s="720">
        <v>5</v>
      </c>
      <c r="K146" s="720">
        <v>47</v>
      </c>
      <c r="L146" s="566">
        <v>208.89003096783017</v>
      </c>
      <c r="M146" s="501">
        <v>0.35762750000000004</v>
      </c>
      <c r="N146" s="720">
        <v>0.35762750000000004</v>
      </c>
      <c r="O146" s="720">
        <v>3.3616985000000006</v>
      </c>
      <c r="P146" s="461">
        <v>14.94096390998954</v>
      </c>
      <c r="Q146" s="481"/>
    </row>
    <row r="147" spans="1:17" ht="11.25" customHeight="1">
      <c r="A147" s="3" t="s">
        <v>954</v>
      </c>
      <c r="B147" s="458" t="s">
        <v>479</v>
      </c>
      <c r="C147" s="458" t="s">
        <v>479</v>
      </c>
      <c r="D147" s="802">
        <v>1597</v>
      </c>
      <c r="E147" s="900">
        <v>1597</v>
      </c>
      <c r="F147" s="900">
        <v>1.5999999999999999E-6</v>
      </c>
      <c r="G147" s="901">
        <v>265.11193120000001</v>
      </c>
      <c r="H147" s="566">
        <v>11618.414993207549</v>
      </c>
      <c r="I147" s="501">
        <v>1.9</v>
      </c>
      <c r="J147" s="720">
        <v>17</v>
      </c>
      <c r="K147" s="720">
        <v>1.9</v>
      </c>
      <c r="L147" s="566">
        <v>17</v>
      </c>
      <c r="M147" s="501">
        <v>0.50371266928000002</v>
      </c>
      <c r="N147" s="720">
        <v>4.5069028304000005</v>
      </c>
      <c r="O147" s="720">
        <v>0.50371266928000002</v>
      </c>
      <c r="P147" s="461">
        <v>4.5069028304000005</v>
      </c>
      <c r="Q147" s="481"/>
    </row>
    <row r="148" spans="1:17" ht="11.25" customHeight="1">
      <c r="A148" s="3" t="s">
        <v>954</v>
      </c>
      <c r="B148" s="458" t="s">
        <v>480</v>
      </c>
      <c r="C148" s="458" t="s">
        <v>480</v>
      </c>
      <c r="D148" s="802">
        <v>381</v>
      </c>
      <c r="E148" s="900">
        <v>381</v>
      </c>
      <c r="F148" s="900">
        <v>2.6000000000000001E-6</v>
      </c>
      <c r="G148" s="901">
        <v>63.262138200000003</v>
      </c>
      <c r="H148" s="566">
        <v>1908.816659119497</v>
      </c>
      <c r="I148" s="501">
        <v>4.111930278580993</v>
      </c>
      <c r="J148" s="720">
        <v>4.111930278580993</v>
      </c>
      <c r="K148" s="720">
        <v>4.9000000000000004</v>
      </c>
      <c r="L148" s="566">
        <v>39</v>
      </c>
      <c r="M148" s="501">
        <v>0.26012950155235531</v>
      </c>
      <c r="N148" s="720">
        <v>0.26012950155235531</v>
      </c>
      <c r="O148" s="720">
        <v>0.30998447718000005</v>
      </c>
      <c r="P148" s="461">
        <v>2.4672233898</v>
      </c>
      <c r="Q148" s="481"/>
    </row>
    <row r="149" spans="1:17" ht="11.25" customHeight="1">
      <c r="A149" s="3" t="s">
        <v>954</v>
      </c>
      <c r="B149" s="462" t="s">
        <v>117</v>
      </c>
      <c r="C149" s="462" t="s">
        <v>117</v>
      </c>
      <c r="D149" s="802">
        <v>107</v>
      </c>
      <c r="E149" s="900">
        <v>107</v>
      </c>
      <c r="F149" s="900">
        <v>8.7000000000000001E-9</v>
      </c>
      <c r="G149" s="901">
        <v>17.762054000900001</v>
      </c>
      <c r="H149" s="566">
        <v>206.27601841968553</v>
      </c>
      <c r="I149" s="501">
        <v>159.78212321874378</v>
      </c>
      <c r="J149" s="720">
        <v>159.78212321874378</v>
      </c>
      <c r="K149" s="720">
        <v>686</v>
      </c>
      <c r="L149" s="566">
        <v>686</v>
      </c>
      <c r="M149" s="501">
        <v>2.8380587009897851</v>
      </c>
      <c r="N149" s="720">
        <v>2.8380587009897851</v>
      </c>
      <c r="O149" s="720">
        <v>12.184769044617401</v>
      </c>
      <c r="P149" s="461">
        <v>12.184769044617401</v>
      </c>
      <c r="Q149" s="481"/>
    </row>
    <row r="150" spans="1:17" ht="11.25" customHeight="1">
      <c r="A150" s="3" t="s">
        <v>954</v>
      </c>
      <c r="B150" s="458" t="s">
        <v>118</v>
      </c>
      <c r="C150" s="458" t="s">
        <v>118</v>
      </c>
      <c r="D150" s="802">
        <v>175.3</v>
      </c>
      <c r="E150" s="900">
        <v>175.3</v>
      </c>
      <c r="F150" s="900">
        <v>9.1000000000000004E-9</v>
      </c>
      <c r="G150" s="901">
        <v>29.099856483700002</v>
      </c>
      <c r="H150" s="566">
        <v>81.777804973125782</v>
      </c>
      <c r="I150" s="501">
        <v>30</v>
      </c>
      <c r="J150" s="720">
        <v>50</v>
      </c>
      <c r="K150" s="720">
        <v>30</v>
      </c>
      <c r="L150" s="566">
        <v>270</v>
      </c>
      <c r="M150" s="501">
        <v>0.87299569451100001</v>
      </c>
      <c r="N150" s="720">
        <v>1.4549928241850001</v>
      </c>
      <c r="O150" s="720">
        <v>0.87299569451100001</v>
      </c>
      <c r="P150" s="461">
        <v>7.8569612505990012</v>
      </c>
      <c r="Q150" s="481"/>
    </row>
    <row r="151" spans="1:17" ht="11.25" customHeight="1">
      <c r="A151" s="3" t="s">
        <v>954</v>
      </c>
      <c r="B151" s="458" t="s">
        <v>119</v>
      </c>
      <c r="C151" s="458" t="s">
        <v>119</v>
      </c>
      <c r="D151" s="802">
        <v>115.8</v>
      </c>
      <c r="E151" s="900">
        <v>115.8</v>
      </c>
      <c r="F151" s="900">
        <v>3.4000000000000002E-4</v>
      </c>
      <c r="G151" s="901">
        <v>21.333179999999999</v>
      </c>
      <c r="H151" s="566">
        <v>1395.5380503144659</v>
      </c>
      <c r="I151" s="501">
        <v>0.6</v>
      </c>
      <c r="J151" s="720">
        <v>0.6</v>
      </c>
      <c r="K151" s="720">
        <v>14</v>
      </c>
      <c r="L151" s="566">
        <v>140</v>
      </c>
      <c r="M151" s="501">
        <v>1.2799907999999999E-2</v>
      </c>
      <c r="N151" s="720">
        <v>1.2799907999999999E-2</v>
      </c>
      <c r="O151" s="720">
        <v>0.29866451999999999</v>
      </c>
      <c r="P151" s="461">
        <v>2.9866451999999999</v>
      </c>
      <c r="Q151" s="481"/>
    </row>
    <row r="152" spans="1:17" ht="11.25" customHeight="1">
      <c r="A152" s="3" t="s">
        <v>954</v>
      </c>
      <c r="B152" s="458" t="s">
        <v>120</v>
      </c>
      <c r="C152" s="458" t="s">
        <v>120</v>
      </c>
      <c r="D152" s="802">
        <v>115.8</v>
      </c>
      <c r="E152" s="900">
        <v>115.8</v>
      </c>
      <c r="F152" s="900">
        <v>1.7999999999999999E-2</v>
      </c>
      <c r="G152" s="901">
        <v>130.94879999999998</v>
      </c>
      <c r="H152" s="566">
        <v>311.17425056603776</v>
      </c>
      <c r="I152" s="501">
        <v>3.3315808860737541</v>
      </c>
      <c r="J152" s="720">
        <v>3.3315808860737541</v>
      </c>
      <c r="K152" s="720">
        <v>3.3315808860737541</v>
      </c>
      <c r="L152" s="566">
        <v>3.3315808860737541</v>
      </c>
      <c r="M152" s="501">
        <v>0.43626651913429476</v>
      </c>
      <c r="N152" s="720">
        <v>0.43626651913429476</v>
      </c>
      <c r="O152" s="720">
        <v>0.43626651913429476</v>
      </c>
      <c r="P152" s="461">
        <v>0.43626651913429476</v>
      </c>
      <c r="Q152" s="481"/>
    </row>
    <row r="153" spans="1:17" ht="11.25" customHeight="1">
      <c r="A153" s="3" t="s">
        <v>1428</v>
      </c>
      <c r="B153" s="458" t="s">
        <v>602</v>
      </c>
      <c r="C153" s="458" t="s">
        <v>969</v>
      </c>
      <c r="D153" s="802">
        <v>16390</v>
      </c>
      <c r="E153" s="900">
        <v>16390</v>
      </c>
      <c r="F153" s="900">
        <v>1E-4</v>
      </c>
      <c r="G153" s="901">
        <v>2721.3607000000002</v>
      </c>
      <c r="H153" s="566">
        <v>17.719343116981133</v>
      </c>
      <c r="I153" s="501">
        <v>1.1399999999999999</v>
      </c>
      <c r="J153" s="720">
        <v>2.1542811625289486</v>
      </c>
      <c r="K153" s="720">
        <v>1.1399999999999999</v>
      </c>
      <c r="L153" s="566">
        <v>20.5</v>
      </c>
      <c r="M153" s="501">
        <v>17.719343116981133</v>
      </c>
      <c r="N153" s="720">
        <v>17.719343116981133</v>
      </c>
      <c r="O153" s="720">
        <v>17.719343116981133</v>
      </c>
      <c r="P153" s="461">
        <v>55.787894350000002</v>
      </c>
      <c r="Q153" s="481"/>
    </row>
    <row r="154" spans="1:17" ht="11.25" customHeight="1">
      <c r="A154" s="3" t="s">
        <v>954</v>
      </c>
      <c r="B154" s="462" t="s">
        <v>939</v>
      </c>
      <c r="C154" s="462" t="s">
        <v>939</v>
      </c>
      <c r="D154" s="802">
        <v>1683</v>
      </c>
      <c r="E154" s="900">
        <v>1683</v>
      </c>
      <c r="F154" s="900">
        <v>6.5000000000000003E-9</v>
      </c>
      <c r="G154" s="901">
        <v>279.37804034550004</v>
      </c>
      <c r="H154" s="566">
        <v>2835.0440142094722</v>
      </c>
      <c r="I154" s="501">
        <v>10</v>
      </c>
      <c r="J154" s="720">
        <v>27</v>
      </c>
      <c r="K154" s="720">
        <v>10</v>
      </c>
      <c r="L154" s="566">
        <v>27</v>
      </c>
      <c r="M154" s="501">
        <v>2.7937804034550004</v>
      </c>
      <c r="N154" s="720">
        <v>7.5432070893285008</v>
      </c>
      <c r="O154" s="720">
        <v>2.7937804034550004</v>
      </c>
      <c r="P154" s="461">
        <v>7.5432070893285008</v>
      </c>
      <c r="Q154" s="481"/>
    </row>
    <row r="155" spans="1:17" ht="11.25" customHeight="1">
      <c r="A155" s="3" t="s">
        <v>954</v>
      </c>
      <c r="B155" s="462" t="s">
        <v>603</v>
      </c>
      <c r="C155" s="462" t="s">
        <v>603</v>
      </c>
      <c r="D155" s="802">
        <v>4605</v>
      </c>
      <c r="E155" s="900">
        <v>4605</v>
      </c>
      <c r="F155" s="900">
        <v>2.7000000000000002E-9</v>
      </c>
      <c r="G155" s="901">
        <v>764.43001675890002</v>
      </c>
      <c r="H155" s="566">
        <v>2052.0200015409687</v>
      </c>
      <c r="I155" s="501">
        <v>39.469382156875795</v>
      </c>
      <c r="J155" s="720">
        <v>39.469382156875795</v>
      </c>
      <c r="K155" s="720">
        <v>39.469382156875795</v>
      </c>
      <c r="L155" s="566">
        <v>39.469382156875795</v>
      </c>
      <c r="M155" s="501">
        <v>30.171580463643995</v>
      </c>
      <c r="N155" s="720">
        <v>30.171580463643995</v>
      </c>
      <c r="O155" s="720">
        <v>30.171580463643995</v>
      </c>
      <c r="P155" s="461">
        <v>30.171580463643995</v>
      </c>
      <c r="Q155" s="481"/>
    </row>
    <row r="156" spans="1:17" ht="11.25" customHeight="1">
      <c r="A156" s="3" t="s">
        <v>954</v>
      </c>
      <c r="B156" s="462" t="s">
        <v>605</v>
      </c>
      <c r="C156" s="462" t="s">
        <v>605</v>
      </c>
      <c r="D156" s="802">
        <v>2812</v>
      </c>
      <c r="E156" s="900">
        <v>2812</v>
      </c>
      <c r="F156" s="900">
        <v>2.0999999999999999E-8</v>
      </c>
      <c r="G156" s="901">
        <v>466.79213034700001</v>
      </c>
      <c r="H156" s="566">
        <v>1951.7800185048743</v>
      </c>
      <c r="I156" s="501">
        <v>2.5352139902671289</v>
      </c>
      <c r="J156" s="720">
        <v>2.5352139902671289</v>
      </c>
      <c r="K156" s="720">
        <v>13</v>
      </c>
      <c r="L156" s="566">
        <v>210</v>
      </c>
      <c r="M156" s="501">
        <v>1.1834179394023117</v>
      </c>
      <c r="N156" s="720">
        <v>1.1834179394023117</v>
      </c>
      <c r="O156" s="720">
        <v>6.0682976945110001</v>
      </c>
      <c r="P156" s="461">
        <v>98.026347372870006</v>
      </c>
      <c r="Q156" s="481"/>
    </row>
    <row r="157" spans="1:17" ht="11.25" customHeight="1">
      <c r="A157" s="3" t="s">
        <v>954</v>
      </c>
      <c r="B157" s="458" t="s">
        <v>481</v>
      </c>
      <c r="C157" s="458" t="s">
        <v>481</v>
      </c>
      <c r="D157" s="802" t="s">
        <v>954</v>
      </c>
      <c r="E157" s="900" t="s">
        <v>954</v>
      </c>
      <c r="F157" s="900" t="s">
        <v>954</v>
      </c>
      <c r="G157" s="901" t="s">
        <v>954</v>
      </c>
      <c r="H157" s="566" t="s">
        <v>954</v>
      </c>
      <c r="I157" s="501">
        <v>27</v>
      </c>
      <c r="J157" s="720">
        <v>90</v>
      </c>
      <c r="K157" s="720">
        <v>27</v>
      </c>
      <c r="L157" s="566">
        <v>90</v>
      </c>
      <c r="M157" s="501" t="s">
        <v>1408</v>
      </c>
      <c r="N157" s="720" t="s">
        <v>1408</v>
      </c>
      <c r="O157" s="720" t="s">
        <v>1408</v>
      </c>
      <c r="P157" s="461" t="s">
        <v>1408</v>
      </c>
      <c r="Q157" s="481"/>
    </row>
    <row r="158" spans="1:17" ht="11.25" customHeight="1">
      <c r="A158" s="3" t="s">
        <v>954</v>
      </c>
      <c r="B158" s="458" t="s">
        <v>482</v>
      </c>
      <c r="C158" s="458" t="s">
        <v>482</v>
      </c>
      <c r="D158" s="802">
        <v>21.73</v>
      </c>
      <c r="E158" s="900">
        <v>21.73</v>
      </c>
      <c r="F158" s="900">
        <v>2.8000000000000001E-2</v>
      </c>
      <c r="G158" s="901">
        <v>177.40317999999999</v>
      </c>
      <c r="H158" s="566">
        <v>3859.8471446540889</v>
      </c>
      <c r="I158" s="501">
        <v>2</v>
      </c>
      <c r="J158" s="720">
        <v>2</v>
      </c>
      <c r="K158" s="720">
        <v>18.496958233562776</v>
      </c>
      <c r="L158" s="566">
        <v>18.496958233562776</v>
      </c>
      <c r="M158" s="501">
        <v>0.35480635999999999</v>
      </c>
      <c r="N158" s="720">
        <v>0.35480635999999999</v>
      </c>
      <c r="O158" s="720">
        <v>3.2814192109612192</v>
      </c>
      <c r="P158" s="461">
        <v>3.2814192109612192</v>
      </c>
      <c r="Q158" s="481"/>
    </row>
    <row r="159" spans="1:17" ht="11.25" customHeight="1">
      <c r="A159" s="3" t="s">
        <v>954</v>
      </c>
      <c r="B159" s="458" t="s">
        <v>483</v>
      </c>
      <c r="C159" s="458" t="s">
        <v>483</v>
      </c>
      <c r="D159" s="802">
        <v>382.9</v>
      </c>
      <c r="E159" s="900">
        <v>382.9</v>
      </c>
      <c r="F159" s="900">
        <v>6.6E-3</v>
      </c>
      <c r="G159" s="901">
        <v>104.52760000000001</v>
      </c>
      <c r="H159" s="566">
        <v>259.54240000000004</v>
      </c>
      <c r="I159" s="501">
        <v>13</v>
      </c>
      <c r="J159" s="720">
        <v>20</v>
      </c>
      <c r="K159" s="720">
        <v>13</v>
      </c>
      <c r="L159" s="566">
        <v>230</v>
      </c>
      <c r="M159" s="501">
        <v>1.3588587999999999</v>
      </c>
      <c r="N159" s="720">
        <v>2.0905520000000002</v>
      </c>
      <c r="O159" s="720">
        <v>1.3588587999999999</v>
      </c>
      <c r="P159" s="461">
        <v>24.041348000000003</v>
      </c>
      <c r="Q159" s="481"/>
    </row>
    <row r="160" spans="1:17" ht="11.25" customHeight="1" thickBot="1">
      <c r="A160" s="3" t="s">
        <v>954</v>
      </c>
      <c r="B160" s="516" t="s">
        <v>484</v>
      </c>
      <c r="C160" s="516" t="s">
        <v>484</v>
      </c>
      <c r="D160" s="902" t="s">
        <v>954</v>
      </c>
      <c r="E160" s="903" t="s">
        <v>954</v>
      </c>
      <c r="F160" s="903" t="s">
        <v>954</v>
      </c>
      <c r="G160" s="904" t="s">
        <v>954</v>
      </c>
      <c r="H160" s="576" t="s">
        <v>954</v>
      </c>
      <c r="I160" s="627">
        <v>22</v>
      </c>
      <c r="J160" s="722">
        <v>22</v>
      </c>
      <c r="K160" s="722">
        <v>22</v>
      </c>
      <c r="L160" s="576">
        <v>22</v>
      </c>
      <c r="M160" s="627" t="s">
        <v>1408</v>
      </c>
      <c r="N160" s="722" t="s">
        <v>1408</v>
      </c>
      <c r="O160" s="722" t="s">
        <v>1408</v>
      </c>
      <c r="P160" s="469" t="s">
        <v>1408</v>
      </c>
      <c r="Q160" s="481"/>
    </row>
    <row r="161" spans="3:16" ht="10.5" thickTop="1">
      <c r="C161" s="474" t="s">
        <v>488</v>
      </c>
      <c r="P161" s="905"/>
    </row>
    <row r="162" spans="3:16">
      <c r="C162" s="479" t="s">
        <v>148</v>
      </c>
      <c r="P162" s="905"/>
    </row>
    <row r="163" spans="3:16">
      <c r="C163" s="482" t="s">
        <v>377</v>
      </c>
      <c r="P163" s="905"/>
    </row>
    <row r="164" spans="3:16">
      <c r="C164" s="4" t="s">
        <v>82</v>
      </c>
      <c r="P164" s="905"/>
    </row>
    <row r="165" spans="3:16" ht="21.75" customHeight="1">
      <c r="C165" s="1386" t="s">
        <v>1400</v>
      </c>
      <c r="D165" s="1181"/>
      <c r="E165" s="1181"/>
      <c r="F165" s="1181"/>
      <c r="G165" s="1181"/>
      <c r="H165" s="1181"/>
      <c r="I165" s="1181"/>
      <c r="J165" s="1181"/>
      <c r="K165" s="1181"/>
      <c r="L165" s="1181"/>
      <c r="M165" s="1181"/>
      <c r="N165" s="1181"/>
      <c r="P165" s="905"/>
    </row>
    <row r="166" spans="3:16" s="2" customFormat="1" ht="12.75">
      <c r="C166" s="479" t="s">
        <v>1329</v>
      </c>
      <c r="H166" s="629"/>
      <c r="I166" s="629"/>
      <c r="J166" s="629"/>
      <c r="K166" s="629"/>
      <c r="L166" s="629"/>
      <c r="M166" s="629"/>
      <c r="N166" s="629"/>
      <c r="P166" s="764"/>
    </row>
    <row r="167" spans="3:16" ht="24.75" customHeight="1">
      <c r="C167" s="1386" t="s">
        <v>712</v>
      </c>
      <c r="D167" s="1181"/>
      <c r="E167" s="1181"/>
      <c r="F167" s="1181"/>
      <c r="G167" s="1181"/>
      <c r="H167" s="1181"/>
      <c r="I167" s="1181"/>
      <c r="J167" s="1181"/>
      <c r="K167" s="1181"/>
      <c r="L167" s="1181"/>
      <c r="M167" s="1181"/>
      <c r="N167" s="1181"/>
      <c r="O167" s="1181"/>
      <c r="P167" s="1387"/>
    </row>
    <row r="168" spans="3:16" s="2" customFormat="1" ht="24.95" customHeight="1">
      <c r="C168" s="1389" t="s">
        <v>1399</v>
      </c>
      <c r="D168" s="1181"/>
      <c r="E168" s="1181"/>
      <c r="F168" s="1181"/>
      <c r="G168" s="1181"/>
      <c r="H168" s="1181"/>
      <c r="I168" s="1181"/>
      <c r="J168" s="1181"/>
      <c r="K168" s="1181"/>
      <c r="L168" s="1181"/>
      <c r="M168" s="1181"/>
      <c r="N168" s="1181"/>
      <c r="O168" s="1181"/>
      <c r="P168" s="1387"/>
    </row>
    <row r="169" spans="3:16" s="2" customFormat="1" ht="12.75">
      <c r="C169" s="479" t="s">
        <v>988</v>
      </c>
      <c r="H169" s="629"/>
      <c r="I169" s="629"/>
      <c r="J169" s="629"/>
      <c r="K169" s="629"/>
      <c r="L169" s="629"/>
      <c r="M169" s="629"/>
      <c r="N169" s="629"/>
      <c r="P169" s="764"/>
    </row>
    <row r="170" spans="3:16" s="2" customFormat="1" ht="12.75">
      <c r="C170" s="479" t="s">
        <v>713</v>
      </c>
      <c r="H170" s="629"/>
      <c r="I170" s="629"/>
      <c r="J170" s="629"/>
      <c r="K170" s="629"/>
      <c r="L170" s="629"/>
      <c r="M170" s="629"/>
      <c r="N170" s="629"/>
      <c r="P170" s="764"/>
    </row>
    <row r="171" spans="3:16" s="2" customFormat="1" ht="12.75">
      <c r="C171" s="479" t="s">
        <v>79</v>
      </c>
      <c r="H171" s="629"/>
      <c r="I171" s="629"/>
      <c r="J171" s="629"/>
      <c r="K171" s="629"/>
      <c r="L171" s="629"/>
      <c r="M171" s="629"/>
      <c r="N171" s="629"/>
      <c r="P171" s="764"/>
    </row>
    <row r="172" spans="3:16" s="2" customFormat="1" ht="13.15" thickBot="1">
      <c r="C172" s="706" t="s">
        <v>512</v>
      </c>
      <c r="D172" s="633"/>
      <c r="E172" s="633"/>
      <c r="F172" s="633"/>
      <c r="G172" s="633"/>
      <c r="H172" s="634"/>
      <c r="I172" s="634"/>
      <c r="J172" s="634"/>
      <c r="K172" s="634"/>
      <c r="L172" s="634"/>
      <c r="M172" s="634"/>
      <c r="N172" s="634"/>
      <c r="O172" s="633"/>
      <c r="P172" s="906"/>
    </row>
    <row r="173" spans="3:16" s="2" customFormat="1" ht="13.15" thickTop="1">
      <c r="C173" s="417"/>
      <c r="H173" s="629"/>
      <c r="I173" s="629"/>
      <c r="J173" s="629"/>
      <c r="K173" s="629"/>
      <c r="L173" s="629"/>
      <c r="M173" s="629"/>
      <c r="N173" s="629"/>
    </row>
    <row r="174" spans="3:16" s="2" customFormat="1" ht="12.75">
      <c r="C174" s="417"/>
      <c r="H174" s="629"/>
      <c r="I174" s="629"/>
      <c r="J174" s="629"/>
      <c r="K174" s="629"/>
      <c r="L174" s="629"/>
      <c r="M174" s="629"/>
      <c r="N174" s="629"/>
    </row>
    <row r="175" spans="3:16" s="2" customFormat="1" ht="12.75">
      <c r="C175" s="417"/>
      <c r="H175" s="629"/>
      <c r="I175" s="629"/>
      <c r="J175" s="629"/>
      <c r="K175" s="629"/>
      <c r="L175" s="629"/>
      <c r="M175" s="629"/>
      <c r="N175" s="629"/>
    </row>
    <row r="176" spans="3:16" s="2" customFormat="1" ht="12.75">
      <c r="C176" s="417"/>
      <c r="H176" s="629"/>
      <c r="I176" s="629"/>
      <c r="J176" s="629"/>
      <c r="K176" s="629"/>
      <c r="L176" s="629"/>
      <c r="M176" s="629"/>
      <c r="N176" s="629"/>
    </row>
    <row r="177" spans="3:14" s="2" customFormat="1" ht="12.75">
      <c r="C177" s="417"/>
      <c r="H177" s="629"/>
      <c r="I177" s="629"/>
      <c r="J177" s="629"/>
      <c r="K177" s="629"/>
      <c r="L177" s="629"/>
      <c r="M177" s="629"/>
      <c r="N177" s="629"/>
    </row>
    <row r="178" spans="3:14" s="2" customFormat="1" ht="12.75">
      <c r="C178" s="417"/>
      <c r="H178" s="629"/>
      <c r="I178" s="629"/>
      <c r="J178" s="629"/>
      <c r="K178" s="629"/>
      <c r="L178" s="629"/>
      <c r="M178" s="629"/>
      <c r="N178" s="629"/>
    </row>
    <row r="179" spans="3:14" s="2" customFormat="1" ht="12.75">
      <c r="C179" s="417"/>
      <c r="H179" s="629"/>
      <c r="I179" s="629"/>
      <c r="J179" s="629"/>
      <c r="K179" s="629"/>
      <c r="L179" s="629"/>
      <c r="M179" s="629"/>
      <c r="N179" s="629"/>
    </row>
    <row r="180" spans="3:14" s="2" customFormat="1" ht="12.75">
      <c r="C180" s="417"/>
      <c r="H180" s="629"/>
      <c r="I180" s="629"/>
      <c r="J180" s="629"/>
      <c r="K180" s="629"/>
      <c r="L180" s="629"/>
      <c r="M180" s="629"/>
      <c r="N180" s="629"/>
    </row>
    <row r="181" spans="3:14" s="2" customFormat="1" ht="12.75">
      <c r="C181" s="417"/>
      <c r="H181" s="629"/>
      <c r="I181" s="629"/>
      <c r="J181" s="629"/>
      <c r="K181" s="629"/>
      <c r="L181" s="629"/>
      <c r="M181" s="629"/>
      <c r="N181" s="629"/>
    </row>
    <row r="182" spans="3:14" s="2" customFormat="1" ht="12.75">
      <c r="C182" s="417"/>
      <c r="H182" s="629"/>
      <c r="I182" s="629"/>
      <c r="J182" s="629"/>
      <c r="K182" s="629"/>
      <c r="L182" s="629"/>
      <c r="M182" s="629"/>
      <c r="N182" s="629"/>
    </row>
    <row r="183" spans="3:14" s="2" customFormat="1" ht="12.75">
      <c r="C183" s="417"/>
      <c r="H183" s="629"/>
      <c r="I183" s="629"/>
      <c r="J183" s="629"/>
      <c r="K183" s="629"/>
      <c r="L183" s="629"/>
      <c r="M183" s="629"/>
      <c r="N183" s="629"/>
    </row>
    <row r="184" spans="3:14" s="2" customFormat="1" ht="12.75">
      <c r="C184" s="417"/>
      <c r="H184" s="629"/>
      <c r="I184" s="629"/>
      <c r="J184" s="629"/>
      <c r="K184" s="629"/>
      <c r="L184" s="629"/>
      <c r="M184" s="629"/>
      <c r="N184" s="629"/>
    </row>
    <row r="185" spans="3:14" s="2" customFormat="1" ht="12.75">
      <c r="C185" s="417"/>
      <c r="H185" s="629"/>
      <c r="I185" s="629"/>
      <c r="J185" s="629"/>
      <c r="K185" s="629"/>
      <c r="L185" s="629"/>
      <c r="M185" s="629"/>
      <c r="N185" s="629"/>
    </row>
    <row r="186" spans="3:14" s="2" customFormat="1" ht="12.75">
      <c r="C186" s="417"/>
      <c r="H186" s="629"/>
      <c r="I186" s="629"/>
      <c r="J186" s="629"/>
      <c r="K186" s="629"/>
      <c r="L186" s="629"/>
      <c r="M186" s="629"/>
      <c r="N186" s="629"/>
    </row>
    <row r="187" spans="3:14" s="2" customFormat="1" ht="12.75">
      <c r="C187" s="417"/>
      <c r="H187" s="629"/>
      <c r="I187" s="629"/>
      <c r="J187" s="629"/>
      <c r="K187" s="629"/>
      <c r="L187" s="629"/>
      <c r="M187" s="629"/>
      <c r="N187" s="629"/>
    </row>
    <row r="188" spans="3:14" s="2" customFormat="1" ht="12.75">
      <c r="C188" s="417"/>
      <c r="H188" s="629"/>
      <c r="I188" s="629"/>
      <c r="J188" s="629"/>
      <c r="K188" s="629"/>
      <c r="L188" s="629"/>
      <c r="M188" s="629"/>
      <c r="N188" s="629"/>
    </row>
    <row r="189" spans="3:14" s="2" customFormat="1" ht="12.75">
      <c r="C189" s="417"/>
      <c r="H189" s="629"/>
      <c r="I189" s="629"/>
      <c r="J189" s="629"/>
      <c r="K189" s="629"/>
      <c r="L189" s="629"/>
      <c r="M189" s="629"/>
      <c r="N189" s="629"/>
    </row>
    <row r="190" spans="3:14" s="2" customFormat="1" ht="12.75">
      <c r="C190" s="417"/>
      <c r="H190" s="629"/>
      <c r="I190" s="629"/>
      <c r="J190" s="629"/>
      <c r="K190" s="629"/>
      <c r="L190" s="629"/>
      <c r="M190" s="629"/>
      <c r="N190" s="629"/>
    </row>
    <row r="191" spans="3:14" s="2" customFormat="1" ht="12.75">
      <c r="C191" s="417"/>
      <c r="H191" s="629"/>
      <c r="I191" s="629"/>
      <c r="J191" s="629"/>
      <c r="K191" s="629"/>
      <c r="L191" s="629"/>
      <c r="M191" s="629"/>
      <c r="N191" s="629"/>
    </row>
    <row r="192" spans="3:14" s="2" customFormat="1" ht="12.75">
      <c r="C192" s="417"/>
      <c r="H192" s="629"/>
      <c r="I192" s="629"/>
      <c r="J192" s="629"/>
      <c r="K192" s="629"/>
      <c r="L192" s="629"/>
      <c r="M192" s="629"/>
      <c r="N192" s="629"/>
    </row>
    <row r="193" spans="3:14" s="2" customFormat="1" ht="12.75">
      <c r="C193" s="417"/>
      <c r="H193" s="629"/>
      <c r="I193" s="629"/>
      <c r="J193" s="629"/>
      <c r="K193" s="629"/>
      <c r="L193" s="629"/>
      <c r="M193" s="629"/>
      <c r="N193" s="629"/>
    </row>
    <row r="194" spans="3:14" s="2" customFormat="1" ht="12.75">
      <c r="C194" s="417"/>
      <c r="H194" s="629"/>
      <c r="I194" s="629"/>
      <c r="J194" s="629"/>
      <c r="K194" s="629"/>
      <c r="L194" s="629"/>
      <c r="M194" s="629"/>
      <c r="N194" s="629"/>
    </row>
    <row r="195" spans="3:14" s="2" customFormat="1" ht="12.75">
      <c r="C195" s="417"/>
      <c r="H195" s="629"/>
      <c r="I195" s="629"/>
      <c r="J195" s="629"/>
      <c r="K195" s="629"/>
      <c r="L195" s="629"/>
      <c r="M195" s="629"/>
      <c r="N195" s="629"/>
    </row>
    <row r="196" spans="3:14" s="2" customFormat="1" ht="12.75">
      <c r="C196" s="417"/>
      <c r="H196" s="629"/>
      <c r="I196" s="629"/>
      <c r="J196" s="629"/>
      <c r="K196" s="629"/>
      <c r="L196" s="629"/>
      <c r="M196" s="629"/>
      <c r="N196" s="629"/>
    </row>
    <row r="197" spans="3:14" s="2" customFormat="1" ht="12.75">
      <c r="C197" s="417"/>
      <c r="H197" s="629"/>
      <c r="I197" s="629"/>
      <c r="J197" s="629"/>
      <c r="K197" s="629"/>
      <c r="L197" s="629"/>
      <c r="M197" s="629"/>
      <c r="N197" s="629"/>
    </row>
    <row r="198" spans="3:14" s="2" customFormat="1" ht="12.75">
      <c r="C198" s="417"/>
      <c r="H198" s="629"/>
      <c r="I198" s="629"/>
      <c r="J198" s="629"/>
      <c r="K198" s="629"/>
      <c r="L198" s="629"/>
      <c r="M198" s="629"/>
      <c r="N198" s="629"/>
    </row>
    <row r="199" spans="3:14" s="2" customFormat="1" ht="12.75">
      <c r="C199" s="417"/>
      <c r="H199" s="629"/>
      <c r="I199" s="629"/>
      <c r="J199" s="629"/>
      <c r="K199" s="629"/>
      <c r="L199" s="629"/>
      <c r="M199" s="629"/>
      <c r="N199" s="629"/>
    </row>
    <row r="200" spans="3:14" s="2" customFormat="1" ht="12.75">
      <c r="C200" s="417"/>
      <c r="H200" s="629"/>
      <c r="I200" s="629"/>
      <c r="J200" s="629"/>
      <c r="K200" s="629"/>
      <c r="L200" s="629"/>
      <c r="M200" s="629"/>
      <c r="N200" s="629"/>
    </row>
    <row r="201" spans="3:14" s="2" customFormat="1" ht="12.75">
      <c r="C201" s="417"/>
      <c r="H201" s="629"/>
      <c r="I201" s="629"/>
      <c r="J201" s="629"/>
      <c r="K201" s="629"/>
      <c r="L201" s="629"/>
      <c r="M201" s="629"/>
      <c r="N201" s="629"/>
    </row>
    <row r="202" spans="3:14" s="2" customFormat="1" ht="12.75">
      <c r="C202" s="417"/>
      <c r="H202" s="629"/>
      <c r="I202" s="629"/>
      <c r="J202" s="629"/>
      <c r="K202" s="629"/>
      <c r="L202" s="629"/>
      <c r="M202" s="629"/>
      <c r="N202" s="629"/>
    </row>
    <row r="203" spans="3:14" s="2" customFormat="1" ht="12.75">
      <c r="C203" s="417"/>
      <c r="H203" s="629"/>
      <c r="I203" s="629"/>
      <c r="J203" s="629"/>
      <c r="K203" s="629"/>
      <c r="L203" s="629"/>
      <c r="M203" s="629"/>
      <c r="N203" s="629"/>
    </row>
    <row r="204" spans="3:14" s="2" customFormat="1" ht="12.75">
      <c r="C204" s="417"/>
      <c r="H204" s="629"/>
      <c r="I204" s="629"/>
      <c r="J204" s="629"/>
      <c r="K204" s="629"/>
      <c r="L204" s="629"/>
      <c r="M204" s="629"/>
      <c r="N204" s="629"/>
    </row>
    <row r="205" spans="3:14" s="2" customFormat="1" ht="12.75">
      <c r="C205" s="417"/>
      <c r="H205" s="629"/>
      <c r="I205" s="629"/>
      <c r="J205" s="629"/>
      <c r="K205" s="629"/>
      <c r="L205" s="629"/>
      <c r="M205" s="629"/>
      <c r="N205" s="629"/>
    </row>
    <row r="206" spans="3:14" s="2" customFormat="1" ht="12.75">
      <c r="C206" s="417"/>
      <c r="H206" s="629"/>
      <c r="I206" s="629"/>
      <c r="J206" s="629"/>
      <c r="K206" s="629"/>
      <c r="L206" s="629"/>
      <c r="M206" s="629"/>
      <c r="N206" s="629"/>
    </row>
    <row r="207" spans="3:14" s="2" customFormat="1" ht="12.75">
      <c r="C207" s="417"/>
      <c r="H207" s="629"/>
      <c r="I207" s="629"/>
      <c r="J207" s="629"/>
      <c r="K207" s="629"/>
      <c r="L207" s="629"/>
      <c r="M207" s="629"/>
      <c r="N207" s="629"/>
    </row>
    <row r="208" spans="3:14" s="2" customFormat="1" ht="12.75">
      <c r="C208" s="417"/>
      <c r="H208" s="629"/>
      <c r="I208" s="629"/>
      <c r="J208" s="629"/>
      <c r="K208" s="629"/>
      <c r="L208" s="629"/>
      <c r="M208" s="629"/>
      <c r="N208" s="629"/>
    </row>
    <row r="209" spans="3:14" s="2" customFormat="1" ht="12.75">
      <c r="C209" s="417"/>
      <c r="H209" s="629"/>
      <c r="I209" s="629"/>
      <c r="J209" s="629"/>
      <c r="K209" s="629"/>
      <c r="L209" s="629"/>
      <c r="M209" s="629"/>
      <c r="N209" s="629"/>
    </row>
    <row r="210" spans="3:14" s="2" customFormat="1" ht="12.75">
      <c r="C210" s="417"/>
      <c r="H210" s="629"/>
      <c r="I210" s="629"/>
      <c r="J210" s="629"/>
      <c r="K210" s="629"/>
      <c r="L210" s="629"/>
      <c r="M210" s="629"/>
      <c r="N210" s="629"/>
    </row>
    <row r="211" spans="3:14" s="2" customFormat="1" ht="12.75">
      <c r="C211" s="417"/>
      <c r="H211" s="629"/>
      <c r="I211" s="629"/>
      <c r="J211" s="629"/>
      <c r="K211" s="629"/>
      <c r="L211" s="629"/>
      <c r="M211" s="629"/>
      <c r="N211" s="629"/>
    </row>
    <row r="212" spans="3:14" s="2" customFormat="1" ht="12.75">
      <c r="C212" s="417"/>
      <c r="H212" s="629"/>
      <c r="I212" s="629"/>
      <c r="J212" s="629"/>
      <c r="K212" s="629"/>
      <c r="L212" s="629"/>
      <c r="M212" s="629"/>
      <c r="N212" s="629"/>
    </row>
    <row r="213" spans="3:14" s="2" customFormat="1" ht="12.75">
      <c r="C213" s="417"/>
      <c r="H213" s="629"/>
      <c r="I213" s="629"/>
      <c r="J213" s="629"/>
      <c r="K213" s="629"/>
      <c r="L213" s="629"/>
      <c r="M213" s="629"/>
      <c r="N213" s="629"/>
    </row>
    <row r="214" spans="3:14" s="2" customFormat="1" ht="12.75">
      <c r="C214" s="417"/>
      <c r="H214" s="629"/>
      <c r="I214" s="629"/>
      <c r="J214" s="629"/>
      <c r="K214" s="629"/>
      <c r="L214" s="629"/>
      <c r="M214" s="629"/>
      <c r="N214" s="629"/>
    </row>
    <row r="215" spans="3:14" s="2" customFormat="1" ht="12.75">
      <c r="C215" s="417"/>
      <c r="H215" s="629"/>
      <c r="I215" s="629"/>
      <c r="J215" s="629"/>
      <c r="K215" s="629"/>
      <c r="L215" s="629"/>
      <c r="M215" s="629"/>
      <c r="N215" s="629"/>
    </row>
    <row r="216" spans="3:14" s="2" customFormat="1" ht="12.75">
      <c r="C216" s="417"/>
      <c r="H216" s="629"/>
      <c r="I216" s="629"/>
      <c r="J216" s="629"/>
      <c r="K216" s="629"/>
      <c r="L216" s="629"/>
      <c r="M216" s="629"/>
      <c r="N216" s="629"/>
    </row>
    <row r="217" spans="3:14" s="2" customFormat="1" ht="12.75">
      <c r="C217" s="417"/>
      <c r="H217" s="629"/>
      <c r="I217" s="629"/>
      <c r="J217" s="629"/>
      <c r="K217" s="629"/>
      <c r="L217" s="629"/>
      <c r="M217" s="629"/>
      <c r="N217" s="629"/>
    </row>
    <row r="218" spans="3:14" s="2" customFormat="1" ht="12.75">
      <c r="C218" s="417"/>
      <c r="H218" s="629"/>
      <c r="I218" s="629"/>
      <c r="J218" s="629"/>
      <c r="K218" s="629"/>
      <c r="L218" s="629"/>
      <c r="M218" s="629"/>
      <c r="N218" s="629"/>
    </row>
    <row r="219" spans="3:14" s="2" customFormat="1" ht="12.75">
      <c r="C219" s="417"/>
      <c r="H219" s="629"/>
      <c r="I219" s="629"/>
      <c r="J219" s="629"/>
      <c r="K219" s="629"/>
      <c r="L219" s="629"/>
      <c r="M219" s="629"/>
      <c r="N219" s="629"/>
    </row>
    <row r="220" spans="3:14" s="2" customFormat="1" ht="12.75">
      <c r="C220" s="417"/>
      <c r="H220" s="629"/>
      <c r="I220" s="629"/>
      <c r="J220" s="629"/>
      <c r="K220" s="629"/>
      <c r="L220" s="629"/>
      <c r="M220" s="629"/>
      <c r="N220" s="629"/>
    </row>
    <row r="221" spans="3:14" s="2" customFormat="1" ht="12.75">
      <c r="C221" s="417"/>
      <c r="H221" s="629"/>
      <c r="I221" s="629"/>
      <c r="J221" s="629"/>
      <c r="K221" s="629"/>
      <c r="L221" s="629"/>
      <c r="M221" s="629"/>
      <c r="N221" s="629"/>
    </row>
    <row r="222" spans="3:14" s="2" customFormat="1" ht="12.75">
      <c r="C222" s="417"/>
      <c r="H222" s="629"/>
      <c r="I222" s="629"/>
      <c r="J222" s="629"/>
      <c r="K222" s="629"/>
      <c r="L222" s="629"/>
      <c r="M222" s="629"/>
      <c r="N222" s="629"/>
    </row>
    <row r="223" spans="3:14" s="2" customFormat="1" ht="12.75">
      <c r="C223" s="417"/>
      <c r="H223" s="629"/>
      <c r="I223" s="629"/>
      <c r="J223" s="629"/>
      <c r="K223" s="629"/>
      <c r="L223" s="629"/>
      <c r="M223" s="629"/>
      <c r="N223" s="629"/>
    </row>
    <row r="224" spans="3:14" s="2" customFormat="1" ht="12.75">
      <c r="C224" s="417"/>
      <c r="H224" s="629"/>
      <c r="I224" s="629"/>
      <c r="J224" s="629"/>
      <c r="K224" s="629"/>
      <c r="L224" s="629"/>
      <c r="M224" s="629"/>
      <c r="N224" s="629"/>
    </row>
    <row r="225" spans="3:14" s="2" customFormat="1" ht="12.75">
      <c r="C225" s="417"/>
      <c r="H225" s="629"/>
      <c r="I225" s="629"/>
      <c r="J225" s="629"/>
      <c r="K225" s="629"/>
      <c r="L225" s="629"/>
      <c r="M225" s="629"/>
      <c r="N225" s="629"/>
    </row>
    <row r="226" spans="3:14" s="2" customFormat="1" ht="12.75">
      <c r="C226" s="417"/>
      <c r="H226" s="629"/>
      <c r="I226" s="629"/>
      <c r="J226" s="629"/>
      <c r="K226" s="629"/>
      <c r="L226" s="629"/>
      <c r="M226" s="629"/>
      <c r="N226" s="629"/>
    </row>
    <row r="227" spans="3:14" s="2" customFormat="1" ht="12.75">
      <c r="C227" s="417"/>
      <c r="H227" s="629"/>
      <c r="I227" s="629"/>
      <c r="J227" s="629"/>
      <c r="K227" s="629"/>
      <c r="L227" s="629"/>
      <c r="M227" s="629"/>
      <c r="N227" s="629"/>
    </row>
    <row r="228" spans="3:14" s="2" customFormat="1" ht="12.75">
      <c r="C228" s="417"/>
      <c r="H228" s="629"/>
      <c r="I228" s="629"/>
      <c r="J228" s="629"/>
      <c r="K228" s="629"/>
      <c r="L228" s="629"/>
      <c r="M228" s="629"/>
      <c r="N228" s="629"/>
    </row>
    <row r="229" spans="3:14" s="2" customFormat="1" ht="12.75">
      <c r="C229" s="417"/>
      <c r="H229" s="629"/>
      <c r="I229" s="629"/>
      <c r="J229" s="629"/>
      <c r="K229" s="629"/>
      <c r="L229" s="629"/>
      <c r="M229" s="629"/>
      <c r="N229" s="629"/>
    </row>
    <row r="230" spans="3:14" s="2" customFormat="1" ht="12.75">
      <c r="C230" s="417"/>
      <c r="H230" s="629"/>
      <c r="I230" s="629"/>
      <c r="J230" s="629"/>
      <c r="K230" s="629"/>
      <c r="L230" s="629"/>
      <c r="M230" s="629"/>
      <c r="N230" s="629"/>
    </row>
    <row r="231" spans="3:14" s="2" customFormat="1" ht="12.75">
      <c r="C231" s="417"/>
      <c r="H231" s="629"/>
      <c r="I231" s="629"/>
      <c r="J231" s="629"/>
      <c r="K231" s="629"/>
      <c r="L231" s="629"/>
      <c r="M231" s="629"/>
      <c r="N231" s="629"/>
    </row>
    <row r="232" spans="3:14" s="2" customFormat="1" ht="12.75">
      <c r="C232" s="417"/>
      <c r="H232" s="629"/>
      <c r="I232" s="629"/>
      <c r="J232" s="629"/>
      <c r="K232" s="629"/>
      <c r="L232" s="629"/>
      <c r="M232" s="629"/>
      <c r="N232" s="629"/>
    </row>
    <row r="233" spans="3:14" s="2" customFormat="1" ht="12.75">
      <c r="C233" s="417"/>
      <c r="H233" s="629"/>
      <c r="I233" s="629"/>
      <c r="J233" s="629"/>
      <c r="K233" s="629"/>
      <c r="L233" s="629"/>
      <c r="M233" s="629"/>
      <c r="N233" s="629"/>
    </row>
    <row r="234" spans="3:14" s="2" customFormat="1" ht="12.75">
      <c r="C234" s="417"/>
      <c r="H234" s="629"/>
      <c r="I234" s="629"/>
      <c r="J234" s="629"/>
      <c r="K234" s="629"/>
      <c r="L234" s="629"/>
      <c r="M234" s="629"/>
      <c r="N234" s="629"/>
    </row>
    <row r="235" spans="3:14" s="2" customFormat="1" ht="12.75">
      <c r="C235" s="417"/>
      <c r="H235" s="629"/>
      <c r="I235" s="629"/>
      <c r="J235" s="629"/>
      <c r="K235" s="629"/>
      <c r="L235" s="629"/>
      <c r="M235" s="629"/>
      <c r="N235" s="629"/>
    </row>
    <row r="236" spans="3:14" s="2" customFormat="1" ht="12.75">
      <c r="C236" s="417"/>
      <c r="H236" s="629"/>
      <c r="I236" s="629"/>
      <c r="J236" s="629"/>
      <c r="K236" s="629"/>
      <c r="L236" s="629"/>
      <c r="M236" s="629"/>
      <c r="N236" s="629"/>
    </row>
    <row r="237" spans="3:14" s="2" customFormat="1" ht="12.75">
      <c r="C237" s="417"/>
      <c r="H237" s="629"/>
      <c r="I237" s="629"/>
      <c r="J237" s="629"/>
      <c r="K237" s="629"/>
      <c r="L237" s="629"/>
      <c r="M237" s="629"/>
      <c r="N237" s="629"/>
    </row>
    <row r="238" spans="3:14" s="2" customFormat="1" ht="12.75">
      <c r="C238" s="417"/>
      <c r="H238" s="629"/>
      <c r="I238" s="629"/>
      <c r="J238" s="629"/>
      <c r="K238" s="629"/>
      <c r="L238" s="629"/>
      <c r="M238" s="629"/>
      <c r="N238" s="629"/>
    </row>
    <row r="239" spans="3:14" s="2" customFormat="1" ht="12.75">
      <c r="C239" s="417"/>
      <c r="H239" s="629"/>
      <c r="I239" s="629"/>
      <c r="J239" s="629"/>
      <c r="K239" s="629"/>
      <c r="L239" s="629"/>
      <c r="M239" s="629"/>
      <c r="N239" s="629"/>
    </row>
    <row r="240" spans="3:14" s="2" customFormat="1" ht="12.75">
      <c r="C240" s="417"/>
      <c r="H240" s="629"/>
      <c r="I240" s="629"/>
      <c r="J240" s="629"/>
      <c r="K240" s="629"/>
      <c r="L240" s="629"/>
      <c r="M240" s="629"/>
      <c r="N240" s="629"/>
    </row>
    <row r="241" spans="3:14" s="2" customFormat="1" ht="12.75">
      <c r="C241" s="417"/>
      <c r="H241" s="629"/>
      <c r="I241" s="629"/>
      <c r="J241" s="629"/>
      <c r="K241" s="629"/>
      <c r="L241" s="629"/>
      <c r="M241" s="629"/>
      <c r="N241" s="629"/>
    </row>
    <row r="242" spans="3:14" s="2" customFormat="1" ht="12.75">
      <c r="C242" s="417"/>
      <c r="H242" s="629"/>
      <c r="I242" s="629"/>
      <c r="J242" s="629"/>
      <c r="K242" s="629"/>
      <c r="L242" s="629"/>
      <c r="M242" s="629"/>
      <c r="N242" s="629"/>
    </row>
    <row r="243" spans="3:14" s="2" customFormat="1" ht="12.75">
      <c r="C243" s="417"/>
      <c r="H243" s="629"/>
      <c r="I243" s="629"/>
      <c r="J243" s="629"/>
      <c r="K243" s="629"/>
      <c r="L243" s="629"/>
      <c r="M243" s="629"/>
      <c r="N243" s="629"/>
    </row>
    <row r="244" spans="3:14" s="2" customFormat="1" ht="12.75">
      <c r="C244" s="417"/>
      <c r="H244" s="629"/>
      <c r="I244" s="629"/>
      <c r="J244" s="629"/>
      <c r="K244" s="629"/>
      <c r="L244" s="629"/>
      <c r="M244" s="629"/>
      <c r="N244" s="629"/>
    </row>
    <row r="245" spans="3:14" s="2" customFormat="1" ht="12.75">
      <c r="C245" s="417"/>
      <c r="H245" s="629"/>
      <c r="I245" s="629"/>
      <c r="J245" s="629"/>
      <c r="K245" s="629"/>
      <c r="L245" s="629"/>
      <c r="M245" s="629"/>
      <c r="N245" s="629"/>
    </row>
    <row r="246" spans="3:14" s="2" customFormat="1" ht="12.75">
      <c r="C246" s="417"/>
      <c r="H246" s="629"/>
      <c r="I246" s="629"/>
      <c r="J246" s="629"/>
      <c r="K246" s="629"/>
      <c r="L246" s="629"/>
      <c r="M246" s="629"/>
      <c r="N246" s="629"/>
    </row>
    <row r="247" spans="3:14" s="2" customFormat="1" ht="12.75">
      <c r="C247" s="417"/>
      <c r="H247" s="629"/>
      <c r="I247" s="629"/>
      <c r="J247" s="629"/>
      <c r="K247" s="629"/>
      <c r="L247" s="629"/>
      <c r="M247" s="629"/>
      <c r="N247" s="629"/>
    </row>
    <row r="248" spans="3:14" s="2" customFormat="1" ht="12.75">
      <c r="C248" s="417"/>
      <c r="H248" s="629"/>
      <c r="I248" s="629"/>
      <c r="J248" s="629"/>
      <c r="K248" s="629"/>
      <c r="L248" s="629"/>
      <c r="M248" s="629"/>
      <c r="N248" s="629"/>
    </row>
    <row r="249" spans="3:14" s="2" customFormat="1" ht="12.75">
      <c r="C249" s="417"/>
      <c r="H249" s="629"/>
      <c r="I249" s="629"/>
      <c r="J249" s="629"/>
      <c r="K249" s="629"/>
      <c r="L249" s="629"/>
      <c r="M249" s="629"/>
      <c r="N249" s="629"/>
    </row>
    <row r="250" spans="3:14" s="2" customFormat="1" ht="12.75">
      <c r="C250" s="417"/>
      <c r="H250" s="629"/>
      <c r="I250" s="629"/>
      <c r="J250" s="629"/>
      <c r="K250" s="629"/>
      <c r="L250" s="629"/>
      <c r="M250" s="629"/>
      <c r="N250" s="629"/>
    </row>
    <row r="251" spans="3:14" s="2" customFormat="1" ht="12.75">
      <c r="C251" s="417"/>
      <c r="H251" s="629"/>
      <c r="I251" s="629"/>
      <c r="J251" s="629"/>
      <c r="K251" s="629"/>
      <c r="L251" s="629"/>
      <c r="M251" s="629"/>
      <c r="N251" s="629"/>
    </row>
    <row r="252" spans="3:14" s="2" customFormat="1" ht="12.75">
      <c r="C252" s="417"/>
      <c r="H252" s="629"/>
      <c r="I252" s="629"/>
      <c r="J252" s="629"/>
      <c r="K252" s="629"/>
      <c r="L252" s="629"/>
      <c r="M252" s="629"/>
      <c r="N252" s="629"/>
    </row>
    <row r="253" spans="3:14" s="2" customFormat="1" ht="12.75">
      <c r="C253" s="417"/>
      <c r="H253" s="629"/>
      <c r="I253" s="629"/>
      <c r="J253" s="629"/>
      <c r="K253" s="629"/>
      <c r="L253" s="629"/>
      <c r="M253" s="629"/>
      <c r="N253" s="629"/>
    </row>
    <row r="254" spans="3:14" s="2" customFormat="1" ht="12.75">
      <c r="C254" s="417"/>
      <c r="H254" s="629"/>
      <c r="I254" s="629"/>
      <c r="J254" s="629"/>
      <c r="K254" s="629"/>
      <c r="L254" s="629"/>
      <c r="M254" s="629"/>
      <c r="N254" s="629"/>
    </row>
    <row r="255" spans="3:14" s="2" customFormat="1" ht="12.75">
      <c r="C255" s="417"/>
      <c r="H255" s="629"/>
      <c r="I255" s="629"/>
      <c r="J255" s="629"/>
      <c r="K255" s="629"/>
      <c r="L255" s="629"/>
      <c r="M255" s="629"/>
      <c r="N255" s="629"/>
    </row>
    <row r="256" spans="3:14" s="2" customFormat="1" ht="12.75">
      <c r="C256" s="417"/>
      <c r="H256" s="629"/>
      <c r="I256" s="629"/>
      <c r="J256" s="629"/>
      <c r="K256" s="629"/>
      <c r="L256" s="629"/>
      <c r="M256" s="629"/>
      <c r="N256" s="629"/>
    </row>
    <row r="257" spans="3:14" s="2" customFormat="1" ht="12.75">
      <c r="C257" s="417"/>
      <c r="H257" s="629"/>
      <c r="I257" s="629"/>
      <c r="J257" s="629"/>
      <c r="K257" s="629"/>
      <c r="L257" s="629"/>
      <c r="M257" s="629"/>
      <c r="N257" s="629"/>
    </row>
    <row r="258" spans="3:14" s="2" customFormat="1" ht="12.75">
      <c r="C258" s="417"/>
      <c r="H258" s="629"/>
      <c r="I258" s="629"/>
      <c r="J258" s="629"/>
      <c r="K258" s="629"/>
      <c r="L258" s="629"/>
      <c r="M258" s="629"/>
      <c r="N258" s="629"/>
    </row>
    <row r="259" spans="3:14" s="2" customFormat="1" ht="12.75">
      <c r="C259" s="417"/>
      <c r="H259" s="629"/>
      <c r="I259" s="629"/>
      <c r="J259" s="629"/>
      <c r="K259" s="629"/>
      <c r="L259" s="629"/>
      <c r="M259" s="629"/>
      <c r="N259" s="629"/>
    </row>
    <row r="260" spans="3:14" s="2" customFormat="1" ht="12.75">
      <c r="C260" s="417"/>
      <c r="H260" s="629"/>
      <c r="I260" s="629"/>
      <c r="J260" s="629"/>
      <c r="K260" s="629"/>
      <c r="L260" s="629"/>
      <c r="M260" s="629"/>
      <c r="N260" s="629"/>
    </row>
    <row r="261" spans="3:14" s="2" customFormat="1" ht="12.75">
      <c r="C261" s="417"/>
      <c r="H261" s="629"/>
      <c r="I261" s="629"/>
      <c r="J261" s="629"/>
      <c r="K261" s="629"/>
      <c r="L261" s="629"/>
      <c r="M261" s="629"/>
      <c r="N261" s="629"/>
    </row>
    <row r="262" spans="3:14" s="2" customFormat="1" ht="12.75">
      <c r="C262" s="417"/>
      <c r="H262" s="629"/>
      <c r="I262" s="629"/>
      <c r="J262" s="629"/>
      <c r="K262" s="629"/>
      <c r="L262" s="629"/>
      <c r="M262" s="629"/>
      <c r="N262" s="629"/>
    </row>
    <row r="263" spans="3:14" s="2" customFormat="1" ht="12.75">
      <c r="C263" s="417"/>
      <c r="H263" s="629"/>
      <c r="I263" s="629"/>
      <c r="J263" s="629"/>
      <c r="K263" s="629"/>
      <c r="L263" s="629"/>
      <c r="M263" s="629"/>
      <c r="N263" s="629"/>
    </row>
    <row r="264" spans="3:14" s="2" customFormat="1" ht="12.75">
      <c r="C264" s="417"/>
      <c r="H264" s="629"/>
      <c r="I264" s="629"/>
      <c r="J264" s="629"/>
      <c r="K264" s="629"/>
      <c r="L264" s="629"/>
      <c r="M264" s="629"/>
      <c r="N264" s="629"/>
    </row>
    <row r="265" spans="3:14" s="2" customFormat="1" ht="12.75">
      <c r="C265" s="417"/>
      <c r="H265" s="629"/>
      <c r="I265" s="629"/>
      <c r="J265" s="629"/>
      <c r="K265" s="629"/>
      <c r="L265" s="629"/>
      <c r="M265" s="629"/>
      <c r="N265" s="629"/>
    </row>
    <row r="266" spans="3:14" s="2" customFormat="1" ht="12.75">
      <c r="C266" s="417"/>
      <c r="H266" s="629"/>
      <c r="I266" s="629"/>
      <c r="J266" s="629"/>
      <c r="K266" s="629"/>
      <c r="L266" s="629"/>
      <c r="M266" s="629"/>
      <c r="N266" s="629"/>
    </row>
    <row r="267" spans="3:14" s="2" customFormat="1" ht="12.75">
      <c r="C267" s="417"/>
      <c r="H267" s="629"/>
      <c r="I267" s="629"/>
      <c r="J267" s="629"/>
      <c r="K267" s="629"/>
      <c r="L267" s="629"/>
      <c r="M267" s="629"/>
      <c r="N267" s="629"/>
    </row>
    <row r="268" spans="3:14" s="2" customFormat="1" ht="12.75">
      <c r="C268" s="417"/>
      <c r="H268" s="629"/>
      <c r="I268" s="629"/>
      <c r="J268" s="629"/>
      <c r="K268" s="629"/>
      <c r="L268" s="629"/>
      <c r="M268" s="629"/>
      <c r="N268" s="629"/>
    </row>
    <row r="269" spans="3:14" s="2" customFormat="1" ht="12.75">
      <c r="C269" s="417"/>
      <c r="H269" s="629"/>
      <c r="I269" s="629"/>
      <c r="J269" s="629"/>
      <c r="K269" s="629"/>
      <c r="L269" s="629"/>
      <c r="M269" s="629"/>
      <c r="N269" s="629"/>
    </row>
    <row r="270" spans="3:14" s="2" customFormat="1" ht="12.75">
      <c r="C270" s="417"/>
      <c r="H270" s="629"/>
      <c r="I270" s="629"/>
      <c r="J270" s="629"/>
      <c r="K270" s="629"/>
      <c r="L270" s="629"/>
      <c r="M270" s="629"/>
      <c r="N270" s="629"/>
    </row>
    <row r="271" spans="3:14" s="2" customFormat="1" ht="12.75">
      <c r="C271" s="417"/>
      <c r="H271" s="629"/>
      <c r="I271" s="629"/>
      <c r="J271" s="629"/>
      <c r="K271" s="629"/>
      <c r="L271" s="629"/>
      <c r="M271" s="629"/>
      <c r="N271" s="629"/>
    </row>
    <row r="272" spans="3:14" s="2" customFormat="1" ht="12.75">
      <c r="C272" s="417"/>
      <c r="H272" s="629"/>
      <c r="I272" s="629"/>
      <c r="J272" s="629"/>
      <c r="K272" s="629"/>
      <c r="L272" s="629"/>
      <c r="M272" s="629"/>
      <c r="N272" s="629"/>
    </row>
    <row r="273" spans="3:14" s="2" customFormat="1" ht="12.75">
      <c r="C273" s="417"/>
      <c r="H273" s="629"/>
      <c r="I273" s="629"/>
      <c r="J273" s="629"/>
      <c r="K273" s="629"/>
      <c r="L273" s="629"/>
      <c r="M273" s="629"/>
      <c r="N273" s="629"/>
    </row>
    <row r="274" spans="3:14" s="2" customFormat="1" ht="12.75">
      <c r="C274" s="417"/>
      <c r="H274" s="629"/>
      <c r="I274" s="629"/>
      <c r="J274" s="629"/>
      <c r="K274" s="629"/>
      <c r="L274" s="629"/>
      <c r="M274" s="629"/>
      <c r="N274" s="629"/>
    </row>
    <row r="275" spans="3:14" s="2" customFormat="1" ht="12.75">
      <c r="C275" s="417"/>
      <c r="H275" s="629"/>
      <c r="I275" s="629"/>
      <c r="J275" s="629"/>
      <c r="K275" s="629"/>
      <c r="L275" s="629"/>
      <c r="M275" s="629"/>
      <c r="N275" s="629"/>
    </row>
    <row r="276" spans="3:14" s="2" customFormat="1" ht="12.75">
      <c r="C276" s="417"/>
      <c r="H276" s="629"/>
      <c r="I276" s="629"/>
      <c r="J276" s="629"/>
      <c r="K276" s="629"/>
      <c r="L276" s="629"/>
      <c r="M276" s="629"/>
      <c r="N276" s="629"/>
    </row>
    <row r="277" spans="3:14" s="2" customFormat="1" ht="12.75">
      <c r="C277" s="417"/>
      <c r="H277" s="629"/>
      <c r="I277" s="629"/>
      <c r="J277" s="629"/>
      <c r="K277" s="629"/>
      <c r="L277" s="629"/>
      <c r="M277" s="629"/>
      <c r="N277" s="629"/>
    </row>
    <row r="278" spans="3:14" s="2" customFormat="1" ht="12.75">
      <c r="C278" s="417"/>
      <c r="H278" s="629"/>
      <c r="I278" s="629"/>
      <c r="J278" s="629"/>
      <c r="K278" s="629"/>
      <c r="L278" s="629"/>
      <c r="M278" s="629"/>
      <c r="N278" s="629"/>
    </row>
    <row r="279" spans="3:14" s="2" customFormat="1" ht="12.75">
      <c r="C279" s="417"/>
      <c r="H279" s="629"/>
      <c r="I279" s="629"/>
      <c r="J279" s="629"/>
      <c r="K279" s="629"/>
      <c r="L279" s="629"/>
      <c r="M279" s="629"/>
      <c r="N279" s="629"/>
    </row>
    <row r="280" spans="3:14" s="2" customFormat="1" ht="12.75">
      <c r="C280" s="417"/>
      <c r="H280" s="629"/>
      <c r="I280" s="629"/>
      <c r="J280" s="629"/>
      <c r="K280" s="629"/>
      <c r="L280" s="629"/>
      <c r="M280" s="629"/>
      <c r="N280" s="629"/>
    </row>
    <row r="281" spans="3:14" s="2" customFormat="1" ht="12.75">
      <c r="C281" s="417"/>
      <c r="H281" s="629"/>
      <c r="I281" s="629"/>
      <c r="J281" s="629"/>
      <c r="K281" s="629"/>
      <c r="L281" s="629"/>
      <c r="M281" s="629"/>
      <c r="N281" s="629"/>
    </row>
    <row r="282" spans="3:14" s="2" customFormat="1" ht="12.75">
      <c r="C282" s="417"/>
      <c r="H282" s="629"/>
      <c r="I282" s="629"/>
      <c r="J282" s="629"/>
      <c r="K282" s="629"/>
      <c r="L282" s="629"/>
      <c r="M282" s="629"/>
      <c r="N282" s="629"/>
    </row>
    <row r="283" spans="3:14" s="2" customFormat="1" ht="12.75">
      <c r="C283" s="417"/>
      <c r="H283" s="629"/>
      <c r="I283" s="629"/>
      <c r="J283" s="629"/>
      <c r="K283" s="629"/>
      <c r="L283" s="629"/>
      <c r="M283" s="629"/>
      <c r="N283" s="629"/>
    </row>
    <row r="284" spans="3:14" s="2" customFormat="1" ht="12.75">
      <c r="C284" s="417"/>
      <c r="H284" s="629"/>
      <c r="I284" s="629"/>
      <c r="J284" s="629"/>
      <c r="K284" s="629"/>
      <c r="L284" s="629"/>
      <c r="M284" s="629"/>
      <c r="N284" s="629"/>
    </row>
    <row r="285" spans="3:14" s="2" customFormat="1" ht="12.75">
      <c r="C285" s="417"/>
      <c r="H285" s="629"/>
      <c r="I285" s="629"/>
      <c r="J285" s="629"/>
      <c r="K285" s="629"/>
      <c r="L285" s="629"/>
      <c r="M285" s="629"/>
      <c r="N285" s="629"/>
    </row>
    <row r="286" spans="3:14" s="2" customFormat="1" ht="12.75">
      <c r="C286" s="417"/>
      <c r="H286" s="629"/>
      <c r="I286" s="629"/>
      <c r="J286" s="629"/>
      <c r="K286" s="629"/>
      <c r="L286" s="629"/>
      <c r="M286" s="629"/>
      <c r="N286" s="629"/>
    </row>
    <row r="287" spans="3:14" s="2" customFormat="1" ht="12.75">
      <c r="C287" s="417"/>
      <c r="H287" s="629"/>
      <c r="I287" s="629"/>
      <c r="J287" s="629"/>
      <c r="K287" s="629"/>
      <c r="L287" s="629"/>
      <c r="M287" s="629"/>
      <c r="N287" s="629"/>
    </row>
    <row r="288" spans="3:14" s="2" customFormat="1" ht="12.75">
      <c r="C288" s="417"/>
      <c r="H288" s="629"/>
      <c r="I288" s="629"/>
      <c r="J288" s="629"/>
      <c r="K288" s="629"/>
      <c r="L288" s="629"/>
      <c r="M288" s="629"/>
      <c r="N288" s="629"/>
    </row>
    <row r="289" spans="3:14" s="2" customFormat="1" ht="12.75">
      <c r="C289" s="417"/>
      <c r="H289" s="629"/>
      <c r="I289" s="629"/>
      <c r="J289" s="629"/>
      <c r="K289" s="629"/>
      <c r="L289" s="629"/>
      <c r="M289" s="629"/>
      <c r="N289" s="629"/>
    </row>
    <row r="290" spans="3:14" s="2" customFormat="1" ht="12.75">
      <c r="C290" s="417"/>
      <c r="H290" s="629"/>
      <c r="I290" s="629"/>
      <c r="J290" s="629"/>
      <c r="K290" s="629"/>
      <c r="L290" s="629"/>
      <c r="M290" s="629"/>
      <c r="N290" s="629"/>
    </row>
    <row r="291" spans="3:14" s="2" customFormat="1" ht="12.75">
      <c r="C291" s="417"/>
      <c r="H291" s="629"/>
      <c r="I291" s="629"/>
      <c r="J291" s="629"/>
      <c r="K291" s="629"/>
      <c r="L291" s="629"/>
      <c r="M291" s="629"/>
      <c r="N291" s="629"/>
    </row>
    <row r="292" spans="3:14" s="2" customFormat="1" ht="12.75">
      <c r="C292" s="417"/>
      <c r="H292" s="629"/>
      <c r="I292" s="629"/>
      <c r="J292" s="629"/>
      <c r="K292" s="629"/>
      <c r="L292" s="629"/>
      <c r="M292" s="629"/>
      <c r="N292" s="629"/>
    </row>
    <row r="293" spans="3:14" s="2" customFormat="1" ht="12.75">
      <c r="C293" s="417"/>
      <c r="H293" s="629"/>
      <c r="I293" s="629"/>
      <c r="J293" s="629"/>
      <c r="K293" s="629"/>
      <c r="L293" s="629"/>
      <c r="M293" s="629"/>
      <c r="N293" s="629"/>
    </row>
    <row r="294" spans="3:14" s="2" customFormat="1" ht="12.75">
      <c r="C294" s="417"/>
      <c r="H294" s="629"/>
      <c r="I294" s="629"/>
      <c r="J294" s="629"/>
      <c r="K294" s="629"/>
      <c r="L294" s="629"/>
      <c r="M294" s="629"/>
      <c r="N294" s="629"/>
    </row>
    <row r="295" spans="3:14" s="2" customFormat="1" ht="12.75">
      <c r="C295" s="417"/>
      <c r="H295" s="629"/>
      <c r="I295" s="629"/>
      <c r="J295" s="629"/>
      <c r="K295" s="629"/>
      <c r="L295" s="629"/>
      <c r="M295" s="629"/>
      <c r="N295" s="629"/>
    </row>
    <row r="296" spans="3:14" s="2" customFormat="1" ht="12.75">
      <c r="C296" s="417"/>
      <c r="H296" s="629"/>
      <c r="I296" s="629"/>
      <c r="J296" s="629"/>
      <c r="K296" s="629"/>
      <c r="L296" s="629"/>
      <c r="M296" s="629"/>
      <c r="N296" s="629"/>
    </row>
    <row r="297" spans="3:14" s="2" customFormat="1" ht="12.75">
      <c r="C297" s="417"/>
      <c r="H297" s="629"/>
      <c r="I297" s="629"/>
      <c r="J297" s="629"/>
      <c r="K297" s="629"/>
      <c r="L297" s="629"/>
      <c r="M297" s="629"/>
      <c r="N297" s="629"/>
    </row>
    <row r="298" spans="3:14" s="2" customFormat="1" ht="12.75">
      <c r="C298" s="417"/>
      <c r="H298" s="629"/>
      <c r="I298" s="629"/>
      <c r="J298" s="629"/>
      <c r="K298" s="629"/>
      <c r="L298" s="629"/>
      <c r="M298" s="629"/>
      <c r="N298" s="629"/>
    </row>
    <row r="299" spans="3:14" s="2" customFormat="1" ht="12.75">
      <c r="C299" s="417"/>
      <c r="H299" s="629"/>
      <c r="I299" s="629"/>
      <c r="J299" s="629"/>
      <c r="K299" s="629"/>
      <c r="L299" s="629"/>
      <c r="M299" s="629"/>
      <c r="N299" s="629"/>
    </row>
    <row r="300" spans="3:14" s="2" customFormat="1" ht="12.75">
      <c r="C300" s="417"/>
      <c r="H300" s="629"/>
      <c r="I300" s="629"/>
      <c r="J300" s="629"/>
      <c r="K300" s="629"/>
      <c r="L300" s="629"/>
      <c r="M300" s="629"/>
      <c r="N300" s="629"/>
    </row>
    <row r="301" spans="3:14" s="2" customFormat="1" ht="12.75">
      <c r="C301" s="417"/>
      <c r="H301" s="629"/>
      <c r="I301" s="629"/>
      <c r="J301" s="629"/>
      <c r="K301" s="629"/>
      <c r="L301" s="629"/>
      <c r="M301" s="629"/>
      <c r="N301" s="629"/>
    </row>
    <row r="302" spans="3:14" s="2" customFormat="1" ht="12.75">
      <c r="C302" s="417"/>
      <c r="H302" s="629"/>
      <c r="I302" s="629"/>
      <c r="J302" s="629"/>
      <c r="K302" s="629"/>
      <c r="L302" s="629"/>
      <c r="M302" s="629"/>
      <c r="N302" s="629"/>
    </row>
    <row r="303" spans="3:14" s="2" customFormat="1" ht="12.75">
      <c r="C303" s="417"/>
      <c r="H303" s="629"/>
      <c r="I303" s="629"/>
      <c r="J303" s="629"/>
      <c r="K303" s="629"/>
      <c r="L303" s="629"/>
      <c r="M303" s="629"/>
      <c r="N303" s="629"/>
    </row>
    <row r="304" spans="3:14" s="2" customFormat="1" ht="12.75">
      <c r="C304" s="417"/>
      <c r="H304" s="629"/>
      <c r="I304" s="629"/>
      <c r="J304" s="629"/>
      <c r="K304" s="629"/>
      <c r="L304" s="629"/>
      <c r="M304" s="629"/>
      <c r="N304" s="629"/>
    </row>
    <row r="305" spans="3:14" s="2" customFormat="1" ht="12.75">
      <c r="C305" s="417"/>
      <c r="H305" s="629"/>
      <c r="I305" s="629"/>
      <c r="J305" s="629"/>
      <c r="K305" s="629"/>
      <c r="L305" s="629"/>
      <c r="M305" s="629"/>
      <c r="N305" s="629"/>
    </row>
    <row r="306" spans="3:14" s="2" customFormat="1" ht="12.75">
      <c r="C306" s="417"/>
      <c r="H306" s="629"/>
      <c r="I306" s="629"/>
      <c r="J306" s="629"/>
      <c r="K306" s="629"/>
      <c r="L306" s="629"/>
      <c r="M306" s="629"/>
      <c r="N306" s="629"/>
    </row>
    <row r="307" spans="3:14" s="2" customFormat="1" ht="12.75">
      <c r="C307" s="417"/>
      <c r="H307" s="629"/>
      <c r="I307" s="629"/>
      <c r="J307" s="629"/>
      <c r="K307" s="629"/>
      <c r="L307" s="629"/>
      <c r="M307" s="629"/>
      <c r="N307" s="629"/>
    </row>
    <row r="308" spans="3:14" s="2" customFormat="1" ht="12.75">
      <c r="C308" s="417"/>
      <c r="H308" s="629"/>
      <c r="I308" s="629"/>
      <c r="J308" s="629"/>
      <c r="K308" s="629"/>
      <c r="L308" s="629"/>
      <c r="M308" s="629"/>
      <c r="N308" s="629"/>
    </row>
    <row r="309" spans="3:14" s="2" customFormat="1" ht="12.75">
      <c r="C309" s="417"/>
      <c r="H309" s="629"/>
      <c r="I309" s="629"/>
      <c r="J309" s="629"/>
      <c r="K309" s="629"/>
      <c r="L309" s="629"/>
      <c r="M309" s="629"/>
      <c r="N309" s="629"/>
    </row>
    <row r="310" spans="3:14" s="2" customFormat="1" ht="12.75">
      <c r="C310" s="417"/>
      <c r="H310" s="629"/>
      <c r="I310" s="629"/>
      <c r="J310" s="629"/>
      <c r="K310" s="629"/>
      <c r="L310" s="629"/>
      <c r="M310" s="629"/>
      <c r="N310" s="629"/>
    </row>
    <row r="311" spans="3:14" s="2" customFormat="1" ht="12.75">
      <c r="C311" s="417"/>
      <c r="H311" s="629"/>
      <c r="I311" s="629"/>
      <c r="J311" s="629"/>
      <c r="K311" s="629"/>
      <c r="L311" s="629"/>
      <c r="M311" s="629"/>
      <c r="N311" s="629"/>
    </row>
    <row r="312" spans="3:14" s="2" customFormat="1" ht="12.75">
      <c r="C312" s="417"/>
      <c r="H312" s="629"/>
      <c r="I312" s="629"/>
      <c r="J312" s="629"/>
      <c r="K312" s="629"/>
      <c r="L312" s="629"/>
      <c r="M312" s="629"/>
      <c r="N312" s="629"/>
    </row>
    <row r="313" spans="3:14" s="2" customFormat="1" ht="12.75">
      <c r="C313" s="417"/>
      <c r="H313" s="629"/>
      <c r="I313" s="629"/>
      <c r="J313" s="629"/>
      <c r="K313" s="629"/>
      <c r="L313" s="629"/>
      <c r="M313" s="629"/>
      <c r="N313" s="629"/>
    </row>
    <row r="314" spans="3:14" s="2" customFormat="1" ht="12.75">
      <c r="C314" s="417"/>
      <c r="H314" s="629"/>
      <c r="I314" s="629"/>
      <c r="J314" s="629"/>
      <c r="K314" s="629"/>
      <c r="L314" s="629"/>
      <c r="M314" s="629"/>
      <c r="N314" s="629"/>
    </row>
    <row r="315" spans="3:14" s="2" customFormat="1" ht="12.75">
      <c r="C315" s="417"/>
      <c r="H315" s="629"/>
      <c r="I315" s="629"/>
      <c r="J315" s="629"/>
      <c r="K315" s="629"/>
      <c r="L315" s="629"/>
      <c r="M315" s="629"/>
      <c r="N315" s="629"/>
    </row>
    <row r="316" spans="3:14" s="2" customFormat="1" ht="12.75">
      <c r="C316" s="417"/>
      <c r="H316" s="629"/>
      <c r="I316" s="629"/>
      <c r="J316" s="629"/>
      <c r="K316" s="629"/>
      <c r="L316" s="629"/>
      <c r="M316" s="629"/>
      <c r="N316" s="629"/>
    </row>
    <row r="317" spans="3:14" s="2" customFormat="1" ht="12.75">
      <c r="C317" s="417"/>
      <c r="H317" s="629"/>
      <c r="I317" s="629"/>
      <c r="J317" s="629"/>
      <c r="K317" s="629"/>
      <c r="L317" s="629"/>
      <c r="M317" s="629"/>
      <c r="N317" s="629"/>
    </row>
    <row r="318" spans="3:14" s="2" customFormat="1" ht="12.75">
      <c r="C318" s="417"/>
      <c r="H318" s="629"/>
      <c r="I318" s="629"/>
      <c r="J318" s="629"/>
      <c r="K318" s="629"/>
      <c r="L318" s="629"/>
      <c r="M318" s="629"/>
      <c r="N318" s="629"/>
    </row>
    <row r="319" spans="3:14" s="2" customFormat="1" ht="12.75">
      <c r="C319" s="417"/>
      <c r="H319" s="629"/>
      <c r="I319" s="629"/>
      <c r="J319" s="629"/>
      <c r="K319" s="629"/>
      <c r="L319" s="629"/>
      <c r="M319" s="629"/>
      <c r="N319" s="629"/>
    </row>
    <row r="320" spans="3:14" s="2" customFormat="1" ht="12.75">
      <c r="C320" s="417"/>
      <c r="H320" s="629"/>
      <c r="I320" s="629"/>
      <c r="J320" s="629"/>
      <c r="K320" s="629"/>
      <c r="L320" s="629"/>
      <c r="M320" s="629"/>
      <c r="N320" s="629"/>
    </row>
    <row r="321" spans="3:14" s="2" customFormat="1" ht="12.75">
      <c r="C321" s="417"/>
      <c r="H321" s="629"/>
      <c r="I321" s="629"/>
      <c r="J321" s="629"/>
      <c r="K321" s="629"/>
      <c r="L321" s="629"/>
      <c r="M321" s="629"/>
      <c r="N321" s="629"/>
    </row>
    <row r="322" spans="3:14" s="2" customFormat="1" ht="12.75">
      <c r="C322" s="417"/>
      <c r="H322" s="629"/>
      <c r="I322" s="629"/>
      <c r="J322" s="629"/>
      <c r="K322" s="629"/>
      <c r="L322" s="629"/>
      <c r="M322" s="629"/>
      <c r="N322" s="629"/>
    </row>
    <row r="323" spans="3:14" s="2" customFormat="1" ht="12.75">
      <c r="C323" s="417"/>
      <c r="H323" s="629"/>
      <c r="I323" s="629"/>
      <c r="J323" s="629"/>
      <c r="K323" s="629"/>
      <c r="L323" s="629"/>
      <c r="M323" s="629"/>
      <c r="N323" s="629"/>
    </row>
    <row r="324" spans="3:14" s="2" customFormat="1" ht="12.75">
      <c r="C324" s="417"/>
      <c r="H324" s="629"/>
      <c r="I324" s="629"/>
      <c r="J324" s="629"/>
      <c r="K324" s="629"/>
      <c r="L324" s="629"/>
      <c r="M324" s="629"/>
      <c r="N324" s="629"/>
    </row>
    <row r="325" spans="3:14" s="2" customFormat="1" ht="12.75">
      <c r="C325" s="417"/>
      <c r="H325" s="629"/>
      <c r="I325" s="629"/>
      <c r="J325" s="629"/>
      <c r="K325" s="629"/>
      <c r="L325" s="629"/>
      <c r="M325" s="629"/>
      <c r="N325" s="629"/>
    </row>
    <row r="326" spans="3:14" s="2" customFormat="1" ht="12.75">
      <c r="C326" s="417"/>
      <c r="H326" s="629"/>
      <c r="I326" s="629"/>
      <c r="J326" s="629"/>
      <c r="K326" s="629"/>
      <c r="L326" s="629"/>
      <c r="M326" s="629"/>
      <c r="N326" s="629"/>
    </row>
    <row r="327" spans="3:14" s="2" customFormat="1" ht="12.75">
      <c r="C327" s="417"/>
      <c r="H327" s="629"/>
      <c r="I327" s="629"/>
      <c r="J327" s="629"/>
      <c r="K327" s="629"/>
      <c r="L327" s="629"/>
      <c r="M327" s="629"/>
      <c r="N327" s="629"/>
    </row>
    <row r="328" spans="3:14" s="2" customFormat="1" ht="12.75">
      <c r="C328" s="417"/>
      <c r="H328" s="629"/>
      <c r="I328" s="629"/>
      <c r="J328" s="629"/>
      <c r="K328" s="629"/>
      <c r="L328" s="629"/>
      <c r="M328" s="629"/>
      <c r="N328" s="629"/>
    </row>
    <row r="329" spans="3:14" s="2" customFormat="1" ht="12.75">
      <c r="C329" s="417"/>
      <c r="H329" s="629"/>
      <c r="I329" s="629"/>
      <c r="J329" s="629"/>
      <c r="K329" s="629"/>
      <c r="L329" s="629"/>
      <c r="M329" s="629"/>
      <c r="N329" s="629"/>
    </row>
    <row r="330" spans="3:14" s="2" customFormat="1" ht="12.75">
      <c r="C330" s="417"/>
      <c r="H330" s="629"/>
      <c r="I330" s="629"/>
      <c r="J330" s="629"/>
      <c r="K330" s="629"/>
      <c r="L330" s="629"/>
      <c r="M330" s="629"/>
      <c r="N330" s="629"/>
    </row>
    <row r="331" spans="3:14" s="2" customFormat="1" ht="12.75">
      <c r="C331" s="417"/>
      <c r="H331" s="629"/>
      <c r="I331" s="629"/>
      <c r="J331" s="629"/>
      <c r="K331" s="629"/>
      <c r="L331" s="629"/>
      <c r="M331" s="629"/>
      <c r="N331" s="629"/>
    </row>
    <row r="332" spans="3:14" s="2" customFormat="1" ht="12.75">
      <c r="C332" s="417"/>
      <c r="H332" s="629"/>
      <c r="I332" s="629"/>
      <c r="J332" s="629"/>
      <c r="K332" s="629"/>
      <c r="L332" s="629"/>
      <c r="M332" s="629"/>
      <c r="N332" s="629"/>
    </row>
    <row r="333" spans="3:14" s="2" customFormat="1" ht="12.75">
      <c r="C333" s="417"/>
      <c r="H333" s="629"/>
      <c r="I333" s="629"/>
      <c r="J333" s="629"/>
      <c r="K333" s="629"/>
      <c r="L333" s="629"/>
      <c r="M333" s="629"/>
      <c r="N333" s="629"/>
    </row>
    <row r="334" spans="3:14" s="2" customFormat="1" ht="12.75">
      <c r="C334" s="417"/>
      <c r="H334" s="629"/>
      <c r="I334" s="629"/>
      <c r="J334" s="629"/>
      <c r="K334" s="629"/>
      <c r="L334" s="629"/>
      <c r="M334" s="629"/>
      <c r="N334" s="629"/>
    </row>
    <row r="335" spans="3:14" s="2" customFormat="1" ht="12.75">
      <c r="C335" s="417"/>
      <c r="H335" s="629"/>
      <c r="I335" s="629"/>
      <c r="J335" s="629"/>
      <c r="K335" s="629"/>
      <c r="L335" s="629"/>
      <c r="M335" s="629"/>
      <c r="N335" s="629"/>
    </row>
    <row r="336" spans="3:14" s="2" customFormat="1" ht="12.75">
      <c r="C336" s="417"/>
      <c r="H336" s="629"/>
      <c r="I336" s="629"/>
      <c r="J336" s="629"/>
      <c r="K336" s="629"/>
      <c r="L336" s="629"/>
      <c r="M336" s="629"/>
      <c r="N336" s="629"/>
    </row>
    <row r="337" spans="3:14" s="2" customFormat="1" ht="12.75">
      <c r="C337" s="417"/>
      <c r="H337" s="629"/>
      <c r="I337" s="629"/>
      <c r="J337" s="629"/>
      <c r="K337" s="629"/>
      <c r="L337" s="629"/>
      <c r="M337" s="629"/>
      <c r="N337" s="629"/>
    </row>
    <row r="338" spans="3:14" s="2" customFormat="1" ht="12.75">
      <c r="C338" s="417"/>
      <c r="H338" s="629"/>
      <c r="I338" s="629"/>
      <c r="J338" s="629"/>
      <c r="K338" s="629"/>
      <c r="L338" s="629"/>
      <c r="M338" s="629"/>
      <c r="N338" s="629"/>
    </row>
    <row r="339" spans="3:14" s="2" customFormat="1" ht="12.75">
      <c r="C339" s="417"/>
      <c r="H339" s="629"/>
      <c r="I339" s="629"/>
      <c r="J339" s="629"/>
      <c r="K339" s="629"/>
      <c r="L339" s="629"/>
      <c r="M339" s="629"/>
      <c r="N339" s="629"/>
    </row>
    <row r="340" spans="3:14" s="2" customFormat="1" ht="12.75">
      <c r="C340" s="417"/>
      <c r="H340" s="629"/>
      <c r="I340" s="629"/>
      <c r="J340" s="629"/>
      <c r="K340" s="629"/>
      <c r="L340" s="629"/>
      <c r="M340" s="629"/>
      <c r="N340" s="629"/>
    </row>
    <row r="341" spans="3:14" s="2" customFormat="1" ht="12.75">
      <c r="C341" s="417"/>
      <c r="H341" s="629"/>
      <c r="I341" s="629"/>
      <c r="J341" s="629"/>
      <c r="K341" s="629"/>
      <c r="L341" s="629"/>
      <c r="M341" s="629"/>
      <c r="N341" s="629"/>
    </row>
    <row r="342" spans="3:14" s="2" customFormat="1" ht="12.75">
      <c r="C342" s="417"/>
      <c r="H342" s="629"/>
      <c r="I342" s="629"/>
      <c r="J342" s="629"/>
      <c r="K342" s="629"/>
      <c r="L342" s="629"/>
      <c r="M342" s="629"/>
      <c r="N342" s="629"/>
    </row>
    <row r="343" spans="3:14" s="2" customFormat="1" ht="12.75">
      <c r="C343" s="417"/>
      <c r="H343" s="629"/>
      <c r="I343" s="629"/>
      <c r="J343" s="629"/>
      <c r="K343" s="629"/>
      <c r="L343" s="629"/>
      <c r="M343" s="629"/>
      <c r="N343" s="629"/>
    </row>
    <row r="344" spans="3:14" s="2" customFormat="1" ht="12.75">
      <c r="C344" s="417"/>
      <c r="H344" s="629"/>
      <c r="I344" s="629"/>
      <c r="J344" s="629"/>
      <c r="K344" s="629"/>
      <c r="L344" s="629"/>
      <c r="M344" s="629"/>
      <c r="N344" s="629"/>
    </row>
    <row r="345" spans="3:14" s="2" customFormat="1" ht="12.75">
      <c r="C345" s="417"/>
      <c r="H345" s="629"/>
      <c r="I345" s="629"/>
      <c r="J345" s="629"/>
      <c r="K345" s="629"/>
      <c r="L345" s="629"/>
      <c r="M345" s="629"/>
      <c r="N345" s="629"/>
    </row>
    <row r="346" spans="3:14" s="2" customFormat="1" ht="12.75">
      <c r="C346" s="417"/>
      <c r="H346" s="629"/>
      <c r="I346" s="629"/>
      <c r="J346" s="629"/>
      <c r="K346" s="629"/>
      <c r="L346" s="629"/>
      <c r="M346" s="629"/>
      <c r="N346" s="629"/>
    </row>
    <row r="347" spans="3:14" s="2" customFormat="1" ht="12.75">
      <c r="C347" s="417"/>
      <c r="H347" s="629"/>
      <c r="I347" s="629"/>
      <c r="J347" s="629"/>
      <c r="K347" s="629"/>
      <c r="L347" s="629"/>
      <c r="M347" s="629"/>
      <c r="N347" s="629"/>
    </row>
    <row r="348" spans="3:14" s="2" customFormat="1" ht="12.75">
      <c r="C348" s="417"/>
      <c r="H348" s="629"/>
      <c r="I348" s="629"/>
      <c r="J348" s="629"/>
      <c r="K348" s="629"/>
      <c r="L348" s="629"/>
      <c r="M348" s="629"/>
      <c r="N348" s="629"/>
    </row>
    <row r="349" spans="3:14" s="2" customFormat="1" ht="12.75">
      <c r="C349" s="417"/>
      <c r="H349" s="629"/>
      <c r="I349" s="629"/>
      <c r="J349" s="629"/>
      <c r="K349" s="629"/>
      <c r="L349" s="629"/>
      <c r="M349" s="629"/>
      <c r="N349" s="629"/>
    </row>
    <row r="350" spans="3:14" s="2" customFormat="1" ht="12.75">
      <c r="C350" s="417"/>
      <c r="H350" s="629"/>
      <c r="I350" s="629"/>
      <c r="J350" s="629"/>
      <c r="K350" s="629"/>
      <c r="L350" s="629"/>
      <c r="M350" s="629"/>
      <c r="N350" s="629"/>
    </row>
    <row r="351" spans="3:14" s="2" customFormat="1" ht="12.75">
      <c r="C351" s="417"/>
      <c r="H351" s="629"/>
      <c r="I351" s="629"/>
      <c r="J351" s="629"/>
      <c r="K351" s="629"/>
      <c r="L351" s="629"/>
      <c r="M351" s="629"/>
      <c r="N351" s="629"/>
    </row>
    <row r="352" spans="3:14" s="2" customFormat="1" ht="12.75">
      <c r="C352" s="417"/>
      <c r="H352" s="629"/>
      <c r="I352" s="629"/>
      <c r="J352" s="629"/>
      <c r="K352" s="629"/>
      <c r="L352" s="629"/>
      <c r="M352" s="629"/>
      <c r="N352" s="629"/>
    </row>
    <row r="353" spans="3:14" s="2" customFormat="1" ht="12.75">
      <c r="C353" s="417"/>
      <c r="H353" s="629"/>
      <c r="I353" s="629"/>
      <c r="J353" s="629"/>
      <c r="K353" s="629"/>
      <c r="L353" s="629"/>
      <c r="M353" s="629"/>
      <c r="N353" s="629"/>
    </row>
    <row r="354" spans="3:14" s="2" customFormat="1" ht="12.75">
      <c r="C354" s="417"/>
      <c r="H354" s="629"/>
      <c r="I354" s="629"/>
      <c r="J354" s="629"/>
      <c r="K354" s="629"/>
      <c r="L354" s="629"/>
      <c r="M354" s="629"/>
      <c r="N354" s="629"/>
    </row>
    <row r="355" spans="3:14" s="2" customFormat="1" ht="12.75">
      <c r="C355" s="417"/>
      <c r="H355" s="629"/>
      <c r="I355" s="629"/>
      <c r="J355" s="629"/>
      <c r="K355" s="629"/>
      <c r="L355" s="629"/>
      <c r="M355" s="629"/>
      <c r="N355" s="629"/>
    </row>
    <row r="356" spans="3:14" s="2" customFormat="1" ht="12.75">
      <c r="C356" s="417"/>
      <c r="H356" s="629"/>
      <c r="I356" s="629"/>
      <c r="J356" s="629"/>
      <c r="K356" s="629"/>
      <c r="L356" s="629"/>
      <c r="M356" s="629"/>
      <c r="N356" s="629"/>
    </row>
    <row r="357" spans="3:14" s="2" customFormat="1" ht="12.75">
      <c r="C357" s="417"/>
      <c r="H357" s="629"/>
      <c r="I357" s="629"/>
      <c r="J357" s="629"/>
      <c r="K357" s="629"/>
      <c r="L357" s="629"/>
      <c r="M357" s="629"/>
      <c r="N357" s="629"/>
    </row>
    <row r="358" spans="3:14" s="2" customFormat="1" ht="12.75">
      <c r="C358" s="417"/>
      <c r="H358" s="629"/>
      <c r="I358" s="629"/>
      <c r="J358" s="629"/>
      <c r="K358" s="629"/>
      <c r="L358" s="629"/>
      <c r="M358" s="629"/>
      <c r="N358" s="629"/>
    </row>
    <row r="359" spans="3:14" s="2" customFormat="1" ht="12.75">
      <c r="C359" s="417"/>
      <c r="H359" s="629"/>
      <c r="I359" s="629"/>
      <c r="J359" s="629"/>
      <c r="K359" s="629"/>
      <c r="L359" s="629"/>
      <c r="M359" s="629"/>
      <c r="N359" s="629"/>
    </row>
    <row r="360" spans="3:14" s="2" customFormat="1" ht="12.75">
      <c r="C360" s="417"/>
      <c r="H360" s="629"/>
      <c r="I360" s="629"/>
      <c r="J360" s="629"/>
      <c r="K360" s="629"/>
      <c r="L360" s="629"/>
      <c r="M360" s="629"/>
      <c r="N360" s="629"/>
    </row>
    <row r="361" spans="3:14" s="2" customFormat="1" ht="12.75">
      <c r="C361" s="417"/>
      <c r="H361" s="629"/>
      <c r="I361" s="629"/>
      <c r="J361" s="629"/>
      <c r="K361" s="629"/>
      <c r="L361" s="629"/>
      <c r="M361" s="629"/>
      <c r="N361" s="629"/>
    </row>
    <row r="362" spans="3:14" s="2" customFormat="1" ht="12.75">
      <c r="C362" s="417"/>
      <c r="H362" s="629"/>
      <c r="I362" s="629"/>
      <c r="J362" s="629"/>
      <c r="K362" s="629"/>
      <c r="L362" s="629"/>
      <c r="M362" s="629"/>
      <c r="N362" s="629"/>
    </row>
    <row r="363" spans="3:14" s="2" customFormat="1" ht="12.75">
      <c r="C363" s="417"/>
      <c r="H363" s="629"/>
      <c r="I363" s="629"/>
      <c r="J363" s="629"/>
      <c r="K363" s="629"/>
      <c r="L363" s="629"/>
      <c r="M363" s="629"/>
      <c r="N363" s="629"/>
    </row>
    <row r="364" spans="3:14" s="2" customFormat="1" ht="12.75">
      <c r="C364" s="417"/>
      <c r="H364" s="629"/>
      <c r="I364" s="629"/>
      <c r="J364" s="629"/>
      <c r="K364" s="629"/>
      <c r="L364" s="629"/>
      <c r="M364" s="629"/>
      <c r="N364" s="629"/>
    </row>
    <row r="365" spans="3:14" s="2" customFormat="1" ht="12.75">
      <c r="C365" s="417"/>
      <c r="H365" s="629"/>
      <c r="I365" s="629"/>
      <c r="J365" s="629"/>
      <c r="K365" s="629"/>
      <c r="L365" s="629"/>
      <c r="M365" s="629"/>
      <c r="N365" s="629"/>
    </row>
    <row r="366" spans="3:14" s="2" customFormat="1" ht="12.75">
      <c r="C366" s="417"/>
      <c r="H366" s="629"/>
      <c r="I366" s="629"/>
      <c r="J366" s="629"/>
      <c r="K366" s="629"/>
      <c r="L366" s="629"/>
      <c r="M366" s="629"/>
      <c r="N366" s="629"/>
    </row>
    <row r="367" spans="3:14" s="2" customFormat="1" ht="12.75">
      <c r="C367" s="417"/>
      <c r="H367" s="629"/>
      <c r="I367" s="629"/>
      <c r="J367" s="629"/>
      <c r="K367" s="629"/>
      <c r="L367" s="629"/>
      <c r="M367" s="629"/>
      <c r="N367" s="629"/>
    </row>
    <row r="368" spans="3:14" s="2" customFormat="1" ht="12.75">
      <c r="C368" s="417"/>
      <c r="H368" s="629"/>
      <c r="I368" s="629"/>
      <c r="J368" s="629"/>
      <c r="K368" s="629"/>
      <c r="L368" s="629"/>
      <c r="M368" s="629"/>
      <c r="N368" s="629"/>
    </row>
    <row r="369" spans="3:14" s="2" customFormat="1" ht="12.75">
      <c r="C369" s="417"/>
      <c r="H369" s="629"/>
      <c r="I369" s="629"/>
      <c r="J369" s="629"/>
      <c r="K369" s="629"/>
      <c r="L369" s="629"/>
      <c r="M369" s="629"/>
      <c r="N369" s="629"/>
    </row>
    <row r="370" spans="3:14" s="2" customFormat="1" ht="12.75">
      <c r="C370" s="417"/>
      <c r="H370" s="629"/>
      <c r="I370" s="629"/>
      <c r="J370" s="629"/>
      <c r="K370" s="629"/>
      <c r="L370" s="629"/>
      <c r="M370" s="629"/>
      <c r="N370" s="629"/>
    </row>
    <row r="371" spans="3:14" s="2" customFormat="1" ht="12.75">
      <c r="C371" s="417"/>
      <c r="H371" s="629"/>
      <c r="I371" s="629"/>
      <c r="J371" s="629"/>
      <c r="K371" s="629"/>
      <c r="L371" s="629"/>
      <c r="M371" s="629"/>
      <c r="N371" s="629"/>
    </row>
    <row r="372" spans="3:14" s="2" customFormat="1" ht="12.75">
      <c r="C372" s="417"/>
      <c r="H372" s="629"/>
      <c r="I372" s="629"/>
      <c r="J372" s="629"/>
      <c r="K372" s="629"/>
      <c r="L372" s="629"/>
      <c r="M372" s="629"/>
      <c r="N372" s="629"/>
    </row>
    <row r="373" spans="3:14" s="2" customFormat="1" ht="12.75">
      <c r="C373" s="417"/>
      <c r="H373" s="629"/>
      <c r="I373" s="629"/>
      <c r="J373" s="629"/>
      <c r="K373" s="629"/>
      <c r="L373" s="629"/>
      <c r="M373" s="629"/>
      <c r="N373" s="629"/>
    </row>
    <row r="374" spans="3:14" s="2" customFormat="1" ht="12.75">
      <c r="C374" s="417"/>
      <c r="H374" s="629"/>
      <c r="I374" s="629"/>
      <c r="J374" s="629"/>
      <c r="K374" s="629"/>
      <c r="L374" s="629"/>
      <c r="M374" s="629"/>
      <c r="N374" s="629"/>
    </row>
    <row r="375" spans="3:14" s="2" customFormat="1" ht="12.75">
      <c r="C375" s="417"/>
      <c r="H375" s="629"/>
      <c r="I375" s="629"/>
      <c r="J375" s="629"/>
      <c r="K375" s="629"/>
      <c r="L375" s="629"/>
      <c r="M375" s="629"/>
      <c r="N375" s="629"/>
    </row>
    <row r="376" spans="3:14" s="2" customFormat="1" ht="12.75">
      <c r="C376" s="417"/>
      <c r="H376" s="629"/>
      <c r="I376" s="629"/>
      <c r="J376" s="629"/>
      <c r="K376" s="629"/>
      <c r="L376" s="629"/>
      <c r="M376" s="629"/>
      <c r="N376" s="629"/>
    </row>
    <row r="377" spans="3:14" s="2" customFormat="1" ht="12.75">
      <c r="C377" s="417"/>
      <c r="H377" s="629"/>
      <c r="I377" s="629"/>
      <c r="J377" s="629"/>
      <c r="K377" s="629"/>
      <c r="L377" s="629"/>
      <c r="M377" s="629"/>
      <c r="N377" s="629"/>
    </row>
    <row r="378" spans="3:14" s="2" customFormat="1" ht="12.75">
      <c r="C378" s="417"/>
      <c r="H378" s="629"/>
      <c r="I378" s="629"/>
      <c r="J378" s="629"/>
      <c r="K378" s="629"/>
      <c r="L378" s="629"/>
      <c r="M378" s="629"/>
      <c r="N378" s="629"/>
    </row>
    <row r="379" spans="3:14" s="2" customFormat="1" ht="12.75">
      <c r="C379" s="417"/>
      <c r="H379" s="629"/>
      <c r="I379" s="629"/>
      <c r="J379" s="629"/>
      <c r="K379" s="629"/>
      <c r="L379" s="629"/>
      <c r="M379" s="629"/>
      <c r="N379" s="629"/>
    </row>
    <row r="380" spans="3:14" s="2" customFormat="1" ht="12.75">
      <c r="C380" s="417"/>
      <c r="H380" s="629"/>
      <c r="I380" s="629"/>
      <c r="J380" s="629"/>
      <c r="K380" s="629"/>
      <c r="L380" s="629"/>
      <c r="M380" s="629"/>
      <c r="N380" s="629"/>
    </row>
    <row r="381" spans="3:14" s="2" customFormat="1" ht="12.75">
      <c r="C381" s="417"/>
      <c r="H381" s="629"/>
      <c r="I381" s="629"/>
      <c r="J381" s="629"/>
      <c r="K381" s="629"/>
      <c r="L381" s="629"/>
      <c r="M381" s="629"/>
      <c r="N381" s="629"/>
    </row>
    <row r="382" spans="3:14" s="2" customFormat="1" ht="12.75">
      <c r="C382" s="417"/>
      <c r="H382" s="629"/>
      <c r="I382" s="629"/>
      <c r="J382" s="629"/>
      <c r="K382" s="629"/>
      <c r="L382" s="629"/>
      <c r="M382" s="629"/>
      <c r="N382" s="629"/>
    </row>
    <row r="383" spans="3:14" s="2" customFormat="1" ht="12.75">
      <c r="C383" s="417"/>
      <c r="H383" s="629"/>
      <c r="I383" s="629"/>
      <c r="J383" s="629"/>
      <c r="K383" s="629"/>
      <c r="L383" s="629"/>
      <c r="M383" s="629"/>
      <c r="N383" s="629"/>
    </row>
    <row r="384" spans="3:14" s="2" customFormat="1" ht="12.75">
      <c r="C384" s="417"/>
      <c r="H384" s="629"/>
      <c r="I384" s="629"/>
      <c r="J384" s="629"/>
      <c r="K384" s="629"/>
      <c r="L384" s="629"/>
      <c r="M384" s="629"/>
      <c r="N384" s="629"/>
    </row>
    <row r="385" spans="3:14" s="2" customFormat="1" ht="12.75">
      <c r="C385" s="417"/>
      <c r="H385" s="629"/>
      <c r="I385" s="629"/>
      <c r="J385" s="629"/>
      <c r="K385" s="629"/>
      <c r="L385" s="629"/>
      <c r="M385" s="629"/>
      <c r="N385" s="629"/>
    </row>
    <row r="386" spans="3:14" s="2" customFormat="1" ht="12.75">
      <c r="C386" s="417"/>
      <c r="H386" s="629"/>
      <c r="I386" s="629"/>
      <c r="J386" s="629"/>
      <c r="K386" s="629"/>
      <c r="L386" s="629"/>
      <c r="M386" s="629"/>
      <c r="N386" s="629"/>
    </row>
    <row r="387" spans="3:14" s="2" customFormat="1" ht="12.75">
      <c r="C387" s="417"/>
      <c r="H387" s="629"/>
      <c r="I387" s="629"/>
      <c r="J387" s="629"/>
      <c r="K387" s="629"/>
      <c r="L387" s="629"/>
      <c r="M387" s="629"/>
      <c r="N387" s="629"/>
    </row>
    <row r="388" spans="3:14" s="2" customFormat="1" ht="12.75">
      <c r="C388" s="417"/>
      <c r="H388" s="629"/>
      <c r="I388" s="629"/>
      <c r="J388" s="629"/>
      <c r="K388" s="629"/>
      <c r="L388" s="629"/>
      <c r="M388" s="629"/>
      <c r="N388" s="629"/>
    </row>
    <row r="389" spans="3:14" s="2" customFormat="1" ht="12.75">
      <c r="C389" s="417"/>
      <c r="H389" s="629"/>
      <c r="I389" s="629"/>
      <c r="J389" s="629"/>
      <c r="K389" s="629"/>
      <c r="L389" s="629"/>
      <c r="M389" s="629"/>
      <c r="N389" s="629"/>
    </row>
    <row r="390" spans="3:14" s="2" customFormat="1" ht="12.75">
      <c r="C390" s="417"/>
      <c r="H390" s="629"/>
      <c r="I390" s="629"/>
      <c r="J390" s="629"/>
      <c r="K390" s="629"/>
      <c r="L390" s="629"/>
      <c r="M390" s="629"/>
      <c r="N390" s="629"/>
    </row>
    <row r="391" spans="3:14" s="2" customFormat="1" ht="12.75">
      <c r="C391" s="417"/>
      <c r="H391" s="629"/>
      <c r="I391" s="629"/>
      <c r="J391" s="629"/>
      <c r="K391" s="629"/>
      <c r="L391" s="629"/>
      <c r="M391" s="629"/>
      <c r="N391" s="629"/>
    </row>
  </sheetData>
  <sheetProtection algorithmName="SHA-512" hashValue="ElWia7OxeBescAWeB23VSS5hi9a2I9vnHSKcovr8YIRmRLfWeVf9+4MJotLk0NasdmTQxoQL8tBr8FHEgKhafA==" saltValue="Auo+j4dbpB8SNerrsX+5kA==" spinCount="100000" sheet="1" objects="1" scenarios="1"/>
  <mergeCells count="3">
    <mergeCell ref="C165:N165"/>
    <mergeCell ref="C167:P167"/>
    <mergeCell ref="C168:P168"/>
  </mergeCells>
  <phoneticPr fontId="0" type="noConversion"/>
  <printOptions horizontalCentered="1"/>
  <pageMargins left="0.17" right="0.16" top="0.53" bottom="1" header="0.5" footer="0.5"/>
  <pageSetup scale="59" fitToHeight="4" orientation="landscape" r:id="rId1"/>
  <headerFooter alignWithMargins="0">
    <oddFooter>&amp;LHawai'i DOH
Spring 2024&amp;C&amp;8Page &amp;P of &amp;N&amp;R&amp;A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29"/>
    <pageSetUpPr fitToPage="1"/>
  </sheetPr>
  <dimension ref="A1:G399"/>
  <sheetViews>
    <sheetView workbookViewId="0">
      <pane ySplit="2985" topLeftCell="A5" activePane="bottomLeft"/>
      <selection activeCell="B7" sqref="B7"/>
      <selection pane="bottomLeft" activeCell="B7" sqref="B7"/>
    </sheetView>
  </sheetViews>
  <sheetFormatPr defaultColWidth="8.73046875" defaultRowHeight="10.15"/>
  <cols>
    <col min="1" max="1" width="40.86328125" style="1" customWidth="1"/>
    <col min="2" max="3" width="5.73046875" style="1" customWidth="1"/>
    <col min="4" max="4" width="8.3984375" style="1" customWidth="1"/>
    <col min="5" max="5" width="13.59765625" style="518" customWidth="1"/>
    <col min="6" max="6" width="15.265625" style="475" customWidth="1"/>
    <col min="7" max="7" width="13.59765625" style="475" customWidth="1"/>
    <col min="8" max="256" width="8.73046875" style="3"/>
    <col min="257" max="257" width="40.86328125" style="3" customWidth="1"/>
    <col min="258" max="259" width="5.73046875" style="3" customWidth="1"/>
    <col min="260" max="260" width="8.3984375" style="3" customWidth="1"/>
    <col min="261" max="261" width="13.59765625" style="3" customWidth="1"/>
    <col min="262" max="262" width="15.265625" style="3" customWidth="1"/>
    <col min="263" max="263" width="13.59765625" style="3" customWidth="1"/>
    <col min="264" max="512" width="8.73046875" style="3"/>
    <col min="513" max="513" width="40.86328125" style="3" customWidth="1"/>
    <col min="514" max="515" width="5.73046875" style="3" customWidth="1"/>
    <col min="516" max="516" width="8.3984375" style="3" customWidth="1"/>
    <col min="517" max="517" width="13.59765625" style="3" customWidth="1"/>
    <col min="518" max="518" width="15.265625" style="3" customWidth="1"/>
    <col min="519" max="519" width="13.59765625" style="3" customWidth="1"/>
    <col min="520" max="768" width="8.73046875" style="3"/>
    <col min="769" max="769" width="40.86328125" style="3" customWidth="1"/>
    <col min="770" max="771" width="5.73046875" style="3" customWidth="1"/>
    <col min="772" max="772" width="8.3984375" style="3" customWidth="1"/>
    <col min="773" max="773" width="13.59765625" style="3" customWidth="1"/>
    <col min="774" max="774" width="15.265625" style="3" customWidth="1"/>
    <col min="775" max="775" width="13.59765625" style="3" customWidth="1"/>
    <col min="776" max="1024" width="8.73046875" style="3"/>
    <col min="1025" max="1025" width="40.86328125" style="3" customWidth="1"/>
    <col min="1026" max="1027" width="5.73046875" style="3" customWidth="1"/>
    <col min="1028" max="1028" width="8.3984375" style="3" customWidth="1"/>
    <col min="1029" max="1029" width="13.59765625" style="3" customWidth="1"/>
    <col min="1030" max="1030" width="15.265625" style="3" customWidth="1"/>
    <col min="1031" max="1031" width="13.59765625" style="3" customWidth="1"/>
    <col min="1032" max="1280" width="8.73046875" style="3"/>
    <col min="1281" max="1281" width="40.86328125" style="3" customWidth="1"/>
    <col min="1282" max="1283" width="5.73046875" style="3" customWidth="1"/>
    <col min="1284" max="1284" width="8.3984375" style="3" customWidth="1"/>
    <col min="1285" max="1285" width="13.59765625" style="3" customWidth="1"/>
    <col min="1286" max="1286" width="15.265625" style="3" customWidth="1"/>
    <col min="1287" max="1287" width="13.59765625" style="3" customWidth="1"/>
    <col min="1288" max="1536" width="8.73046875" style="3"/>
    <col min="1537" max="1537" width="40.86328125" style="3" customWidth="1"/>
    <col min="1538" max="1539" width="5.73046875" style="3" customWidth="1"/>
    <col min="1540" max="1540" width="8.3984375" style="3" customWidth="1"/>
    <col min="1541" max="1541" width="13.59765625" style="3" customWidth="1"/>
    <col min="1542" max="1542" width="15.265625" style="3" customWidth="1"/>
    <col min="1543" max="1543" width="13.59765625" style="3" customWidth="1"/>
    <col min="1544" max="1792" width="8.73046875" style="3"/>
    <col min="1793" max="1793" width="40.86328125" style="3" customWidth="1"/>
    <col min="1794" max="1795" width="5.73046875" style="3" customWidth="1"/>
    <col min="1796" max="1796" width="8.3984375" style="3" customWidth="1"/>
    <col min="1797" max="1797" width="13.59765625" style="3" customWidth="1"/>
    <col min="1798" max="1798" width="15.265625" style="3" customWidth="1"/>
    <col min="1799" max="1799" width="13.59765625" style="3" customWidth="1"/>
    <col min="1800" max="2048" width="8.73046875" style="3"/>
    <col min="2049" max="2049" width="40.86328125" style="3" customWidth="1"/>
    <col min="2050" max="2051" width="5.73046875" style="3" customWidth="1"/>
    <col min="2052" max="2052" width="8.3984375" style="3" customWidth="1"/>
    <col min="2053" max="2053" width="13.59765625" style="3" customWidth="1"/>
    <col min="2054" max="2054" width="15.265625" style="3" customWidth="1"/>
    <col min="2055" max="2055" width="13.59765625" style="3" customWidth="1"/>
    <col min="2056" max="2304" width="8.73046875" style="3"/>
    <col min="2305" max="2305" width="40.86328125" style="3" customWidth="1"/>
    <col min="2306" max="2307" width="5.73046875" style="3" customWidth="1"/>
    <col min="2308" max="2308" width="8.3984375" style="3" customWidth="1"/>
    <col min="2309" max="2309" width="13.59765625" style="3" customWidth="1"/>
    <col min="2310" max="2310" width="15.265625" style="3" customWidth="1"/>
    <col min="2311" max="2311" width="13.59765625" style="3" customWidth="1"/>
    <col min="2312" max="2560" width="8.73046875" style="3"/>
    <col min="2561" max="2561" width="40.86328125" style="3" customWidth="1"/>
    <col min="2562" max="2563" width="5.73046875" style="3" customWidth="1"/>
    <col min="2564" max="2564" width="8.3984375" style="3" customWidth="1"/>
    <col min="2565" max="2565" width="13.59765625" style="3" customWidth="1"/>
    <col min="2566" max="2566" width="15.265625" style="3" customWidth="1"/>
    <col min="2567" max="2567" width="13.59765625" style="3" customWidth="1"/>
    <col min="2568" max="2816" width="8.73046875" style="3"/>
    <col min="2817" max="2817" width="40.86328125" style="3" customWidth="1"/>
    <col min="2818" max="2819" width="5.73046875" style="3" customWidth="1"/>
    <col min="2820" max="2820" width="8.3984375" style="3" customWidth="1"/>
    <col min="2821" max="2821" width="13.59765625" style="3" customWidth="1"/>
    <col min="2822" max="2822" width="15.265625" style="3" customWidth="1"/>
    <col min="2823" max="2823" width="13.59765625" style="3" customWidth="1"/>
    <col min="2824" max="3072" width="8.73046875" style="3"/>
    <col min="3073" max="3073" width="40.86328125" style="3" customWidth="1"/>
    <col min="3074" max="3075" width="5.73046875" style="3" customWidth="1"/>
    <col min="3076" max="3076" width="8.3984375" style="3" customWidth="1"/>
    <col min="3077" max="3077" width="13.59765625" style="3" customWidth="1"/>
    <col min="3078" max="3078" width="15.265625" style="3" customWidth="1"/>
    <col min="3079" max="3079" width="13.59765625" style="3" customWidth="1"/>
    <col min="3080" max="3328" width="8.73046875" style="3"/>
    <col min="3329" max="3329" width="40.86328125" style="3" customWidth="1"/>
    <col min="3330" max="3331" width="5.73046875" style="3" customWidth="1"/>
    <col min="3332" max="3332" width="8.3984375" style="3" customWidth="1"/>
    <col min="3333" max="3333" width="13.59765625" style="3" customWidth="1"/>
    <col min="3334" max="3334" width="15.265625" style="3" customWidth="1"/>
    <col min="3335" max="3335" width="13.59765625" style="3" customWidth="1"/>
    <col min="3336" max="3584" width="8.73046875" style="3"/>
    <col min="3585" max="3585" width="40.86328125" style="3" customWidth="1"/>
    <col min="3586" max="3587" width="5.73046875" style="3" customWidth="1"/>
    <col min="3588" max="3588" width="8.3984375" style="3" customWidth="1"/>
    <col min="3589" max="3589" width="13.59765625" style="3" customWidth="1"/>
    <col min="3590" max="3590" width="15.265625" style="3" customWidth="1"/>
    <col min="3591" max="3591" width="13.59765625" style="3" customWidth="1"/>
    <col min="3592" max="3840" width="8.73046875" style="3"/>
    <col min="3841" max="3841" width="40.86328125" style="3" customWidth="1"/>
    <col min="3842" max="3843" width="5.73046875" style="3" customWidth="1"/>
    <col min="3844" max="3844" width="8.3984375" style="3" customWidth="1"/>
    <col min="3845" max="3845" width="13.59765625" style="3" customWidth="1"/>
    <col min="3846" max="3846" width="15.265625" style="3" customWidth="1"/>
    <col min="3847" max="3847" width="13.59765625" style="3" customWidth="1"/>
    <col min="3848" max="4096" width="8.73046875" style="3"/>
    <col min="4097" max="4097" width="40.86328125" style="3" customWidth="1"/>
    <col min="4098" max="4099" width="5.73046875" style="3" customWidth="1"/>
    <col min="4100" max="4100" width="8.3984375" style="3" customWidth="1"/>
    <col min="4101" max="4101" width="13.59765625" style="3" customWidth="1"/>
    <col min="4102" max="4102" width="15.265625" style="3" customWidth="1"/>
    <col min="4103" max="4103" width="13.59765625" style="3" customWidth="1"/>
    <col min="4104" max="4352" width="8.73046875" style="3"/>
    <col min="4353" max="4353" width="40.86328125" style="3" customWidth="1"/>
    <col min="4354" max="4355" width="5.73046875" style="3" customWidth="1"/>
    <col min="4356" max="4356" width="8.3984375" style="3" customWidth="1"/>
    <col min="4357" max="4357" width="13.59765625" style="3" customWidth="1"/>
    <col min="4358" max="4358" width="15.265625" style="3" customWidth="1"/>
    <col min="4359" max="4359" width="13.59765625" style="3" customWidth="1"/>
    <col min="4360" max="4608" width="8.73046875" style="3"/>
    <col min="4609" max="4609" width="40.86328125" style="3" customWidth="1"/>
    <col min="4610" max="4611" width="5.73046875" style="3" customWidth="1"/>
    <col min="4612" max="4612" width="8.3984375" style="3" customWidth="1"/>
    <col min="4613" max="4613" width="13.59765625" style="3" customWidth="1"/>
    <col min="4614" max="4614" width="15.265625" style="3" customWidth="1"/>
    <col min="4615" max="4615" width="13.59765625" style="3" customWidth="1"/>
    <col min="4616" max="4864" width="8.73046875" style="3"/>
    <col min="4865" max="4865" width="40.86328125" style="3" customWidth="1"/>
    <col min="4866" max="4867" width="5.73046875" style="3" customWidth="1"/>
    <col min="4868" max="4868" width="8.3984375" style="3" customWidth="1"/>
    <col min="4869" max="4869" width="13.59765625" style="3" customWidth="1"/>
    <col min="4870" max="4870" width="15.265625" style="3" customWidth="1"/>
    <col min="4871" max="4871" width="13.59765625" style="3" customWidth="1"/>
    <col min="4872" max="5120" width="8.73046875" style="3"/>
    <col min="5121" max="5121" width="40.86328125" style="3" customWidth="1"/>
    <col min="5122" max="5123" width="5.73046875" style="3" customWidth="1"/>
    <col min="5124" max="5124" width="8.3984375" style="3" customWidth="1"/>
    <col min="5125" max="5125" width="13.59765625" style="3" customWidth="1"/>
    <col min="5126" max="5126" width="15.265625" style="3" customWidth="1"/>
    <col min="5127" max="5127" width="13.59765625" style="3" customWidth="1"/>
    <col min="5128" max="5376" width="8.73046875" style="3"/>
    <col min="5377" max="5377" width="40.86328125" style="3" customWidth="1"/>
    <col min="5378" max="5379" width="5.73046875" style="3" customWidth="1"/>
    <col min="5380" max="5380" width="8.3984375" style="3" customWidth="1"/>
    <col min="5381" max="5381" width="13.59765625" style="3" customWidth="1"/>
    <col min="5382" max="5382" width="15.265625" style="3" customWidth="1"/>
    <col min="5383" max="5383" width="13.59765625" style="3" customWidth="1"/>
    <col min="5384" max="5632" width="8.73046875" style="3"/>
    <col min="5633" max="5633" width="40.86328125" style="3" customWidth="1"/>
    <col min="5634" max="5635" width="5.73046875" style="3" customWidth="1"/>
    <col min="5636" max="5636" width="8.3984375" style="3" customWidth="1"/>
    <col min="5637" max="5637" width="13.59765625" style="3" customWidth="1"/>
    <col min="5638" max="5638" width="15.265625" style="3" customWidth="1"/>
    <col min="5639" max="5639" width="13.59765625" style="3" customWidth="1"/>
    <col min="5640" max="5888" width="8.73046875" style="3"/>
    <col min="5889" max="5889" width="40.86328125" style="3" customWidth="1"/>
    <col min="5890" max="5891" width="5.73046875" style="3" customWidth="1"/>
    <col min="5892" max="5892" width="8.3984375" style="3" customWidth="1"/>
    <col min="5893" max="5893" width="13.59765625" style="3" customWidth="1"/>
    <col min="5894" max="5894" width="15.265625" style="3" customWidth="1"/>
    <col min="5895" max="5895" width="13.59765625" style="3" customWidth="1"/>
    <col min="5896" max="6144" width="8.73046875" style="3"/>
    <col min="6145" max="6145" width="40.86328125" style="3" customWidth="1"/>
    <col min="6146" max="6147" width="5.73046875" style="3" customWidth="1"/>
    <col min="6148" max="6148" width="8.3984375" style="3" customWidth="1"/>
    <col min="6149" max="6149" width="13.59765625" style="3" customWidth="1"/>
    <col min="6150" max="6150" width="15.265625" style="3" customWidth="1"/>
    <col min="6151" max="6151" width="13.59765625" style="3" customWidth="1"/>
    <col min="6152" max="6400" width="8.73046875" style="3"/>
    <col min="6401" max="6401" width="40.86328125" style="3" customWidth="1"/>
    <col min="6402" max="6403" width="5.73046875" style="3" customWidth="1"/>
    <col min="6404" max="6404" width="8.3984375" style="3" customWidth="1"/>
    <col min="6405" max="6405" width="13.59765625" style="3" customWidth="1"/>
    <col min="6406" max="6406" width="15.265625" style="3" customWidth="1"/>
    <col min="6407" max="6407" width="13.59765625" style="3" customWidth="1"/>
    <col min="6408" max="6656" width="8.73046875" style="3"/>
    <col min="6657" max="6657" width="40.86328125" style="3" customWidth="1"/>
    <col min="6658" max="6659" width="5.73046875" style="3" customWidth="1"/>
    <col min="6660" max="6660" width="8.3984375" style="3" customWidth="1"/>
    <col min="6661" max="6661" width="13.59765625" style="3" customWidth="1"/>
    <col min="6662" max="6662" width="15.265625" style="3" customWidth="1"/>
    <col min="6663" max="6663" width="13.59765625" style="3" customWidth="1"/>
    <col min="6664" max="6912" width="8.73046875" style="3"/>
    <col min="6913" max="6913" width="40.86328125" style="3" customWidth="1"/>
    <col min="6914" max="6915" width="5.73046875" style="3" customWidth="1"/>
    <col min="6916" max="6916" width="8.3984375" style="3" customWidth="1"/>
    <col min="6917" max="6917" width="13.59765625" style="3" customWidth="1"/>
    <col min="6918" max="6918" width="15.265625" style="3" customWidth="1"/>
    <col min="6919" max="6919" width="13.59765625" style="3" customWidth="1"/>
    <col min="6920" max="7168" width="8.73046875" style="3"/>
    <col min="7169" max="7169" width="40.86328125" style="3" customWidth="1"/>
    <col min="7170" max="7171" width="5.73046875" style="3" customWidth="1"/>
    <col min="7172" max="7172" width="8.3984375" style="3" customWidth="1"/>
    <col min="7173" max="7173" width="13.59765625" style="3" customWidth="1"/>
    <col min="7174" max="7174" width="15.265625" style="3" customWidth="1"/>
    <col min="7175" max="7175" width="13.59765625" style="3" customWidth="1"/>
    <col min="7176" max="7424" width="8.73046875" style="3"/>
    <col min="7425" max="7425" width="40.86328125" style="3" customWidth="1"/>
    <col min="7426" max="7427" width="5.73046875" style="3" customWidth="1"/>
    <col min="7428" max="7428" width="8.3984375" style="3" customWidth="1"/>
    <col min="7429" max="7429" width="13.59765625" style="3" customWidth="1"/>
    <col min="7430" max="7430" width="15.265625" style="3" customWidth="1"/>
    <col min="7431" max="7431" width="13.59765625" style="3" customWidth="1"/>
    <col min="7432" max="7680" width="8.73046875" style="3"/>
    <col min="7681" max="7681" width="40.86328125" style="3" customWidth="1"/>
    <col min="7682" max="7683" width="5.73046875" style="3" customWidth="1"/>
    <col min="7684" max="7684" width="8.3984375" style="3" customWidth="1"/>
    <col min="7685" max="7685" width="13.59765625" style="3" customWidth="1"/>
    <col min="7686" max="7686" width="15.265625" style="3" customWidth="1"/>
    <col min="7687" max="7687" width="13.59765625" style="3" customWidth="1"/>
    <col min="7688" max="7936" width="8.73046875" style="3"/>
    <col min="7937" max="7937" width="40.86328125" style="3" customWidth="1"/>
    <col min="7938" max="7939" width="5.73046875" style="3" customWidth="1"/>
    <col min="7940" max="7940" width="8.3984375" style="3" customWidth="1"/>
    <col min="7941" max="7941" width="13.59765625" style="3" customWidth="1"/>
    <col min="7942" max="7942" width="15.265625" style="3" customWidth="1"/>
    <col min="7943" max="7943" width="13.59765625" style="3" customWidth="1"/>
    <col min="7944" max="8192" width="8.73046875" style="3"/>
    <col min="8193" max="8193" width="40.86328125" style="3" customWidth="1"/>
    <col min="8194" max="8195" width="5.73046875" style="3" customWidth="1"/>
    <col min="8196" max="8196" width="8.3984375" style="3" customWidth="1"/>
    <col min="8197" max="8197" width="13.59765625" style="3" customWidth="1"/>
    <col min="8198" max="8198" width="15.265625" style="3" customWidth="1"/>
    <col min="8199" max="8199" width="13.59765625" style="3" customWidth="1"/>
    <col min="8200" max="8448" width="8.73046875" style="3"/>
    <col min="8449" max="8449" width="40.86328125" style="3" customWidth="1"/>
    <col min="8450" max="8451" width="5.73046875" style="3" customWidth="1"/>
    <col min="8452" max="8452" width="8.3984375" style="3" customWidth="1"/>
    <col min="8453" max="8453" width="13.59765625" style="3" customWidth="1"/>
    <col min="8454" max="8454" width="15.265625" style="3" customWidth="1"/>
    <col min="8455" max="8455" width="13.59765625" style="3" customWidth="1"/>
    <col min="8456" max="8704" width="8.73046875" style="3"/>
    <col min="8705" max="8705" width="40.86328125" style="3" customWidth="1"/>
    <col min="8706" max="8707" width="5.73046875" style="3" customWidth="1"/>
    <col min="8708" max="8708" width="8.3984375" style="3" customWidth="1"/>
    <col min="8709" max="8709" width="13.59765625" style="3" customWidth="1"/>
    <col min="8710" max="8710" width="15.265625" style="3" customWidth="1"/>
    <col min="8711" max="8711" width="13.59765625" style="3" customWidth="1"/>
    <col min="8712" max="8960" width="8.73046875" style="3"/>
    <col min="8961" max="8961" width="40.86328125" style="3" customWidth="1"/>
    <col min="8962" max="8963" width="5.73046875" style="3" customWidth="1"/>
    <col min="8964" max="8964" width="8.3984375" style="3" customWidth="1"/>
    <col min="8965" max="8965" width="13.59765625" style="3" customWidth="1"/>
    <col min="8966" max="8966" width="15.265625" style="3" customWidth="1"/>
    <col min="8967" max="8967" width="13.59765625" style="3" customWidth="1"/>
    <col min="8968" max="9216" width="8.73046875" style="3"/>
    <col min="9217" max="9217" width="40.86328125" style="3" customWidth="1"/>
    <col min="9218" max="9219" width="5.73046875" style="3" customWidth="1"/>
    <col min="9220" max="9220" width="8.3984375" style="3" customWidth="1"/>
    <col min="9221" max="9221" width="13.59765625" style="3" customWidth="1"/>
    <col min="9222" max="9222" width="15.265625" style="3" customWidth="1"/>
    <col min="9223" max="9223" width="13.59765625" style="3" customWidth="1"/>
    <col min="9224" max="9472" width="8.73046875" style="3"/>
    <col min="9473" max="9473" width="40.86328125" style="3" customWidth="1"/>
    <col min="9474" max="9475" width="5.73046875" style="3" customWidth="1"/>
    <col min="9476" max="9476" width="8.3984375" style="3" customWidth="1"/>
    <col min="9477" max="9477" width="13.59765625" style="3" customWidth="1"/>
    <col min="9478" max="9478" width="15.265625" style="3" customWidth="1"/>
    <col min="9479" max="9479" width="13.59765625" style="3" customWidth="1"/>
    <col min="9480" max="9728" width="8.73046875" style="3"/>
    <col min="9729" max="9729" width="40.86328125" style="3" customWidth="1"/>
    <col min="9730" max="9731" width="5.73046875" style="3" customWidth="1"/>
    <col min="9732" max="9732" width="8.3984375" style="3" customWidth="1"/>
    <col min="9733" max="9733" width="13.59765625" style="3" customWidth="1"/>
    <col min="9734" max="9734" width="15.265625" style="3" customWidth="1"/>
    <col min="9735" max="9735" width="13.59765625" style="3" customWidth="1"/>
    <col min="9736" max="9984" width="8.73046875" style="3"/>
    <col min="9985" max="9985" width="40.86328125" style="3" customWidth="1"/>
    <col min="9986" max="9987" width="5.73046875" style="3" customWidth="1"/>
    <col min="9988" max="9988" width="8.3984375" style="3" customWidth="1"/>
    <col min="9989" max="9989" width="13.59765625" style="3" customWidth="1"/>
    <col min="9990" max="9990" width="15.265625" style="3" customWidth="1"/>
    <col min="9991" max="9991" width="13.59765625" style="3" customWidth="1"/>
    <col min="9992" max="10240" width="8.73046875" style="3"/>
    <col min="10241" max="10241" width="40.86328125" style="3" customWidth="1"/>
    <col min="10242" max="10243" width="5.73046875" style="3" customWidth="1"/>
    <col min="10244" max="10244" width="8.3984375" style="3" customWidth="1"/>
    <col min="10245" max="10245" width="13.59765625" style="3" customWidth="1"/>
    <col min="10246" max="10246" width="15.265625" style="3" customWidth="1"/>
    <col min="10247" max="10247" width="13.59765625" style="3" customWidth="1"/>
    <col min="10248" max="10496" width="8.73046875" style="3"/>
    <col min="10497" max="10497" width="40.86328125" style="3" customWidth="1"/>
    <col min="10498" max="10499" width="5.73046875" style="3" customWidth="1"/>
    <col min="10500" max="10500" width="8.3984375" style="3" customWidth="1"/>
    <col min="10501" max="10501" width="13.59765625" style="3" customWidth="1"/>
    <col min="10502" max="10502" width="15.265625" style="3" customWidth="1"/>
    <col min="10503" max="10503" width="13.59765625" style="3" customWidth="1"/>
    <col min="10504" max="10752" width="8.73046875" style="3"/>
    <col min="10753" max="10753" width="40.86328125" style="3" customWidth="1"/>
    <col min="10754" max="10755" width="5.73046875" style="3" customWidth="1"/>
    <col min="10756" max="10756" width="8.3984375" style="3" customWidth="1"/>
    <col min="10757" max="10757" width="13.59765625" style="3" customWidth="1"/>
    <col min="10758" max="10758" width="15.265625" style="3" customWidth="1"/>
    <col min="10759" max="10759" width="13.59765625" style="3" customWidth="1"/>
    <col min="10760" max="11008" width="8.73046875" style="3"/>
    <col min="11009" max="11009" width="40.86328125" style="3" customWidth="1"/>
    <col min="11010" max="11011" width="5.73046875" style="3" customWidth="1"/>
    <col min="11012" max="11012" width="8.3984375" style="3" customWidth="1"/>
    <col min="11013" max="11013" width="13.59765625" style="3" customWidth="1"/>
    <col min="11014" max="11014" width="15.265625" style="3" customWidth="1"/>
    <col min="11015" max="11015" width="13.59765625" style="3" customWidth="1"/>
    <col min="11016" max="11264" width="8.73046875" style="3"/>
    <col min="11265" max="11265" width="40.86328125" style="3" customWidth="1"/>
    <col min="11266" max="11267" width="5.73046875" style="3" customWidth="1"/>
    <col min="11268" max="11268" width="8.3984375" style="3" customWidth="1"/>
    <col min="11269" max="11269" width="13.59765625" style="3" customWidth="1"/>
    <col min="11270" max="11270" width="15.265625" style="3" customWidth="1"/>
    <col min="11271" max="11271" width="13.59765625" style="3" customWidth="1"/>
    <col min="11272" max="11520" width="8.73046875" style="3"/>
    <col min="11521" max="11521" width="40.86328125" style="3" customWidth="1"/>
    <col min="11522" max="11523" width="5.73046875" style="3" customWidth="1"/>
    <col min="11524" max="11524" width="8.3984375" style="3" customWidth="1"/>
    <col min="11525" max="11525" width="13.59765625" style="3" customWidth="1"/>
    <col min="11526" max="11526" width="15.265625" style="3" customWidth="1"/>
    <col min="11527" max="11527" width="13.59765625" style="3" customWidth="1"/>
    <col min="11528" max="11776" width="8.73046875" style="3"/>
    <col min="11777" max="11777" width="40.86328125" style="3" customWidth="1"/>
    <col min="11778" max="11779" width="5.73046875" style="3" customWidth="1"/>
    <col min="11780" max="11780" width="8.3984375" style="3" customWidth="1"/>
    <col min="11781" max="11781" width="13.59765625" style="3" customWidth="1"/>
    <col min="11782" max="11782" width="15.265625" style="3" customWidth="1"/>
    <col min="11783" max="11783" width="13.59765625" style="3" customWidth="1"/>
    <col min="11784" max="12032" width="8.73046875" style="3"/>
    <col min="12033" max="12033" width="40.86328125" style="3" customWidth="1"/>
    <col min="12034" max="12035" width="5.73046875" style="3" customWidth="1"/>
    <col min="12036" max="12036" width="8.3984375" style="3" customWidth="1"/>
    <col min="12037" max="12037" width="13.59765625" style="3" customWidth="1"/>
    <col min="12038" max="12038" width="15.265625" style="3" customWidth="1"/>
    <col min="12039" max="12039" width="13.59765625" style="3" customWidth="1"/>
    <col min="12040" max="12288" width="8.73046875" style="3"/>
    <col min="12289" max="12289" width="40.86328125" style="3" customWidth="1"/>
    <col min="12290" max="12291" width="5.73046875" style="3" customWidth="1"/>
    <col min="12292" max="12292" width="8.3984375" style="3" customWidth="1"/>
    <col min="12293" max="12293" width="13.59765625" style="3" customWidth="1"/>
    <col min="12294" max="12294" width="15.265625" style="3" customWidth="1"/>
    <col min="12295" max="12295" width="13.59765625" style="3" customWidth="1"/>
    <col min="12296" max="12544" width="8.73046875" style="3"/>
    <col min="12545" max="12545" width="40.86328125" style="3" customWidth="1"/>
    <col min="12546" max="12547" width="5.73046875" style="3" customWidth="1"/>
    <col min="12548" max="12548" width="8.3984375" style="3" customWidth="1"/>
    <col min="12549" max="12549" width="13.59765625" style="3" customWidth="1"/>
    <col min="12550" max="12550" width="15.265625" style="3" customWidth="1"/>
    <col min="12551" max="12551" width="13.59765625" style="3" customWidth="1"/>
    <col min="12552" max="12800" width="8.73046875" style="3"/>
    <col min="12801" max="12801" width="40.86328125" style="3" customWidth="1"/>
    <col min="12802" max="12803" width="5.73046875" style="3" customWidth="1"/>
    <col min="12804" max="12804" width="8.3984375" style="3" customWidth="1"/>
    <col min="12805" max="12805" width="13.59765625" style="3" customWidth="1"/>
    <col min="12806" max="12806" width="15.265625" style="3" customWidth="1"/>
    <col min="12807" max="12807" width="13.59765625" style="3" customWidth="1"/>
    <col min="12808" max="13056" width="8.73046875" style="3"/>
    <col min="13057" max="13057" width="40.86328125" style="3" customWidth="1"/>
    <col min="13058" max="13059" width="5.73046875" style="3" customWidth="1"/>
    <col min="13060" max="13060" width="8.3984375" style="3" customWidth="1"/>
    <col min="13061" max="13061" width="13.59765625" style="3" customWidth="1"/>
    <col min="13062" max="13062" width="15.265625" style="3" customWidth="1"/>
    <col min="13063" max="13063" width="13.59765625" style="3" customWidth="1"/>
    <col min="13064" max="13312" width="8.73046875" style="3"/>
    <col min="13313" max="13313" width="40.86328125" style="3" customWidth="1"/>
    <col min="13314" max="13315" width="5.73046875" style="3" customWidth="1"/>
    <col min="13316" max="13316" width="8.3984375" style="3" customWidth="1"/>
    <col min="13317" max="13317" width="13.59765625" style="3" customWidth="1"/>
    <col min="13318" max="13318" width="15.265625" style="3" customWidth="1"/>
    <col min="13319" max="13319" width="13.59765625" style="3" customWidth="1"/>
    <col min="13320" max="13568" width="8.73046875" style="3"/>
    <col min="13569" max="13569" width="40.86328125" style="3" customWidth="1"/>
    <col min="13570" max="13571" width="5.73046875" style="3" customWidth="1"/>
    <col min="13572" max="13572" width="8.3984375" style="3" customWidth="1"/>
    <col min="13573" max="13573" width="13.59765625" style="3" customWidth="1"/>
    <col min="13574" max="13574" width="15.265625" style="3" customWidth="1"/>
    <col min="13575" max="13575" width="13.59765625" style="3" customWidth="1"/>
    <col min="13576" max="13824" width="8.73046875" style="3"/>
    <col min="13825" max="13825" width="40.86328125" style="3" customWidth="1"/>
    <col min="13826" max="13827" width="5.73046875" style="3" customWidth="1"/>
    <col min="13828" max="13828" width="8.3984375" style="3" customWidth="1"/>
    <col min="13829" max="13829" width="13.59765625" style="3" customWidth="1"/>
    <col min="13830" max="13830" width="15.265625" style="3" customWidth="1"/>
    <col min="13831" max="13831" width="13.59765625" style="3" customWidth="1"/>
    <col min="13832" max="14080" width="8.73046875" style="3"/>
    <col min="14081" max="14081" width="40.86328125" style="3" customWidth="1"/>
    <col min="14082" max="14083" width="5.73046875" style="3" customWidth="1"/>
    <col min="14084" max="14084" width="8.3984375" style="3" customWidth="1"/>
    <col min="14085" max="14085" width="13.59765625" style="3" customWidth="1"/>
    <col min="14086" max="14086" width="15.265625" style="3" customWidth="1"/>
    <col min="14087" max="14087" width="13.59765625" style="3" customWidth="1"/>
    <col min="14088" max="14336" width="8.73046875" style="3"/>
    <col min="14337" max="14337" width="40.86328125" style="3" customWidth="1"/>
    <col min="14338" max="14339" width="5.73046875" style="3" customWidth="1"/>
    <col min="14340" max="14340" width="8.3984375" style="3" customWidth="1"/>
    <col min="14341" max="14341" width="13.59765625" style="3" customWidth="1"/>
    <col min="14342" max="14342" width="15.265625" style="3" customWidth="1"/>
    <col min="14343" max="14343" width="13.59765625" style="3" customWidth="1"/>
    <col min="14344" max="14592" width="8.73046875" style="3"/>
    <col min="14593" max="14593" width="40.86328125" style="3" customWidth="1"/>
    <col min="14594" max="14595" width="5.73046875" style="3" customWidth="1"/>
    <col min="14596" max="14596" width="8.3984375" style="3" customWidth="1"/>
    <col min="14597" max="14597" width="13.59765625" style="3" customWidth="1"/>
    <col min="14598" max="14598" width="15.265625" style="3" customWidth="1"/>
    <col min="14599" max="14599" width="13.59765625" style="3" customWidth="1"/>
    <col min="14600" max="14848" width="8.73046875" style="3"/>
    <col min="14849" max="14849" width="40.86328125" style="3" customWidth="1"/>
    <col min="14850" max="14851" width="5.73046875" style="3" customWidth="1"/>
    <col min="14852" max="14852" width="8.3984375" style="3" customWidth="1"/>
    <col min="14853" max="14853" width="13.59765625" style="3" customWidth="1"/>
    <col min="14854" max="14854" width="15.265625" style="3" customWidth="1"/>
    <col min="14855" max="14855" width="13.59765625" style="3" customWidth="1"/>
    <col min="14856" max="15104" width="8.73046875" style="3"/>
    <col min="15105" max="15105" width="40.86328125" style="3" customWidth="1"/>
    <col min="15106" max="15107" width="5.73046875" style="3" customWidth="1"/>
    <col min="15108" max="15108" width="8.3984375" style="3" customWidth="1"/>
    <col min="15109" max="15109" width="13.59765625" style="3" customWidth="1"/>
    <col min="15110" max="15110" width="15.265625" style="3" customWidth="1"/>
    <col min="15111" max="15111" width="13.59765625" style="3" customWidth="1"/>
    <col min="15112" max="15360" width="8.73046875" style="3"/>
    <col min="15361" max="15361" width="40.86328125" style="3" customWidth="1"/>
    <col min="15362" max="15363" width="5.73046875" style="3" customWidth="1"/>
    <col min="15364" max="15364" width="8.3984375" style="3" customWidth="1"/>
    <col min="15365" max="15365" width="13.59765625" style="3" customWidth="1"/>
    <col min="15366" max="15366" width="15.265625" style="3" customWidth="1"/>
    <col min="15367" max="15367" width="13.59765625" style="3" customWidth="1"/>
    <col min="15368" max="15616" width="8.73046875" style="3"/>
    <col min="15617" max="15617" width="40.86328125" style="3" customWidth="1"/>
    <col min="15618" max="15619" width="5.73046875" style="3" customWidth="1"/>
    <col min="15620" max="15620" width="8.3984375" style="3" customWidth="1"/>
    <col min="15621" max="15621" width="13.59765625" style="3" customWidth="1"/>
    <col min="15622" max="15622" width="15.265625" style="3" customWidth="1"/>
    <col min="15623" max="15623" width="13.59765625" style="3" customWidth="1"/>
    <col min="15624" max="15872" width="8.73046875" style="3"/>
    <col min="15873" max="15873" width="40.86328125" style="3" customWidth="1"/>
    <col min="15874" max="15875" width="5.73046875" style="3" customWidth="1"/>
    <col min="15876" max="15876" width="8.3984375" style="3" customWidth="1"/>
    <col min="15877" max="15877" width="13.59765625" style="3" customWidth="1"/>
    <col min="15878" max="15878" width="15.265625" style="3" customWidth="1"/>
    <col min="15879" max="15879" width="13.59765625" style="3" customWidth="1"/>
    <col min="15880" max="16128" width="8.73046875" style="3"/>
    <col min="16129" max="16129" width="40.86328125" style="3" customWidth="1"/>
    <col min="16130" max="16131" width="5.73046875" style="3" customWidth="1"/>
    <col min="16132" max="16132" width="8.3984375" style="3" customWidth="1"/>
    <col min="16133" max="16133" width="13.59765625" style="3" customWidth="1"/>
    <col min="16134" max="16134" width="15.265625" style="3" customWidth="1"/>
    <col min="16135" max="16135" width="13.59765625" style="3" customWidth="1"/>
    <col min="16136" max="16384" width="8.73046875" style="3"/>
  </cols>
  <sheetData>
    <row r="1" spans="1:7" ht="48.75">
      <c r="A1" s="866" t="s">
        <v>1372</v>
      </c>
      <c r="B1" s="866"/>
      <c r="C1" s="866"/>
      <c r="D1" s="866"/>
      <c r="E1" s="867"/>
      <c r="F1" s="868"/>
      <c r="G1" s="868"/>
    </row>
    <row r="2" spans="1:7" ht="15.4" thickBot="1">
      <c r="A2" s="751"/>
      <c r="B2" s="751"/>
      <c r="C2" s="751"/>
      <c r="D2" s="751"/>
      <c r="E2" s="3"/>
      <c r="F2" s="907"/>
      <c r="G2" s="908"/>
    </row>
    <row r="3" spans="1:7" ht="51" customHeight="1" thickTop="1">
      <c r="A3" s="880"/>
      <c r="B3" s="1454" t="s">
        <v>223</v>
      </c>
      <c r="C3" s="1455"/>
      <c r="D3" s="1458" t="s">
        <v>1359</v>
      </c>
      <c r="E3" s="909" t="s">
        <v>1360</v>
      </c>
      <c r="F3" s="910" t="s">
        <v>1371</v>
      </c>
      <c r="G3" s="911" t="s">
        <v>1373</v>
      </c>
    </row>
    <row r="4" spans="1:7" ht="15.75" customHeight="1" thickBot="1">
      <c r="A4" s="912" t="s">
        <v>894</v>
      </c>
      <c r="B4" s="1456"/>
      <c r="C4" s="1457"/>
      <c r="D4" s="1459"/>
      <c r="E4" s="913" t="s">
        <v>649</v>
      </c>
      <c r="F4" s="914" t="s">
        <v>816</v>
      </c>
      <c r="G4" s="915" t="s">
        <v>1361</v>
      </c>
    </row>
    <row r="5" spans="1:7" ht="11.25" customHeight="1">
      <c r="A5" s="454" t="s">
        <v>548</v>
      </c>
      <c r="B5" s="521" t="s">
        <v>651</v>
      </c>
      <c r="C5" s="916" t="s">
        <v>638</v>
      </c>
      <c r="D5" s="558" t="s">
        <v>1362</v>
      </c>
      <c r="E5" s="917" t="s">
        <v>367</v>
      </c>
      <c r="F5" s="521" t="s">
        <v>367</v>
      </c>
      <c r="G5" s="561" t="s">
        <v>367</v>
      </c>
    </row>
    <row r="6" spans="1:7" ht="11.25" customHeight="1">
      <c r="A6" s="458" t="s">
        <v>549</v>
      </c>
      <c r="B6" s="501" t="s">
        <v>651</v>
      </c>
      <c r="C6" s="566" t="s">
        <v>638</v>
      </c>
      <c r="D6" s="597" t="s">
        <v>1362</v>
      </c>
      <c r="E6" s="918" t="s">
        <v>367</v>
      </c>
      <c r="F6" s="562" t="s">
        <v>367</v>
      </c>
      <c r="G6" s="567" t="s">
        <v>367</v>
      </c>
    </row>
    <row r="7" spans="1:7" ht="11.25" customHeight="1">
      <c r="A7" s="458" t="s">
        <v>550</v>
      </c>
      <c r="B7" s="501" t="s">
        <v>651</v>
      </c>
      <c r="C7" s="566" t="s">
        <v>652</v>
      </c>
      <c r="D7" s="597" t="s">
        <v>1363</v>
      </c>
      <c r="E7" s="918">
        <v>1.4E-3</v>
      </c>
      <c r="F7" s="562">
        <v>6044.7756876580943</v>
      </c>
      <c r="G7" s="567">
        <v>169253.71925442666</v>
      </c>
    </row>
    <row r="8" spans="1:7" ht="11.25" customHeight="1">
      <c r="A8" s="458" t="s">
        <v>551</v>
      </c>
      <c r="B8" s="501" t="s">
        <v>1405</v>
      </c>
      <c r="C8" s="566" t="s">
        <v>638</v>
      </c>
      <c r="D8" s="597" t="s">
        <v>1362</v>
      </c>
      <c r="E8" s="918" t="s">
        <v>367</v>
      </c>
      <c r="F8" s="562" t="s">
        <v>367</v>
      </c>
      <c r="G8" s="567" t="s">
        <v>367</v>
      </c>
    </row>
    <row r="9" spans="1:7" ht="11.25" customHeight="1">
      <c r="A9" s="458" t="s">
        <v>161</v>
      </c>
      <c r="B9" s="501" t="s">
        <v>653</v>
      </c>
      <c r="C9" s="566" t="s">
        <v>638</v>
      </c>
      <c r="D9" s="597" t="s">
        <v>1362</v>
      </c>
      <c r="E9" s="918" t="s">
        <v>367</v>
      </c>
      <c r="F9" s="562" t="s">
        <v>367</v>
      </c>
      <c r="G9" s="567" t="s">
        <v>367</v>
      </c>
    </row>
    <row r="10" spans="1:7" ht="11.25" customHeight="1">
      <c r="A10" s="462" t="s">
        <v>1364</v>
      </c>
      <c r="B10" s="501" t="s">
        <v>653</v>
      </c>
      <c r="C10" s="566" t="s">
        <v>638</v>
      </c>
      <c r="D10" s="597" t="s">
        <v>1362</v>
      </c>
      <c r="E10" s="918" t="s">
        <v>367</v>
      </c>
      <c r="F10" s="562" t="s">
        <v>367</v>
      </c>
      <c r="G10" s="567" t="s">
        <v>367</v>
      </c>
    </row>
    <row r="11" spans="1:7" ht="11.25" customHeight="1">
      <c r="A11" s="462" t="s">
        <v>94</v>
      </c>
      <c r="B11" s="501" t="s">
        <v>653</v>
      </c>
      <c r="C11" s="566" t="s">
        <v>638</v>
      </c>
      <c r="D11" s="597" t="s">
        <v>1362</v>
      </c>
      <c r="E11" s="918" t="s">
        <v>367</v>
      </c>
      <c r="F11" s="562" t="s">
        <v>367</v>
      </c>
      <c r="G11" s="567" t="s">
        <v>367</v>
      </c>
    </row>
    <row r="12" spans="1:7" ht="11.25" customHeight="1">
      <c r="A12" s="458" t="s">
        <v>552</v>
      </c>
      <c r="B12" s="501" t="s">
        <v>651</v>
      </c>
      <c r="C12" s="566" t="s">
        <v>638</v>
      </c>
      <c r="D12" s="597" t="s">
        <v>1362</v>
      </c>
      <c r="E12" s="918" t="s">
        <v>367</v>
      </c>
      <c r="F12" s="562" t="s">
        <v>367</v>
      </c>
      <c r="G12" s="567" t="s">
        <v>367</v>
      </c>
    </row>
    <row r="13" spans="1:7" ht="11.25" customHeight="1">
      <c r="A13" s="458" t="s">
        <v>553</v>
      </c>
      <c r="B13" s="501" t="s">
        <v>653</v>
      </c>
      <c r="C13" s="566" t="s">
        <v>638</v>
      </c>
      <c r="D13" s="597" t="s">
        <v>1362</v>
      </c>
      <c r="E13" s="918" t="s">
        <v>367</v>
      </c>
      <c r="F13" s="562" t="s">
        <v>367</v>
      </c>
      <c r="G13" s="567" t="s">
        <v>367</v>
      </c>
    </row>
    <row r="14" spans="1:7" ht="11.25" customHeight="1">
      <c r="A14" s="458" t="s">
        <v>686</v>
      </c>
      <c r="B14" s="501" t="s">
        <v>653</v>
      </c>
      <c r="C14" s="566" t="s">
        <v>638</v>
      </c>
      <c r="D14" s="597" t="s">
        <v>1362</v>
      </c>
      <c r="E14" s="918" t="s">
        <v>367</v>
      </c>
      <c r="F14" s="562" t="s">
        <v>367</v>
      </c>
      <c r="G14" s="567" t="s">
        <v>367</v>
      </c>
    </row>
    <row r="15" spans="1:7" ht="11.25" customHeight="1">
      <c r="A15" s="458" t="s">
        <v>95</v>
      </c>
      <c r="B15" s="501" t="s">
        <v>653</v>
      </c>
      <c r="C15" s="566" t="s">
        <v>638</v>
      </c>
      <c r="D15" s="597" t="s">
        <v>1362</v>
      </c>
      <c r="E15" s="918" t="s">
        <v>367</v>
      </c>
      <c r="F15" s="562" t="s">
        <v>367</v>
      </c>
      <c r="G15" s="567" t="s">
        <v>367</v>
      </c>
    </row>
    <row r="16" spans="1:7" ht="11.25" customHeight="1">
      <c r="A16" s="458" t="s">
        <v>687</v>
      </c>
      <c r="B16" s="501" t="s">
        <v>653</v>
      </c>
      <c r="C16" s="566" t="s">
        <v>638</v>
      </c>
      <c r="D16" s="597" t="s">
        <v>1362</v>
      </c>
      <c r="E16" s="918" t="s">
        <v>367</v>
      </c>
      <c r="F16" s="562" t="s">
        <v>367</v>
      </c>
      <c r="G16" s="567" t="s">
        <v>367</v>
      </c>
    </row>
    <row r="17" spans="1:7" ht="11.25" customHeight="1">
      <c r="A17" s="919" t="s">
        <v>1156</v>
      </c>
      <c r="B17" s="501" t="s">
        <v>653</v>
      </c>
      <c r="C17" s="566" t="s">
        <v>638</v>
      </c>
      <c r="D17" s="597" t="s">
        <v>1362</v>
      </c>
      <c r="E17" s="918" t="s">
        <v>367</v>
      </c>
      <c r="F17" s="562" t="s">
        <v>367</v>
      </c>
      <c r="G17" s="567" t="s">
        <v>367</v>
      </c>
    </row>
    <row r="18" spans="1:7" ht="11.25" customHeight="1">
      <c r="A18" s="458" t="s">
        <v>688</v>
      </c>
      <c r="B18" s="501" t="s">
        <v>651</v>
      </c>
      <c r="C18" s="566" t="s">
        <v>652</v>
      </c>
      <c r="D18" s="597" t="s">
        <v>1363</v>
      </c>
      <c r="E18" s="918">
        <v>0.23</v>
      </c>
      <c r="F18" s="562">
        <v>5</v>
      </c>
      <c r="G18" s="567">
        <v>23000.000000000004</v>
      </c>
    </row>
    <row r="19" spans="1:7" ht="11.25" customHeight="1">
      <c r="A19" s="458" t="s">
        <v>689</v>
      </c>
      <c r="B19" s="501" t="s">
        <v>1405</v>
      </c>
      <c r="C19" s="566" t="s">
        <v>638</v>
      </c>
      <c r="D19" s="597" t="s">
        <v>1362</v>
      </c>
      <c r="E19" s="918" t="s">
        <v>367</v>
      </c>
      <c r="F19" s="562" t="s">
        <v>367</v>
      </c>
      <c r="G19" s="567" t="s">
        <v>367</v>
      </c>
    </row>
    <row r="20" spans="1:7" ht="11.25" customHeight="1">
      <c r="A20" s="458" t="s">
        <v>690</v>
      </c>
      <c r="B20" s="501" t="s">
        <v>653</v>
      </c>
      <c r="C20" s="566" t="s">
        <v>638</v>
      </c>
      <c r="D20" s="597" t="s">
        <v>1362</v>
      </c>
      <c r="E20" s="918" t="s">
        <v>367</v>
      </c>
      <c r="F20" s="562" t="s">
        <v>367</v>
      </c>
      <c r="G20" s="567" t="s">
        <v>367</v>
      </c>
    </row>
    <row r="21" spans="1:7" ht="11.25" customHeight="1">
      <c r="A21" s="458" t="s">
        <v>691</v>
      </c>
      <c r="B21" s="501" t="s">
        <v>653</v>
      </c>
      <c r="C21" s="566" t="s">
        <v>638</v>
      </c>
      <c r="D21" s="597" t="s">
        <v>1362</v>
      </c>
      <c r="E21" s="918" t="s">
        <v>367</v>
      </c>
      <c r="F21" s="562" t="s">
        <v>367</v>
      </c>
      <c r="G21" s="567" t="s">
        <v>367</v>
      </c>
    </row>
    <row r="22" spans="1:7" ht="11.25" customHeight="1">
      <c r="A22" s="458" t="s">
        <v>692</v>
      </c>
      <c r="B22" s="501" t="s">
        <v>653</v>
      </c>
      <c r="C22" s="566" t="s">
        <v>638</v>
      </c>
      <c r="D22" s="597" t="s">
        <v>1362</v>
      </c>
      <c r="E22" s="918" t="s">
        <v>367</v>
      </c>
      <c r="F22" s="562" t="s">
        <v>367</v>
      </c>
      <c r="G22" s="567" t="s">
        <v>367</v>
      </c>
    </row>
    <row r="23" spans="1:7" ht="11.25" customHeight="1">
      <c r="A23" s="458" t="s">
        <v>693</v>
      </c>
      <c r="B23" s="501" t="s">
        <v>653</v>
      </c>
      <c r="C23" s="566" t="s">
        <v>638</v>
      </c>
      <c r="D23" s="597" t="s">
        <v>1362</v>
      </c>
      <c r="E23" s="918" t="s">
        <v>367</v>
      </c>
      <c r="F23" s="562" t="s">
        <v>367</v>
      </c>
      <c r="G23" s="567" t="s">
        <v>367</v>
      </c>
    </row>
    <row r="24" spans="1:7" ht="11.25" customHeight="1">
      <c r="A24" s="458" t="s">
        <v>126</v>
      </c>
      <c r="B24" s="501" t="s">
        <v>653</v>
      </c>
      <c r="C24" s="566" t="s">
        <v>638</v>
      </c>
      <c r="D24" s="597" t="s">
        <v>1362</v>
      </c>
      <c r="E24" s="918" t="s">
        <v>367</v>
      </c>
      <c r="F24" s="562" t="s">
        <v>367</v>
      </c>
      <c r="G24" s="567" t="s">
        <v>367</v>
      </c>
    </row>
    <row r="25" spans="1:7" ht="11.25" customHeight="1">
      <c r="A25" s="458" t="s">
        <v>233</v>
      </c>
      <c r="B25" s="501" t="s">
        <v>651</v>
      </c>
      <c r="C25" s="566" t="s">
        <v>638</v>
      </c>
      <c r="D25" s="597" t="s">
        <v>1363</v>
      </c>
      <c r="E25" s="918">
        <v>1.2999999999999999E-2</v>
      </c>
      <c r="F25" s="562">
        <v>0.5</v>
      </c>
      <c r="G25" s="567">
        <v>130</v>
      </c>
    </row>
    <row r="26" spans="1:7" ht="11.25" customHeight="1">
      <c r="A26" s="458" t="s">
        <v>127</v>
      </c>
      <c r="B26" s="501" t="s">
        <v>651</v>
      </c>
      <c r="C26" s="566" t="s">
        <v>652</v>
      </c>
      <c r="D26" s="597" t="s">
        <v>1363</v>
      </c>
      <c r="E26" s="918">
        <v>6.9999999999999999E-4</v>
      </c>
      <c r="F26" s="562">
        <v>1.3650810195927489E-2</v>
      </c>
      <c r="G26" s="567">
        <v>0.19111134274298486</v>
      </c>
    </row>
    <row r="27" spans="1:7" ht="11.25" customHeight="1">
      <c r="A27" s="503" t="s">
        <v>1103</v>
      </c>
      <c r="B27" s="501" t="s">
        <v>651</v>
      </c>
      <c r="C27" s="566" t="s">
        <v>652</v>
      </c>
      <c r="D27" s="597" t="s">
        <v>1363</v>
      </c>
      <c r="E27" s="918">
        <v>4.6299999999999996E-3</v>
      </c>
      <c r="F27" s="562">
        <v>0.35711381953846194</v>
      </c>
      <c r="G27" s="567">
        <v>33.068739689261577</v>
      </c>
    </row>
    <row r="28" spans="1:7" ht="11.25" customHeight="1">
      <c r="A28" s="458" t="s">
        <v>128</v>
      </c>
      <c r="B28" s="501" t="s">
        <v>653</v>
      </c>
      <c r="C28" s="566" t="s">
        <v>638</v>
      </c>
      <c r="D28" s="597" t="s">
        <v>1362</v>
      </c>
      <c r="E28" s="918" t="s">
        <v>367</v>
      </c>
      <c r="F28" s="562" t="s">
        <v>367</v>
      </c>
      <c r="G28" s="567" t="s">
        <v>367</v>
      </c>
    </row>
    <row r="29" spans="1:7" ht="11.25" customHeight="1">
      <c r="A29" s="458" t="s">
        <v>129</v>
      </c>
      <c r="B29" s="501" t="s">
        <v>653</v>
      </c>
      <c r="C29" s="566" t="s">
        <v>638</v>
      </c>
      <c r="D29" s="597" t="s">
        <v>1362</v>
      </c>
      <c r="E29" s="918" t="s">
        <v>367</v>
      </c>
      <c r="F29" s="562" t="s">
        <v>367</v>
      </c>
      <c r="G29" s="567" t="s">
        <v>367</v>
      </c>
    </row>
    <row r="30" spans="1:7" ht="11.25" customHeight="1">
      <c r="A30" s="458" t="s">
        <v>130</v>
      </c>
      <c r="B30" s="501" t="s">
        <v>651</v>
      </c>
      <c r="C30" s="566" t="s">
        <v>652</v>
      </c>
      <c r="D30" s="597" t="s">
        <v>1363</v>
      </c>
      <c r="E30" s="918">
        <v>8.6999999999999994E-2</v>
      </c>
      <c r="F30" s="562">
        <v>0.13443335759216019</v>
      </c>
      <c r="G30" s="567">
        <v>233.9140422103587</v>
      </c>
    </row>
    <row r="31" spans="1:7" ht="11.25" customHeight="1">
      <c r="A31" s="458" t="s">
        <v>131</v>
      </c>
      <c r="B31" s="501" t="s">
        <v>1405</v>
      </c>
      <c r="C31" s="566" t="s">
        <v>638</v>
      </c>
      <c r="D31" s="597" t="s">
        <v>1362</v>
      </c>
      <c r="E31" s="918" t="s">
        <v>367</v>
      </c>
      <c r="F31" s="562" t="s">
        <v>367</v>
      </c>
      <c r="G31" s="567" t="s">
        <v>367</v>
      </c>
    </row>
    <row r="32" spans="1:7" ht="11.25" customHeight="1">
      <c r="A32" s="458" t="s">
        <v>132</v>
      </c>
      <c r="B32" s="501" t="s">
        <v>651</v>
      </c>
      <c r="C32" s="566" t="s">
        <v>21</v>
      </c>
      <c r="D32" s="597" t="s">
        <v>1363</v>
      </c>
      <c r="E32" s="918">
        <v>0.3</v>
      </c>
      <c r="F32" s="562">
        <v>18.72653049057315</v>
      </c>
      <c r="G32" s="567">
        <v>112359.18294343891</v>
      </c>
    </row>
    <row r="33" spans="1:7" ht="11.25" customHeight="1">
      <c r="A33" s="458" t="s">
        <v>133</v>
      </c>
      <c r="B33" s="501" t="s">
        <v>653</v>
      </c>
      <c r="C33" s="566" t="s">
        <v>638</v>
      </c>
      <c r="D33" s="597" t="s">
        <v>1362</v>
      </c>
      <c r="E33" s="918" t="s">
        <v>367</v>
      </c>
      <c r="F33" s="562" t="s">
        <v>367</v>
      </c>
      <c r="G33" s="567" t="s">
        <v>367</v>
      </c>
    </row>
    <row r="34" spans="1:7" ht="11.25" customHeight="1">
      <c r="A34" s="458" t="s">
        <v>134</v>
      </c>
      <c r="B34" s="501" t="s">
        <v>651</v>
      </c>
      <c r="C34" s="566" t="s">
        <v>652</v>
      </c>
      <c r="D34" s="597" t="s">
        <v>1363</v>
      </c>
      <c r="E34" s="918">
        <v>1.1000000000000001</v>
      </c>
      <c r="F34" s="562">
        <v>5</v>
      </c>
      <c r="G34" s="567">
        <v>110000</v>
      </c>
    </row>
    <row r="35" spans="1:7" ht="11.25" customHeight="1">
      <c r="A35" s="458" t="s">
        <v>614</v>
      </c>
      <c r="B35" s="501" t="s">
        <v>1405</v>
      </c>
      <c r="C35" s="566" t="s">
        <v>638</v>
      </c>
      <c r="D35" s="597" t="s">
        <v>1362</v>
      </c>
      <c r="E35" s="918" t="s">
        <v>367</v>
      </c>
      <c r="F35" s="562" t="s">
        <v>367</v>
      </c>
      <c r="G35" s="567" t="s">
        <v>367</v>
      </c>
    </row>
    <row r="36" spans="1:7" ht="11.25" customHeight="1">
      <c r="A36" s="458" t="s">
        <v>135</v>
      </c>
      <c r="B36" s="501" t="s">
        <v>653</v>
      </c>
      <c r="C36" s="566" t="s">
        <v>638</v>
      </c>
      <c r="D36" s="597" t="s">
        <v>1362</v>
      </c>
      <c r="E36" s="918" t="s">
        <v>367</v>
      </c>
      <c r="F36" s="562" t="s">
        <v>367</v>
      </c>
      <c r="G36" s="567" t="s">
        <v>367</v>
      </c>
    </row>
    <row r="37" spans="1:7" ht="11.25" customHeight="1">
      <c r="A37" s="458" t="s">
        <v>136</v>
      </c>
      <c r="B37" s="501" t="s">
        <v>651</v>
      </c>
      <c r="C37" s="566" t="s">
        <v>652</v>
      </c>
      <c r="D37" s="597" t="s">
        <v>1363</v>
      </c>
      <c r="E37" s="918">
        <v>0.13</v>
      </c>
      <c r="F37" s="562">
        <v>50</v>
      </c>
      <c r="G37" s="567">
        <v>130000</v>
      </c>
    </row>
    <row r="38" spans="1:7" ht="11.25" customHeight="1">
      <c r="A38" s="458" t="s">
        <v>781</v>
      </c>
      <c r="B38" s="501" t="s">
        <v>651</v>
      </c>
      <c r="C38" s="566" t="s">
        <v>21</v>
      </c>
      <c r="D38" s="597" t="s">
        <v>1363</v>
      </c>
      <c r="E38" s="918">
        <v>0.45</v>
      </c>
      <c r="F38" s="562">
        <v>16</v>
      </c>
      <c r="G38" s="567">
        <v>144000</v>
      </c>
    </row>
    <row r="39" spans="1:7" ht="11.25" customHeight="1">
      <c r="A39" s="464" t="s">
        <v>137</v>
      </c>
      <c r="B39" s="501" t="s">
        <v>651</v>
      </c>
      <c r="C39" s="566" t="s">
        <v>652</v>
      </c>
      <c r="D39" s="597" t="s">
        <v>1363</v>
      </c>
      <c r="E39" s="918">
        <v>0.15</v>
      </c>
      <c r="F39" s="562">
        <v>70</v>
      </c>
      <c r="G39" s="567">
        <v>210000</v>
      </c>
    </row>
    <row r="40" spans="1:7" ht="11.25" customHeight="1">
      <c r="A40" s="458" t="s">
        <v>782</v>
      </c>
      <c r="B40" s="501" t="s">
        <v>651</v>
      </c>
      <c r="C40" s="566" t="s">
        <v>21</v>
      </c>
      <c r="D40" s="597" t="s">
        <v>1363</v>
      </c>
      <c r="E40" s="918">
        <v>0.36</v>
      </c>
      <c r="F40" s="562">
        <v>1072.6530612244896</v>
      </c>
      <c r="G40" s="567">
        <v>7723102.0408163257</v>
      </c>
    </row>
    <row r="41" spans="1:7" ht="11.25" customHeight="1">
      <c r="A41" s="458" t="s">
        <v>138</v>
      </c>
      <c r="B41" s="501" t="s">
        <v>651</v>
      </c>
      <c r="C41" s="566" t="s">
        <v>652</v>
      </c>
      <c r="D41" s="597" t="s">
        <v>1363</v>
      </c>
      <c r="E41" s="918">
        <v>4.6000000000000001E-4</v>
      </c>
      <c r="F41" s="562">
        <v>0.18</v>
      </c>
      <c r="G41" s="567">
        <v>1.6559999999999999</v>
      </c>
    </row>
    <row r="42" spans="1:7" ht="11.25" customHeight="1">
      <c r="A42" s="458" t="s">
        <v>612</v>
      </c>
      <c r="B42" s="501" t="s">
        <v>653</v>
      </c>
      <c r="C42" s="566" t="s">
        <v>638</v>
      </c>
      <c r="D42" s="597" t="s">
        <v>1362</v>
      </c>
      <c r="E42" s="918" t="s">
        <v>367</v>
      </c>
      <c r="F42" s="562" t="s">
        <v>367</v>
      </c>
      <c r="G42" s="567" t="s">
        <v>367</v>
      </c>
    </row>
    <row r="43" spans="1:7" ht="11.25" customHeight="1">
      <c r="A43" s="458" t="s">
        <v>779</v>
      </c>
      <c r="B43" s="501" t="s">
        <v>653</v>
      </c>
      <c r="C43" s="566" t="s">
        <v>638</v>
      </c>
      <c r="D43" s="597" t="s">
        <v>1362</v>
      </c>
      <c r="E43" s="918" t="s">
        <v>367</v>
      </c>
      <c r="F43" s="562" t="s">
        <v>367</v>
      </c>
      <c r="G43" s="567" t="s">
        <v>367</v>
      </c>
    </row>
    <row r="44" spans="1:7" ht="11.25" customHeight="1">
      <c r="A44" s="458" t="s">
        <v>780</v>
      </c>
      <c r="B44" s="501" t="s">
        <v>653</v>
      </c>
      <c r="C44" s="566" t="s">
        <v>638</v>
      </c>
      <c r="D44" s="597" t="s">
        <v>1362</v>
      </c>
      <c r="E44" s="918" t="s">
        <v>367</v>
      </c>
      <c r="F44" s="562" t="s">
        <v>367</v>
      </c>
      <c r="G44" s="567" t="s">
        <v>367</v>
      </c>
    </row>
    <row r="45" spans="1:7" ht="11.25" customHeight="1">
      <c r="A45" s="458" t="s">
        <v>139</v>
      </c>
      <c r="B45" s="501" t="s">
        <v>653</v>
      </c>
      <c r="C45" s="566" t="s">
        <v>638</v>
      </c>
      <c r="D45" s="597" t="s">
        <v>1362</v>
      </c>
      <c r="E45" s="918" t="s">
        <v>367</v>
      </c>
      <c r="F45" s="562" t="s">
        <v>367</v>
      </c>
      <c r="G45" s="567" t="s">
        <v>367</v>
      </c>
    </row>
    <row r="46" spans="1:7" ht="11.25" customHeight="1">
      <c r="A46" s="458" t="s">
        <v>140</v>
      </c>
      <c r="B46" s="501" t="s">
        <v>653</v>
      </c>
      <c r="C46" s="566" t="s">
        <v>638</v>
      </c>
      <c r="D46" s="597" t="s">
        <v>1362</v>
      </c>
      <c r="E46" s="918" t="s">
        <v>367</v>
      </c>
      <c r="F46" s="562" t="s">
        <v>367</v>
      </c>
      <c r="G46" s="567" t="s">
        <v>367</v>
      </c>
    </row>
    <row r="47" spans="1:7" ht="11.25" customHeight="1">
      <c r="A47" s="458" t="s">
        <v>141</v>
      </c>
      <c r="B47" s="501" t="s">
        <v>653</v>
      </c>
      <c r="C47" s="566" t="s">
        <v>638</v>
      </c>
      <c r="D47" s="597" t="s">
        <v>1362</v>
      </c>
      <c r="E47" s="918" t="s">
        <v>367</v>
      </c>
      <c r="F47" s="562" t="s">
        <v>367</v>
      </c>
      <c r="G47" s="567" t="s">
        <v>367</v>
      </c>
    </row>
    <row r="48" spans="1:7" ht="11.25" customHeight="1">
      <c r="A48" s="458" t="s">
        <v>142</v>
      </c>
      <c r="B48" s="501" t="s">
        <v>651</v>
      </c>
      <c r="C48" s="566" t="s">
        <v>638</v>
      </c>
      <c r="D48" s="597" t="s">
        <v>1362</v>
      </c>
      <c r="E48" s="918" t="s">
        <v>367</v>
      </c>
      <c r="F48" s="562" t="s">
        <v>367</v>
      </c>
      <c r="G48" s="567" t="s">
        <v>367</v>
      </c>
    </row>
    <row r="49" spans="1:7" ht="11.25" customHeight="1">
      <c r="A49" s="462" t="s">
        <v>96</v>
      </c>
      <c r="B49" s="501" t="s">
        <v>653</v>
      </c>
      <c r="C49" s="566" t="s">
        <v>638</v>
      </c>
      <c r="D49" s="597" t="s">
        <v>1362</v>
      </c>
      <c r="E49" s="918" t="s">
        <v>367</v>
      </c>
      <c r="F49" s="562" t="s">
        <v>367</v>
      </c>
      <c r="G49" s="567" t="s">
        <v>367</v>
      </c>
    </row>
    <row r="50" spans="1:7" ht="11.25" customHeight="1">
      <c r="A50" s="458" t="s">
        <v>97</v>
      </c>
      <c r="B50" s="501" t="s">
        <v>653</v>
      </c>
      <c r="C50" s="566" t="s">
        <v>652</v>
      </c>
      <c r="D50" s="597" t="s">
        <v>1362</v>
      </c>
      <c r="E50" s="918" t="s">
        <v>367</v>
      </c>
      <c r="F50" s="562" t="s">
        <v>367</v>
      </c>
      <c r="G50" s="567" t="s">
        <v>367</v>
      </c>
    </row>
    <row r="51" spans="1:7" ht="11.25" customHeight="1">
      <c r="A51" s="458" t="s">
        <v>143</v>
      </c>
      <c r="B51" s="501" t="s">
        <v>653</v>
      </c>
      <c r="C51" s="566" t="s">
        <v>638</v>
      </c>
      <c r="D51" s="597" t="s">
        <v>1362</v>
      </c>
      <c r="E51" s="918" t="s">
        <v>367</v>
      </c>
      <c r="F51" s="562" t="s">
        <v>367</v>
      </c>
      <c r="G51" s="567" t="s">
        <v>367</v>
      </c>
    </row>
    <row r="52" spans="1:7" ht="11.25" customHeight="1">
      <c r="A52" s="458" t="s">
        <v>381</v>
      </c>
      <c r="B52" s="501" t="s">
        <v>651</v>
      </c>
      <c r="C52" s="566" t="s">
        <v>652</v>
      </c>
      <c r="D52" s="597" t="s">
        <v>1363</v>
      </c>
      <c r="E52" s="918">
        <v>6.0000000000000001E-3</v>
      </c>
      <c r="F52" s="562">
        <v>0.04</v>
      </c>
      <c r="G52" s="567">
        <v>4.8000000000000007</v>
      </c>
    </row>
    <row r="53" spans="1:7" ht="11.25" customHeight="1">
      <c r="A53" s="458" t="s">
        <v>144</v>
      </c>
      <c r="B53" s="501" t="s">
        <v>651</v>
      </c>
      <c r="C53" s="566" t="s">
        <v>638</v>
      </c>
      <c r="D53" s="597" t="s">
        <v>1363</v>
      </c>
      <c r="E53" s="918">
        <v>3.2000000000000001E-2</v>
      </c>
      <c r="F53" s="562">
        <v>0.87111199475121337</v>
      </c>
      <c r="G53" s="567">
        <v>557.51167664077661</v>
      </c>
    </row>
    <row r="54" spans="1:7" ht="11.25" customHeight="1">
      <c r="A54" s="458" t="s">
        <v>487</v>
      </c>
      <c r="B54" s="501" t="s">
        <v>651</v>
      </c>
      <c r="C54" s="566" t="s">
        <v>638</v>
      </c>
      <c r="D54" s="597" t="s">
        <v>1363</v>
      </c>
      <c r="E54" s="918">
        <v>2.7E-2</v>
      </c>
      <c r="F54" s="562">
        <v>0.04</v>
      </c>
      <c r="G54" s="567">
        <v>21.6</v>
      </c>
    </row>
    <row r="55" spans="1:7" ht="11.25" customHeight="1">
      <c r="A55" s="458" t="s">
        <v>145</v>
      </c>
      <c r="B55" s="501" t="s">
        <v>651</v>
      </c>
      <c r="C55" s="566" t="s">
        <v>652</v>
      </c>
      <c r="D55" s="597" t="s">
        <v>1363</v>
      </c>
      <c r="E55" s="918">
        <v>7.8E-2</v>
      </c>
      <c r="F55" s="562">
        <v>10</v>
      </c>
      <c r="G55" s="567">
        <v>15600</v>
      </c>
    </row>
    <row r="56" spans="1:7" ht="11.25" customHeight="1">
      <c r="A56" s="458" t="s">
        <v>225</v>
      </c>
      <c r="B56" s="501" t="s">
        <v>651</v>
      </c>
      <c r="C56" s="566" t="s">
        <v>652</v>
      </c>
      <c r="D56" s="597" t="s">
        <v>1363</v>
      </c>
      <c r="E56" s="918">
        <v>7.7899999999999997E-2</v>
      </c>
      <c r="F56" s="562">
        <v>5</v>
      </c>
      <c r="G56" s="567">
        <v>7789.9999999999991</v>
      </c>
    </row>
    <row r="57" spans="1:7" ht="11.25" customHeight="1">
      <c r="A57" s="458" t="s">
        <v>226</v>
      </c>
      <c r="B57" s="501" t="s">
        <v>651</v>
      </c>
      <c r="C57" s="566" t="s">
        <v>638</v>
      </c>
      <c r="D57" s="597" t="s">
        <v>1363</v>
      </c>
      <c r="E57" s="918">
        <v>9.9000000000000005E-2</v>
      </c>
      <c r="F57" s="562">
        <v>5</v>
      </c>
      <c r="G57" s="567">
        <v>9900</v>
      </c>
    </row>
    <row r="58" spans="1:7" ht="11.25" customHeight="1">
      <c r="A58" s="458" t="s">
        <v>227</v>
      </c>
      <c r="B58" s="501" t="s">
        <v>653</v>
      </c>
      <c r="C58" s="566" t="s">
        <v>638</v>
      </c>
      <c r="D58" s="597" t="s">
        <v>1362</v>
      </c>
      <c r="E58" s="918" t="s">
        <v>367</v>
      </c>
      <c r="F58" s="562" t="s">
        <v>367</v>
      </c>
      <c r="G58" s="567" t="s">
        <v>367</v>
      </c>
    </row>
    <row r="59" spans="1:7" ht="11.25" customHeight="1">
      <c r="A59" s="458" t="s">
        <v>361</v>
      </c>
      <c r="B59" s="501" t="s">
        <v>653</v>
      </c>
      <c r="C59" s="566" t="s">
        <v>638</v>
      </c>
      <c r="D59" s="597" t="s">
        <v>1362</v>
      </c>
      <c r="E59" s="918" t="s">
        <v>367</v>
      </c>
      <c r="F59" s="562" t="s">
        <v>367</v>
      </c>
      <c r="G59" s="567" t="s">
        <v>367</v>
      </c>
    </row>
    <row r="60" spans="1:7" ht="11.25" customHeight="1">
      <c r="A60" s="458" t="s">
        <v>362</v>
      </c>
      <c r="B60" s="501" t="s">
        <v>1405</v>
      </c>
      <c r="C60" s="566" t="s">
        <v>638</v>
      </c>
      <c r="D60" s="597" t="s">
        <v>1362</v>
      </c>
      <c r="E60" s="918" t="s">
        <v>367</v>
      </c>
      <c r="F60" s="562" t="s">
        <v>367</v>
      </c>
      <c r="G60" s="567" t="s">
        <v>367</v>
      </c>
    </row>
    <row r="61" spans="1:7" ht="11.25" customHeight="1">
      <c r="A61" s="458" t="s">
        <v>363</v>
      </c>
      <c r="B61" s="501" t="s">
        <v>653</v>
      </c>
      <c r="C61" s="566" t="s">
        <v>638</v>
      </c>
      <c r="D61" s="597" t="s">
        <v>1362</v>
      </c>
      <c r="E61" s="918" t="s">
        <v>367</v>
      </c>
      <c r="F61" s="562" t="s">
        <v>367</v>
      </c>
      <c r="G61" s="567" t="s">
        <v>367</v>
      </c>
    </row>
    <row r="62" spans="1:7" ht="11.25" customHeight="1">
      <c r="A62" s="458" t="s">
        <v>234</v>
      </c>
      <c r="B62" s="501" t="s">
        <v>651</v>
      </c>
      <c r="C62" s="566" t="s">
        <v>652</v>
      </c>
      <c r="D62" s="597" t="s">
        <v>1363</v>
      </c>
      <c r="E62" s="918">
        <v>0.23</v>
      </c>
      <c r="F62" s="562">
        <v>2.7505849956546897</v>
      </c>
      <c r="G62" s="567">
        <v>12652.690980011574</v>
      </c>
    </row>
    <row r="63" spans="1:7" ht="11.25" customHeight="1">
      <c r="A63" s="458" t="s">
        <v>235</v>
      </c>
      <c r="B63" s="501" t="s">
        <v>651</v>
      </c>
      <c r="C63" s="566" t="s">
        <v>652</v>
      </c>
      <c r="D63" s="597" t="s">
        <v>1363</v>
      </c>
      <c r="E63" s="918">
        <v>4.8000000000000001E-2</v>
      </c>
      <c r="F63" s="562">
        <v>5</v>
      </c>
      <c r="G63" s="567">
        <v>4800</v>
      </c>
    </row>
    <row r="64" spans="1:7" ht="11.25" customHeight="1">
      <c r="A64" s="458" t="s">
        <v>294</v>
      </c>
      <c r="B64" s="501" t="s">
        <v>651</v>
      </c>
      <c r="C64" s="566" t="s">
        <v>652</v>
      </c>
      <c r="D64" s="597" t="s">
        <v>1363</v>
      </c>
      <c r="E64" s="918">
        <v>1.1000000000000001</v>
      </c>
      <c r="F64" s="562">
        <v>7</v>
      </c>
      <c r="G64" s="567">
        <v>154000.00000000003</v>
      </c>
    </row>
    <row r="65" spans="1:7" ht="11.25" customHeight="1">
      <c r="A65" s="458" t="s">
        <v>295</v>
      </c>
      <c r="B65" s="501" t="s">
        <v>651</v>
      </c>
      <c r="C65" s="566" t="s">
        <v>652</v>
      </c>
      <c r="D65" s="597" t="s">
        <v>1363</v>
      </c>
      <c r="E65" s="918">
        <v>0.17</v>
      </c>
      <c r="F65" s="562">
        <v>70</v>
      </c>
      <c r="G65" s="567">
        <v>238000</v>
      </c>
    </row>
    <row r="66" spans="1:7" ht="11.25" customHeight="1">
      <c r="A66" s="458" t="s">
        <v>228</v>
      </c>
      <c r="B66" s="501" t="s">
        <v>651</v>
      </c>
      <c r="C66" s="566" t="s">
        <v>652</v>
      </c>
      <c r="D66" s="597" t="s">
        <v>1363</v>
      </c>
      <c r="E66" s="918">
        <v>0.38</v>
      </c>
      <c r="F66" s="562">
        <v>100</v>
      </c>
      <c r="G66" s="567">
        <v>760000</v>
      </c>
    </row>
    <row r="67" spans="1:7" ht="11.25" customHeight="1">
      <c r="A67" s="458" t="s">
        <v>942</v>
      </c>
      <c r="B67" s="501" t="s">
        <v>653</v>
      </c>
      <c r="C67" s="566" t="s">
        <v>638</v>
      </c>
      <c r="D67" s="597" t="s">
        <v>1362</v>
      </c>
      <c r="E67" s="918" t="s">
        <v>367</v>
      </c>
      <c r="F67" s="562" t="s">
        <v>367</v>
      </c>
      <c r="G67" s="567" t="s">
        <v>367</v>
      </c>
    </row>
    <row r="68" spans="1:7" ht="11.25" customHeight="1">
      <c r="A68" s="458" t="s">
        <v>98</v>
      </c>
      <c r="B68" s="501" t="s">
        <v>653</v>
      </c>
      <c r="C68" s="566" t="s">
        <v>638</v>
      </c>
      <c r="D68" s="597" t="s">
        <v>1362</v>
      </c>
      <c r="E68" s="918" t="s">
        <v>367</v>
      </c>
      <c r="F68" s="562" t="s">
        <v>367</v>
      </c>
      <c r="G68" s="567" t="s">
        <v>367</v>
      </c>
    </row>
    <row r="69" spans="1:7" ht="11.25" customHeight="1">
      <c r="A69" s="458" t="s">
        <v>943</v>
      </c>
      <c r="B69" s="501" t="s">
        <v>651</v>
      </c>
      <c r="C69" s="566" t="s">
        <v>652</v>
      </c>
      <c r="D69" s="597" t="s">
        <v>1363</v>
      </c>
      <c r="E69" s="918">
        <v>0.12</v>
      </c>
      <c r="F69" s="562">
        <v>5</v>
      </c>
      <c r="G69" s="567">
        <v>12000</v>
      </c>
    </row>
    <row r="70" spans="1:7" ht="11.25" customHeight="1">
      <c r="A70" s="458" t="s">
        <v>296</v>
      </c>
      <c r="B70" s="501" t="s">
        <v>651</v>
      </c>
      <c r="C70" s="566" t="s">
        <v>652</v>
      </c>
      <c r="D70" s="597" t="s">
        <v>1363</v>
      </c>
      <c r="E70" s="918">
        <v>0.15</v>
      </c>
      <c r="F70" s="562">
        <v>0.47246971144685262</v>
      </c>
      <c r="G70" s="567">
        <v>1417.4091343405578</v>
      </c>
    </row>
    <row r="71" spans="1:7" ht="11.25" customHeight="1">
      <c r="A71" s="458" t="s">
        <v>944</v>
      </c>
      <c r="B71" s="501" t="s">
        <v>653</v>
      </c>
      <c r="C71" s="566" t="s">
        <v>638</v>
      </c>
      <c r="D71" s="597" t="s">
        <v>1362</v>
      </c>
      <c r="E71" s="918" t="s">
        <v>367</v>
      </c>
      <c r="F71" s="562" t="s">
        <v>367</v>
      </c>
      <c r="G71" s="567" t="s">
        <v>367</v>
      </c>
    </row>
    <row r="72" spans="1:7" ht="11.25" customHeight="1">
      <c r="A72" s="458" t="s">
        <v>945</v>
      </c>
      <c r="B72" s="501" t="s">
        <v>653</v>
      </c>
      <c r="C72" s="566" t="s">
        <v>638</v>
      </c>
      <c r="D72" s="597" t="s">
        <v>1362</v>
      </c>
      <c r="E72" s="918" t="s">
        <v>367</v>
      </c>
      <c r="F72" s="562" t="s">
        <v>367</v>
      </c>
      <c r="G72" s="567" t="s">
        <v>367</v>
      </c>
    </row>
    <row r="73" spans="1:7" ht="11.25" customHeight="1">
      <c r="A73" s="458" t="s">
        <v>947</v>
      </c>
      <c r="B73" s="501" t="s">
        <v>653</v>
      </c>
      <c r="C73" s="566" t="s">
        <v>638</v>
      </c>
      <c r="D73" s="597" t="s">
        <v>1363</v>
      </c>
      <c r="E73" s="918">
        <v>3.8999999999999999E-5</v>
      </c>
      <c r="F73" s="562">
        <v>355.32722285616643</v>
      </c>
      <c r="G73" s="567" t="s">
        <v>367</v>
      </c>
    </row>
    <row r="74" spans="1:7" ht="11.25" customHeight="1">
      <c r="A74" s="458" t="s">
        <v>946</v>
      </c>
      <c r="B74" s="501" t="s">
        <v>653</v>
      </c>
      <c r="C74" s="566" t="s">
        <v>638</v>
      </c>
      <c r="D74" s="597" t="s">
        <v>1362</v>
      </c>
      <c r="E74" s="918" t="s">
        <v>367</v>
      </c>
      <c r="F74" s="562" t="s">
        <v>367</v>
      </c>
      <c r="G74" s="567" t="s">
        <v>367</v>
      </c>
    </row>
    <row r="75" spans="1:7" ht="11.25" customHeight="1">
      <c r="A75" s="462" t="s">
        <v>99</v>
      </c>
      <c r="B75" s="501" t="s">
        <v>653</v>
      </c>
      <c r="C75" s="566" t="s">
        <v>638</v>
      </c>
      <c r="D75" s="597" t="s">
        <v>1362</v>
      </c>
      <c r="E75" s="918" t="s">
        <v>367</v>
      </c>
      <c r="F75" s="562" t="s">
        <v>367</v>
      </c>
      <c r="G75" s="567" t="s">
        <v>367</v>
      </c>
    </row>
    <row r="76" spans="1:7" ht="11.25" customHeight="1">
      <c r="A76" s="458" t="s">
        <v>297</v>
      </c>
      <c r="B76" s="501" t="s">
        <v>653</v>
      </c>
      <c r="C76" s="566" t="s">
        <v>638</v>
      </c>
      <c r="D76" s="597" t="s">
        <v>1362</v>
      </c>
      <c r="E76" s="918" t="s">
        <v>367</v>
      </c>
      <c r="F76" s="562" t="s">
        <v>367</v>
      </c>
      <c r="G76" s="567" t="s">
        <v>367</v>
      </c>
    </row>
    <row r="77" spans="1:7" ht="11.25" customHeight="1">
      <c r="A77" s="462" t="s">
        <v>100</v>
      </c>
      <c r="B77" s="501" t="s">
        <v>653</v>
      </c>
      <c r="C77" s="566" t="s">
        <v>638</v>
      </c>
      <c r="D77" s="597" t="s">
        <v>1362</v>
      </c>
      <c r="E77" s="918" t="s">
        <v>367</v>
      </c>
      <c r="F77" s="562" t="s">
        <v>367</v>
      </c>
      <c r="G77" s="567" t="s">
        <v>367</v>
      </c>
    </row>
    <row r="78" spans="1:7" ht="11.25" customHeight="1">
      <c r="A78" s="462" t="s">
        <v>101</v>
      </c>
      <c r="B78" s="501" t="s">
        <v>653</v>
      </c>
      <c r="C78" s="566" t="s">
        <v>638</v>
      </c>
      <c r="D78" s="597" t="s">
        <v>1362</v>
      </c>
      <c r="E78" s="918" t="s">
        <v>367</v>
      </c>
      <c r="F78" s="562" t="s">
        <v>367</v>
      </c>
      <c r="G78" s="567" t="s">
        <v>367</v>
      </c>
    </row>
    <row r="79" spans="1:7" ht="11.25" customHeight="1">
      <c r="A79" s="458" t="s">
        <v>382</v>
      </c>
      <c r="B79" s="501" t="s">
        <v>651</v>
      </c>
      <c r="C79" s="566" t="s">
        <v>652</v>
      </c>
      <c r="D79" s="597" t="s">
        <v>1362</v>
      </c>
      <c r="E79" s="918" t="s">
        <v>367</v>
      </c>
      <c r="F79" s="562" t="s">
        <v>367</v>
      </c>
      <c r="G79" s="567" t="s">
        <v>367</v>
      </c>
    </row>
    <row r="80" spans="1:7" ht="11.25" customHeight="1">
      <c r="A80" s="503" t="s">
        <v>1365</v>
      </c>
      <c r="B80" s="501" t="s">
        <v>1405</v>
      </c>
      <c r="C80" s="566" t="s">
        <v>638</v>
      </c>
      <c r="D80" s="597" t="s">
        <v>1362</v>
      </c>
      <c r="E80" s="918" t="s">
        <v>367</v>
      </c>
      <c r="F80" s="562" t="s">
        <v>367</v>
      </c>
      <c r="G80" s="567" t="s">
        <v>367</v>
      </c>
    </row>
    <row r="81" spans="1:7" ht="11.25" customHeight="1">
      <c r="A81" s="458" t="s">
        <v>102</v>
      </c>
      <c r="B81" s="501" t="s">
        <v>653</v>
      </c>
      <c r="C81" s="566" t="s">
        <v>638</v>
      </c>
      <c r="D81" s="597" t="s">
        <v>1362</v>
      </c>
      <c r="E81" s="918" t="s">
        <v>367</v>
      </c>
      <c r="F81" s="562" t="s">
        <v>367</v>
      </c>
      <c r="G81" s="567" t="s">
        <v>367</v>
      </c>
    </row>
    <row r="82" spans="1:7" ht="11.25" customHeight="1">
      <c r="A82" s="458" t="s">
        <v>370</v>
      </c>
      <c r="B82" s="501" t="s">
        <v>1405</v>
      </c>
      <c r="C82" s="566" t="s">
        <v>638</v>
      </c>
      <c r="D82" s="597" t="s">
        <v>1362</v>
      </c>
      <c r="E82" s="918" t="s">
        <v>367</v>
      </c>
      <c r="F82" s="562" t="s">
        <v>367</v>
      </c>
      <c r="G82" s="567" t="s">
        <v>367</v>
      </c>
    </row>
    <row r="83" spans="1:7" ht="11.25" customHeight="1">
      <c r="A83" s="458" t="s">
        <v>337</v>
      </c>
      <c r="B83" s="501" t="s">
        <v>653</v>
      </c>
      <c r="C83" s="566" t="s">
        <v>638</v>
      </c>
      <c r="D83" s="597" t="s">
        <v>1362</v>
      </c>
      <c r="E83" s="918" t="s">
        <v>367</v>
      </c>
      <c r="F83" s="562" t="s">
        <v>367</v>
      </c>
      <c r="G83" s="567" t="s">
        <v>367</v>
      </c>
    </row>
    <row r="84" spans="1:7" ht="11.25" customHeight="1">
      <c r="A84" s="458" t="s">
        <v>28</v>
      </c>
      <c r="B84" s="501" t="s">
        <v>651</v>
      </c>
      <c r="C84" s="566" t="s">
        <v>652</v>
      </c>
      <c r="D84" s="597" t="s">
        <v>1362</v>
      </c>
      <c r="E84" s="918" t="s">
        <v>367</v>
      </c>
      <c r="F84" s="562" t="s">
        <v>367</v>
      </c>
      <c r="G84" s="567" t="s">
        <v>367</v>
      </c>
    </row>
    <row r="85" spans="1:7" ht="11.25" customHeight="1">
      <c r="A85" s="458" t="s">
        <v>338</v>
      </c>
      <c r="B85" s="501" t="s">
        <v>651</v>
      </c>
      <c r="C85" s="566" t="s">
        <v>652</v>
      </c>
      <c r="D85" s="597" t="s">
        <v>1363</v>
      </c>
      <c r="E85" s="918">
        <v>0.32</v>
      </c>
      <c r="F85" s="562">
        <v>30</v>
      </c>
      <c r="G85" s="567">
        <v>192000</v>
      </c>
    </row>
    <row r="86" spans="1:7" ht="11.25" customHeight="1">
      <c r="A86" s="458" t="s">
        <v>339</v>
      </c>
      <c r="B86" s="501" t="s">
        <v>653</v>
      </c>
      <c r="C86" s="566" t="s">
        <v>638</v>
      </c>
      <c r="D86" s="597" t="s">
        <v>1362</v>
      </c>
      <c r="E86" s="918" t="s">
        <v>367</v>
      </c>
      <c r="F86" s="562" t="s">
        <v>367</v>
      </c>
      <c r="G86" s="567" t="s">
        <v>367</v>
      </c>
    </row>
    <row r="87" spans="1:7" ht="11.25" customHeight="1">
      <c r="A87" s="458" t="s">
        <v>340</v>
      </c>
      <c r="B87" s="501" t="s">
        <v>651</v>
      </c>
      <c r="C87" s="566" t="s">
        <v>638</v>
      </c>
      <c r="D87" s="597" t="s">
        <v>1362</v>
      </c>
      <c r="E87" s="918" t="s">
        <v>367</v>
      </c>
      <c r="F87" s="562" t="s">
        <v>367</v>
      </c>
      <c r="G87" s="567" t="s">
        <v>367</v>
      </c>
    </row>
    <row r="88" spans="1:7" ht="11.25" customHeight="1">
      <c r="A88" s="458" t="s">
        <v>103</v>
      </c>
      <c r="B88" s="501" t="s">
        <v>653</v>
      </c>
      <c r="C88" s="566" t="s">
        <v>638</v>
      </c>
      <c r="D88" s="597" t="s">
        <v>1362</v>
      </c>
      <c r="E88" s="918" t="s">
        <v>367</v>
      </c>
      <c r="F88" s="562" t="s">
        <v>367</v>
      </c>
      <c r="G88" s="567" t="s">
        <v>367</v>
      </c>
    </row>
    <row r="89" spans="1:7" ht="11.25" customHeight="1">
      <c r="A89" s="458" t="s">
        <v>341</v>
      </c>
      <c r="B89" s="501" t="s">
        <v>1405</v>
      </c>
      <c r="C89" s="566" t="s">
        <v>638</v>
      </c>
      <c r="D89" s="597" t="s">
        <v>1362</v>
      </c>
      <c r="E89" s="918" t="s">
        <v>367</v>
      </c>
      <c r="F89" s="562" t="s">
        <v>367</v>
      </c>
      <c r="G89" s="567" t="s">
        <v>367</v>
      </c>
    </row>
    <row r="90" spans="1:7" ht="11.25" customHeight="1">
      <c r="A90" s="458" t="s">
        <v>342</v>
      </c>
      <c r="B90" s="501" t="s">
        <v>1405</v>
      </c>
      <c r="C90" s="566" t="s">
        <v>638</v>
      </c>
      <c r="D90" s="597" t="s">
        <v>1362</v>
      </c>
      <c r="E90" s="918" t="s">
        <v>367</v>
      </c>
      <c r="F90" s="562" t="s">
        <v>367</v>
      </c>
      <c r="G90" s="567" t="s">
        <v>367</v>
      </c>
    </row>
    <row r="91" spans="1:7" ht="11.25" customHeight="1">
      <c r="A91" s="458" t="s">
        <v>371</v>
      </c>
      <c r="B91" s="501" t="s">
        <v>1405</v>
      </c>
      <c r="C91" s="566" t="s">
        <v>638</v>
      </c>
      <c r="D91" s="597" t="s">
        <v>1362</v>
      </c>
      <c r="E91" s="918" t="s">
        <v>367</v>
      </c>
      <c r="F91" s="562" t="s">
        <v>367</v>
      </c>
      <c r="G91" s="567" t="s">
        <v>367</v>
      </c>
    </row>
    <row r="92" spans="1:7" ht="11.25" customHeight="1">
      <c r="A92" s="458" t="s">
        <v>343</v>
      </c>
      <c r="B92" s="501" t="s">
        <v>1405</v>
      </c>
      <c r="C92" s="566" t="s">
        <v>638</v>
      </c>
      <c r="D92" s="597" t="s">
        <v>1362</v>
      </c>
      <c r="E92" s="918" t="s">
        <v>367</v>
      </c>
      <c r="F92" s="562" t="s">
        <v>367</v>
      </c>
      <c r="G92" s="567" t="s">
        <v>367</v>
      </c>
    </row>
    <row r="93" spans="1:7" ht="11.25" customHeight="1">
      <c r="A93" s="458" t="s">
        <v>364</v>
      </c>
      <c r="B93" s="501" t="s">
        <v>653</v>
      </c>
      <c r="C93" s="566" t="s">
        <v>638</v>
      </c>
      <c r="D93" s="597" t="s">
        <v>1362</v>
      </c>
      <c r="E93" s="918" t="s">
        <v>367</v>
      </c>
      <c r="F93" s="562" t="s">
        <v>367</v>
      </c>
      <c r="G93" s="567" t="s">
        <v>367</v>
      </c>
    </row>
    <row r="94" spans="1:7" ht="11.25" customHeight="1">
      <c r="A94" s="458" t="s">
        <v>344</v>
      </c>
      <c r="B94" s="501" t="s">
        <v>1405</v>
      </c>
      <c r="C94" s="566" t="s">
        <v>638</v>
      </c>
      <c r="D94" s="597" t="s">
        <v>1362</v>
      </c>
      <c r="E94" s="918" t="s">
        <v>367</v>
      </c>
      <c r="F94" s="562" t="s">
        <v>367</v>
      </c>
      <c r="G94" s="567" t="s">
        <v>367</v>
      </c>
    </row>
    <row r="95" spans="1:7" ht="11.25" customHeight="1">
      <c r="A95" s="458" t="s">
        <v>104</v>
      </c>
      <c r="B95" s="501" t="s">
        <v>653</v>
      </c>
      <c r="C95" s="566" t="s">
        <v>638</v>
      </c>
      <c r="D95" s="597" t="s">
        <v>1362</v>
      </c>
      <c r="E95" s="918" t="s">
        <v>367</v>
      </c>
      <c r="F95" s="562" t="s">
        <v>367</v>
      </c>
      <c r="G95" s="567" t="s">
        <v>367</v>
      </c>
    </row>
    <row r="96" spans="1:7" ht="11.25" customHeight="1">
      <c r="A96" s="458" t="s">
        <v>345</v>
      </c>
      <c r="B96" s="501" t="s">
        <v>653</v>
      </c>
      <c r="C96" s="566" t="s">
        <v>638</v>
      </c>
      <c r="D96" s="597" t="s">
        <v>1362</v>
      </c>
      <c r="E96" s="918" t="s">
        <v>367</v>
      </c>
      <c r="F96" s="562" t="s">
        <v>367</v>
      </c>
      <c r="G96" s="567" t="s">
        <v>367</v>
      </c>
    </row>
    <row r="97" spans="1:7" ht="11.25" customHeight="1">
      <c r="A97" s="458" t="s">
        <v>105</v>
      </c>
      <c r="B97" s="501" t="s">
        <v>653</v>
      </c>
      <c r="C97" s="566" t="s">
        <v>652</v>
      </c>
      <c r="D97" s="597" t="s">
        <v>1362</v>
      </c>
      <c r="E97" s="918" t="s">
        <v>367</v>
      </c>
      <c r="F97" s="562" t="s">
        <v>367</v>
      </c>
      <c r="G97" s="567" t="s">
        <v>367</v>
      </c>
    </row>
    <row r="98" spans="1:7" ht="11.25" customHeight="1">
      <c r="A98" s="458" t="s">
        <v>346</v>
      </c>
      <c r="B98" s="501" t="s">
        <v>653</v>
      </c>
      <c r="C98" s="566" t="s">
        <v>638</v>
      </c>
      <c r="D98" s="597" t="s">
        <v>1362</v>
      </c>
      <c r="E98" s="918" t="s">
        <v>367</v>
      </c>
      <c r="F98" s="562" t="s">
        <v>367</v>
      </c>
      <c r="G98" s="567" t="s">
        <v>367</v>
      </c>
    </row>
    <row r="99" spans="1:7" ht="11.25" customHeight="1">
      <c r="A99" s="458" t="s">
        <v>347</v>
      </c>
      <c r="B99" s="501" t="s">
        <v>653</v>
      </c>
      <c r="C99" s="566" t="s">
        <v>638</v>
      </c>
      <c r="D99" s="597" t="s">
        <v>1362</v>
      </c>
      <c r="E99" s="918" t="s">
        <v>367</v>
      </c>
      <c r="F99" s="562" t="s">
        <v>367</v>
      </c>
      <c r="G99" s="567" t="s">
        <v>367</v>
      </c>
    </row>
    <row r="100" spans="1:7" ht="11.25" customHeight="1">
      <c r="A100" s="458" t="s">
        <v>348</v>
      </c>
      <c r="B100" s="501" t="s">
        <v>653</v>
      </c>
      <c r="C100" s="566" t="s">
        <v>638</v>
      </c>
      <c r="D100" s="597" t="s">
        <v>1362</v>
      </c>
      <c r="E100" s="918" t="s">
        <v>367</v>
      </c>
      <c r="F100" s="562" t="s">
        <v>367</v>
      </c>
      <c r="G100" s="567" t="s">
        <v>367</v>
      </c>
    </row>
    <row r="101" spans="1:7" ht="11.25" customHeight="1">
      <c r="A101" s="458" t="s">
        <v>350</v>
      </c>
      <c r="B101" s="501" t="s">
        <v>651</v>
      </c>
      <c r="C101" s="566" t="s">
        <v>652</v>
      </c>
      <c r="D101" s="597" t="s">
        <v>1363</v>
      </c>
      <c r="E101" s="918">
        <v>2.3E-3</v>
      </c>
      <c r="F101" s="562">
        <v>8400</v>
      </c>
      <c r="G101" s="567">
        <v>386400</v>
      </c>
    </row>
    <row r="102" spans="1:7" ht="11.25" customHeight="1">
      <c r="A102" s="458" t="s">
        <v>351</v>
      </c>
      <c r="B102" s="501" t="s">
        <v>651</v>
      </c>
      <c r="C102" s="566" t="s">
        <v>652</v>
      </c>
      <c r="D102" s="597" t="s">
        <v>1363</v>
      </c>
      <c r="E102" s="918">
        <v>5.5999999999999999E-3</v>
      </c>
      <c r="F102" s="562">
        <v>1300</v>
      </c>
      <c r="G102" s="567">
        <v>145600</v>
      </c>
    </row>
    <row r="103" spans="1:7" ht="11.25" customHeight="1">
      <c r="A103" s="458" t="s">
        <v>352</v>
      </c>
      <c r="B103" s="501" t="s">
        <v>653</v>
      </c>
      <c r="C103" s="566" t="s">
        <v>638</v>
      </c>
      <c r="D103" s="597" t="s">
        <v>1362</v>
      </c>
      <c r="E103" s="918" t="s">
        <v>367</v>
      </c>
      <c r="F103" s="562" t="s">
        <v>367</v>
      </c>
      <c r="G103" s="567" t="s">
        <v>367</v>
      </c>
    </row>
    <row r="104" spans="1:7" ht="11.25" customHeight="1">
      <c r="A104" s="458" t="s">
        <v>353</v>
      </c>
      <c r="B104" s="501" t="s">
        <v>651</v>
      </c>
      <c r="C104" s="566" t="s">
        <v>652</v>
      </c>
      <c r="D104" s="597" t="s">
        <v>1363</v>
      </c>
      <c r="E104" s="918">
        <v>2.4E-2</v>
      </c>
      <c r="F104" s="562">
        <v>5</v>
      </c>
      <c r="G104" s="567">
        <v>2400</v>
      </c>
    </row>
    <row r="105" spans="1:7" ht="11.25" customHeight="1">
      <c r="A105" s="458" t="s">
        <v>349</v>
      </c>
      <c r="B105" s="501" t="s">
        <v>651</v>
      </c>
      <c r="C105" s="566" t="s">
        <v>652</v>
      </c>
      <c r="D105" s="597" t="s">
        <v>1363</v>
      </c>
      <c r="E105" s="918">
        <v>0.13</v>
      </c>
      <c r="F105" s="562">
        <v>5</v>
      </c>
      <c r="G105" s="567">
        <v>13000</v>
      </c>
    </row>
    <row r="106" spans="1:7" ht="11.25" customHeight="1">
      <c r="A106" s="458" t="s">
        <v>590</v>
      </c>
      <c r="B106" s="501" t="s">
        <v>651</v>
      </c>
      <c r="C106" s="566" t="s">
        <v>638</v>
      </c>
      <c r="D106" s="597" t="s">
        <v>1362</v>
      </c>
      <c r="E106" s="918" t="s">
        <v>367</v>
      </c>
      <c r="F106" s="562" t="s">
        <v>367</v>
      </c>
      <c r="G106" s="567" t="s">
        <v>367</v>
      </c>
    </row>
    <row r="107" spans="1:7" ht="11.25" customHeight="1">
      <c r="A107" s="458" t="s">
        <v>591</v>
      </c>
      <c r="B107" s="501" t="s">
        <v>651</v>
      </c>
      <c r="C107" s="566" t="s">
        <v>638</v>
      </c>
      <c r="D107" s="597" t="s">
        <v>1362</v>
      </c>
      <c r="E107" s="918" t="s">
        <v>367</v>
      </c>
      <c r="F107" s="562" t="s">
        <v>367</v>
      </c>
      <c r="G107" s="567" t="s">
        <v>367</v>
      </c>
    </row>
    <row r="108" spans="1:7" ht="11.25" customHeight="1">
      <c r="A108" s="458" t="s">
        <v>465</v>
      </c>
      <c r="B108" s="501" t="s">
        <v>653</v>
      </c>
      <c r="C108" s="566" t="s">
        <v>638</v>
      </c>
      <c r="D108" s="597" t="s">
        <v>1362</v>
      </c>
      <c r="E108" s="918" t="s">
        <v>367</v>
      </c>
      <c r="F108" s="562" t="s">
        <v>367</v>
      </c>
      <c r="G108" s="567" t="s">
        <v>367</v>
      </c>
    </row>
    <row r="109" spans="1:7" ht="11.25" customHeight="1">
      <c r="A109" s="458" t="s">
        <v>466</v>
      </c>
      <c r="B109" s="501" t="s">
        <v>651</v>
      </c>
      <c r="C109" s="566" t="s">
        <v>638</v>
      </c>
      <c r="D109" s="597" t="s">
        <v>1363</v>
      </c>
      <c r="E109" s="918">
        <v>1.7999999999999999E-2</v>
      </c>
      <c r="F109" s="562">
        <v>17</v>
      </c>
      <c r="G109" s="567">
        <v>6120</v>
      </c>
    </row>
    <row r="110" spans="1:7" ht="11.25" customHeight="1">
      <c r="A110" s="458" t="s">
        <v>812</v>
      </c>
      <c r="B110" s="501" t="s">
        <v>653</v>
      </c>
      <c r="C110" s="566" t="s">
        <v>638</v>
      </c>
      <c r="D110" s="597" t="s">
        <v>1362</v>
      </c>
      <c r="E110" s="918" t="s">
        <v>367</v>
      </c>
      <c r="F110" s="562" t="s">
        <v>367</v>
      </c>
      <c r="G110" s="567" t="s">
        <v>367</v>
      </c>
    </row>
    <row r="111" spans="1:7" ht="11.25" customHeight="1">
      <c r="A111" s="462" t="s">
        <v>106</v>
      </c>
      <c r="B111" s="501" t="s">
        <v>651</v>
      </c>
      <c r="C111" s="566" t="s">
        <v>652</v>
      </c>
      <c r="D111" s="597" t="s">
        <v>1363</v>
      </c>
      <c r="E111" s="918">
        <v>9.7999999999999997E-4</v>
      </c>
      <c r="F111" s="562" t="e">
        <v>#VALUE!</v>
      </c>
      <c r="G111" s="567" t="e">
        <v>#VALUE!</v>
      </c>
    </row>
    <row r="112" spans="1:7" ht="11.25" customHeight="1">
      <c r="A112" s="462" t="s">
        <v>107</v>
      </c>
      <c r="B112" s="501" t="s">
        <v>653</v>
      </c>
      <c r="C112" s="566" t="s">
        <v>652</v>
      </c>
      <c r="D112" s="597" t="s">
        <v>1362</v>
      </c>
      <c r="E112" s="918" t="s">
        <v>367</v>
      </c>
      <c r="F112" s="562" t="s">
        <v>367</v>
      </c>
      <c r="G112" s="567" t="s">
        <v>367</v>
      </c>
    </row>
    <row r="113" spans="1:7" ht="11.25" customHeight="1">
      <c r="A113" s="462" t="s">
        <v>108</v>
      </c>
      <c r="B113" s="501" t="s">
        <v>651</v>
      </c>
      <c r="C113" s="566" t="s">
        <v>638</v>
      </c>
      <c r="D113" s="597" t="s">
        <v>1363</v>
      </c>
      <c r="E113" s="918">
        <v>5.1000000000000004E-4</v>
      </c>
      <c r="F113" s="562">
        <v>0.31415552893667309</v>
      </c>
      <c r="G113" s="567">
        <v>3.2043863951540659</v>
      </c>
    </row>
    <row r="114" spans="1:7" ht="11.25" customHeight="1">
      <c r="A114" s="462" t="s">
        <v>109</v>
      </c>
      <c r="B114" s="501" t="s">
        <v>653</v>
      </c>
      <c r="C114" s="566" t="s">
        <v>638</v>
      </c>
      <c r="D114" s="597" t="s">
        <v>1363</v>
      </c>
      <c r="E114" s="918">
        <v>3.8000000000000002E-4</v>
      </c>
      <c r="F114" s="562">
        <v>1.7483564887195151</v>
      </c>
      <c r="G114" s="567" t="s">
        <v>367</v>
      </c>
    </row>
    <row r="115" spans="1:7" ht="11.25" customHeight="1">
      <c r="A115" s="462" t="s">
        <v>110</v>
      </c>
      <c r="B115" s="501" t="s">
        <v>653</v>
      </c>
      <c r="C115" s="566" t="s">
        <v>638</v>
      </c>
      <c r="D115" s="597" t="s">
        <v>1362</v>
      </c>
      <c r="E115" s="918" t="s">
        <v>367</v>
      </c>
      <c r="F115" s="562" t="s">
        <v>367</v>
      </c>
      <c r="G115" s="567" t="s">
        <v>367</v>
      </c>
    </row>
    <row r="116" spans="1:7" ht="11.25" customHeight="1">
      <c r="A116" s="458" t="s">
        <v>467</v>
      </c>
      <c r="B116" s="501" t="s">
        <v>653</v>
      </c>
      <c r="C116" s="566" t="s">
        <v>638</v>
      </c>
      <c r="D116" s="597" t="s">
        <v>1362</v>
      </c>
      <c r="E116" s="918" t="s">
        <v>367</v>
      </c>
      <c r="F116" s="562" t="s">
        <v>367</v>
      </c>
      <c r="G116" s="567" t="s">
        <v>367</v>
      </c>
    </row>
    <row r="117" spans="1:7" ht="11.25" customHeight="1">
      <c r="A117" s="462" t="s">
        <v>111</v>
      </c>
      <c r="B117" s="501" t="s">
        <v>653</v>
      </c>
      <c r="C117" s="566" t="s">
        <v>638</v>
      </c>
      <c r="D117" s="597" t="s">
        <v>1362</v>
      </c>
      <c r="E117" s="918" t="s">
        <v>367</v>
      </c>
      <c r="F117" s="562" t="s">
        <v>367</v>
      </c>
      <c r="G117" s="567" t="s">
        <v>367</v>
      </c>
    </row>
    <row r="118" spans="1:7" ht="11.25" customHeight="1">
      <c r="A118" s="458" t="s">
        <v>231</v>
      </c>
      <c r="B118" s="501" t="s">
        <v>653</v>
      </c>
      <c r="C118" s="566" t="s">
        <v>638</v>
      </c>
      <c r="D118" s="597" t="s">
        <v>1362</v>
      </c>
      <c r="E118" s="918" t="s">
        <v>367</v>
      </c>
      <c r="F118" s="562" t="s">
        <v>367</v>
      </c>
      <c r="G118" s="567" t="s">
        <v>367</v>
      </c>
    </row>
    <row r="119" spans="1:7" ht="11.25" customHeight="1">
      <c r="A119" s="458" t="s">
        <v>468</v>
      </c>
      <c r="B119" s="501" t="s">
        <v>651</v>
      </c>
      <c r="C119" s="566" t="s">
        <v>638</v>
      </c>
      <c r="D119" s="597" t="s">
        <v>1362</v>
      </c>
      <c r="E119" s="918" t="s">
        <v>367</v>
      </c>
      <c r="F119" s="562" t="s">
        <v>367</v>
      </c>
      <c r="G119" s="567" t="s">
        <v>367</v>
      </c>
    </row>
    <row r="120" spans="1:7" ht="11.25" customHeight="1">
      <c r="A120" s="458" t="s">
        <v>469</v>
      </c>
      <c r="B120" s="501" t="s">
        <v>653</v>
      </c>
      <c r="C120" s="566" t="s">
        <v>638</v>
      </c>
      <c r="D120" s="597" t="s">
        <v>1362</v>
      </c>
      <c r="E120" s="918" t="s">
        <v>367</v>
      </c>
      <c r="F120" s="562" t="s">
        <v>367</v>
      </c>
      <c r="G120" s="567" t="s">
        <v>367</v>
      </c>
    </row>
    <row r="121" spans="1:7" ht="11.25" customHeight="1">
      <c r="A121" s="458" t="s">
        <v>365</v>
      </c>
      <c r="B121" s="501" t="s">
        <v>1405</v>
      </c>
      <c r="C121" s="566" t="s">
        <v>638</v>
      </c>
      <c r="D121" s="597" t="s">
        <v>1362</v>
      </c>
      <c r="E121" s="918" t="s">
        <v>367</v>
      </c>
      <c r="F121" s="562" t="s">
        <v>367</v>
      </c>
      <c r="G121" s="567" t="s">
        <v>367</v>
      </c>
    </row>
    <row r="122" spans="1:7" ht="11.25" customHeight="1">
      <c r="A122" s="458" t="s">
        <v>112</v>
      </c>
      <c r="B122" s="501" t="s">
        <v>653</v>
      </c>
      <c r="C122" s="566" t="s">
        <v>652</v>
      </c>
      <c r="D122" s="597" t="s">
        <v>1362</v>
      </c>
      <c r="E122" s="918" t="s">
        <v>367</v>
      </c>
      <c r="F122" s="562" t="s">
        <v>367</v>
      </c>
      <c r="G122" s="567" t="s">
        <v>367</v>
      </c>
    </row>
    <row r="123" spans="1:7" ht="11.25" customHeight="1">
      <c r="A123" s="458" t="s">
        <v>470</v>
      </c>
      <c r="B123" s="501" t="s">
        <v>651</v>
      </c>
      <c r="C123" s="566" t="s">
        <v>638</v>
      </c>
      <c r="D123" s="597" t="s">
        <v>1362</v>
      </c>
      <c r="E123" s="918" t="s">
        <v>367</v>
      </c>
      <c r="F123" s="562" t="s">
        <v>367</v>
      </c>
      <c r="G123" s="567" t="s">
        <v>367</v>
      </c>
    </row>
    <row r="124" spans="1:7" ht="11.25" customHeight="1">
      <c r="A124" s="458" t="s">
        <v>471</v>
      </c>
      <c r="B124" s="501" t="s">
        <v>653</v>
      </c>
      <c r="C124" s="566" t="s">
        <v>638</v>
      </c>
      <c r="D124" s="597" t="s">
        <v>1362</v>
      </c>
      <c r="E124" s="918" t="s">
        <v>367</v>
      </c>
      <c r="F124" s="562" t="s">
        <v>367</v>
      </c>
      <c r="G124" s="567" t="s">
        <v>367</v>
      </c>
    </row>
    <row r="125" spans="1:7" ht="11.25" customHeight="1">
      <c r="A125" s="458" t="s">
        <v>813</v>
      </c>
      <c r="B125" s="501" t="s">
        <v>653</v>
      </c>
      <c r="C125" s="566" t="s">
        <v>638</v>
      </c>
      <c r="D125" s="597" t="s">
        <v>1362</v>
      </c>
      <c r="E125" s="918" t="s">
        <v>367</v>
      </c>
      <c r="F125" s="562" t="s">
        <v>367</v>
      </c>
      <c r="G125" s="567" t="s">
        <v>367</v>
      </c>
    </row>
    <row r="126" spans="1:7" ht="11.25" customHeight="1">
      <c r="A126" s="458" t="s">
        <v>113</v>
      </c>
      <c r="B126" s="501" t="s">
        <v>653</v>
      </c>
      <c r="C126" s="566" t="s">
        <v>638</v>
      </c>
      <c r="D126" s="597" t="s">
        <v>1362</v>
      </c>
      <c r="E126" s="918" t="s">
        <v>367</v>
      </c>
      <c r="F126" s="562" t="s">
        <v>367</v>
      </c>
      <c r="G126" s="567" t="s">
        <v>367</v>
      </c>
    </row>
    <row r="127" spans="1:7" ht="11.25" customHeight="1">
      <c r="A127" s="458" t="s">
        <v>472</v>
      </c>
      <c r="B127" s="501" t="s">
        <v>651</v>
      </c>
      <c r="C127" s="566" t="s">
        <v>652</v>
      </c>
      <c r="D127" s="597" t="s">
        <v>1363</v>
      </c>
      <c r="E127" s="918">
        <v>0.11</v>
      </c>
      <c r="F127" s="562">
        <v>10</v>
      </c>
      <c r="G127" s="567">
        <v>22000</v>
      </c>
    </row>
    <row r="128" spans="1:7" ht="11.25" customHeight="1">
      <c r="A128" s="458" t="s">
        <v>114</v>
      </c>
      <c r="B128" s="501" t="s">
        <v>653</v>
      </c>
      <c r="C128" s="566" t="s">
        <v>638</v>
      </c>
      <c r="D128" s="597" t="s">
        <v>1362</v>
      </c>
      <c r="E128" s="918" t="s">
        <v>367</v>
      </c>
      <c r="F128" s="562" t="s">
        <v>367</v>
      </c>
      <c r="G128" s="567" t="s">
        <v>367</v>
      </c>
    </row>
    <row r="129" spans="1:7" ht="11.25" customHeight="1">
      <c r="A129" s="458" t="s">
        <v>19</v>
      </c>
      <c r="B129" s="501" t="s">
        <v>651</v>
      </c>
      <c r="C129" s="566" t="s">
        <v>652</v>
      </c>
      <c r="D129" s="597" t="s">
        <v>1363</v>
      </c>
      <c r="E129" s="918">
        <v>3.6999999999999999E-4</v>
      </c>
      <c r="F129" s="562">
        <v>59.526771727540208</v>
      </c>
      <c r="G129" s="567">
        <v>440.49811078379753</v>
      </c>
    </row>
    <row r="130" spans="1:7" ht="11.25" customHeight="1">
      <c r="A130" s="458" t="s">
        <v>473</v>
      </c>
      <c r="B130" s="501" t="s">
        <v>651</v>
      </c>
      <c r="C130" s="566" t="s">
        <v>652</v>
      </c>
      <c r="D130" s="597" t="s">
        <v>1363</v>
      </c>
      <c r="E130" s="918">
        <v>0.1</v>
      </c>
      <c r="F130" s="562">
        <v>0.57369738025483408</v>
      </c>
      <c r="G130" s="567">
        <v>1147.3947605096682</v>
      </c>
    </row>
    <row r="131" spans="1:7" ht="11.25" customHeight="1">
      <c r="A131" s="458" t="s">
        <v>474</v>
      </c>
      <c r="B131" s="501" t="s">
        <v>651</v>
      </c>
      <c r="C131" s="566" t="s">
        <v>652</v>
      </c>
      <c r="D131" s="597" t="s">
        <v>1363</v>
      </c>
      <c r="E131" s="918">
        <v>1.4999999999999999E-2</v>
      </c>
      <c r="F131" s="562">
        <v>7.5738899992116304E-2</v>
      </c>
      <c r="G131" s="567">
        <v>22.721669997634887</v>
      </c>
    </row>
    <row r="132" spans="1:7" ht="11.25" customHeight="1">
      <c r="A132" s="458" t="s">
        <v>475</v>
      </c>
      <c r="B132" s="501" t="s">
        <v>651</v>
      </c>
      <c r="C132" s="566" t="s">
        <v>652</v>
      </c>
      <c r="D132" s="597" t="s">
        <v>1363</v>
      </c>
      <c r="E132" s="918">
        <v>0.72</v>
      </c>
      <c r="F132" s="562">
        <v>5</v>
      </c>
      <c r="G132" s="567">
        <v>71999.999999999985</v>
      </c>
    </row>
    <row r="133" spans="1:7" ht="11.25" customHeight="1">
      <c r="A133" s="458" t="s">
        <v>115</v>
      </c>
      <c r="B133" s="501" t="s">
        <v>653</v>
      </c>
      <c r="C133" s="566" t="s">
        <v>638</v>
      </c>
      <c r="D133" s="597" t="s">
        <v>1362</v>
      </c>
      <c r="E133" s="918" t="s">
        <v>367</v>
      </c>
      <c r="F133" s="562" t="s">
        <v>367</v>
      </c>
      <c r="G133" s="567" t="s">
        <v>367</v>
      </c>
    </row>
    <row r="134" spans="1:7" ht="11.25" customHeight="1">
      <c r="A134" s="462" t="s">
        <v>116</v>
      </c>
      <c r="B134" s="501" t="s">
        <v>653</v>
      </c>
      <c r="C134" s="566" t="s">
        <v>638</v>
      </c>
      <c r="D134" s="597" t="s">
        <v>1362</v>
      </c>
      <c r="E134" s="918" t="s">
        <v>367</v>
      </c>
      <c r="F134" s="562" t="s">
        <v>367</v>
      </c>
      <c r="G134" s="567" t="s">
        <v>367</v>
      </c>
    </row>
    <row r="135" spans="1:7" ht="11.25" customHeight="1">
      <c r="A135" s="458" t="s">
        <v>476</v>
      </c>
      <c r="B135" s="501" t="s">
        <v>653</v>
      </c>
      <c r="C135" s="566" t="s">
        <v>638</v>
      </c>
      <c r="D135" s="597" t="s">
        <v>1362</v>
      </c>
      <c r="E135" s="918" t="s">
        <v>367</v>
      </c>
      <c r="F135" s="562" t="s">
        <v>367</v>
      </c>
      <c r="G135" s="567" t="s">
        <v>367</v>
      </c>
    </row>
    <row r="136" spans="1:7" ht="11.25" customHeight="1">
      <c r="A136" s="458" t="s">
        <v>366</v>
      </c>
      <c r="B136" s="501" t="s">
        <v>651</v>
      </c>
      <c r="C136" s="566" t="s">
        <v>652</v>
      </c>
      <c r="D136" s="597" t="s">
        <v>1363</v>
      </c>
      <c r="E136" s="918">
        <v>0.27</v>
      </c>
      <c r="F136" s="562">
        <v>40</v>
      </c>
      <c r="G136" s="567">
        <v>216000</v>
      </c>
    </row>
    <row r="137" spans="1:7" ht="11.25" customHeight="1">
      <c r="A137" s="458" t="s">
        <v>20</v>
      </c>
      <c r="B137" s="501" t="s">
        <v>653</v>
      </c>
      <c r="C137" s="566" t="s">
        <v>638</v>
      </c>
      <c r="D137" s="597" t="s">
        <v>1362</v>
      </c>
      <c r="E137" s="918" t="s">
        <v>367</v>
      </c>
      <c r="F137" s="562" t="s">
        <v>367</v>
      </c>
      <c r="G137" s="567" t="s">
        <v>367</v>
      </c>
    </row>
    <row r="138" spans="1:7" ht="11.25" customHeight="1">
      <c r="A138" s="458" t="s">
        <v>57</v>
      </c>
      <c r="B138" s="501" t="s">
        <v>651</v>
      </c>
      <c r="C138" s="566" t="s">
        <v>652</v>
      </c>
      <c r="D138" s="597" t="s">
        <v>1363</v>
      </c>
      <c r="E138" s="918">
        <v>13.9</v>
      </c>
      <c r="F138" s="562">
        <v>73.986001486842099</v>
      </c>
      <c r="G138" s="567">
        <v>20568108.413342103</v>
      </c>
    </row>
    <row r="139" spans="1:7" ht="11.25" customHeight="1">
      <c r="A139" s="458" t="s">
        <v>56</v>
      </c>
      <c r="B139" s="501" t="s">
        <v>651</v>
      </c>
      <c r="C139" s="566" t="s">
        <v>652</v>
      </c>
      <c r="D139" s="597" t="s">
        <v>1363</v>
      </c>
      <c r="E139" s="918">
        <v>13.9</v>
      </c>
      <c r="F139" s="562">
        <v>91.174062952030283</v>
      </c>
      <c r="G139" s="567">
        <v>25346389.500664417</v>
      </c>
    </row>
    <row r="140" spans="1:7" ht="11.25" customHeight="1">
      <c r="A140" s="458" t="s">
        <v>777</v>
      </c>
      <c r="B140" s="501" t="s">
        <v>1405</v>
      </c>
      <c r="C140" s="566" t="s">
        <v>652</v>
      </c>
      <c r="D140" s="597" t="s">
        <v>1362</v>
      </c>
      <c r="E140" s="918" t="s">
        <v>367</v>
      </c>
      <c r="F140" s="562" t="s">
        <v>367</v>
      </c>
      <c r="G140" s="567" t="s">
        <v>367</v>
      </c>
    </row>
    <row r="141" spans="1:7" ht="11.25" customHeight="1">
      <c r="A141" s="458" t="s">
        <v>814</v>
      </c>
      <c r="B141" s="501" t="s">
        <v>651</v>
      </c>
      <c r="C141" s="566" t="s">
        <v>638</v>
      </c>
      <c r="D141" s="597" t="s">
        <v>1363</v>
      </c>
      <c r="E141" s="918">
        <v>5.8000000000000003E-2</v>
      </c>
      <c r="F141" s="562">
        <v>70</v>
      </c>
      <c r="G141" s="567">
        <v>81200.000000000015</v>
      </c>
    </row>
    <row r="142" spans="1:7" ht="11.25" customHeight="1">
      <c r="A142" s="458" t="s">
        <v>815</v>
      </c>
      <c r="B142" s="501" t="s">
        <v>651</v>
      </c>
      <c r="C142" s="566" t="s">
        <v>652</v>
      </c>
      <c r="D142" s="597" t="s">
        <v>1363</v>
      </c>
      <c r="E142" s="918">
        <v>0.7</v>
      </c>
      <c r="F142" s="562">
        <v>200</v>
      </c>
      <c r="G142" s="567">
        <v>2800000</v>
      </c>
    </row>
    <row r="143" spans="1:7" ht="11.25" customHeight="1">
      <c r="A143" s="458" t="s">
        <v>477</v>
      </c>
      <c r="B143" s="501" t="s">
        <v>651</v>
      </c>
      <c r="C143" s="566" t="s">
        <v>652</v>
      </c>
      <c r="D143" s="597" t="s">
        <v>1363</v>
      </c>
      <c r="E143" s="918">
        <v>3.4000000000000002E-2</v>
      </c>
      <c r="F143" s="562">
        <v>5</v>
      </c>
      <c r="G143" s="567">
        <v>3400</v>
      </c>
    </row>
    <row r="144" spans="1:7" ht="11.25" customHeight="1">
      <c r="A144" s="458" t="s">
        <v>478</v>
      </c>
      <c r="B144" s="501" t="s">
        <v>651</v>
      </c>
      <c r="C144" s="566" t="s">
        <v>652</v>
      </c>
      <c r="D144" s="597" t="s">
        <v>1363</v>
      </c>
      <c r="E144" s="918">
        <v>0.4</v>
      </c>
      <c r="F144" s="562">
        <v>5</v>
      </c>
      <c r="G144" s="567">
        <v>40000</v>
      </c>
    </row>
    <row r="145" spans="1:7" ht="11.25" customHeight="1">
      <c r="A145" s="458" t="s">
        <v>479</v>
      </c>
      <c r="B145" s="501" t="s">
        <v>653</v>
      </c>
      <c r="C145" s="566" t="s">
        <v>638</v>
      </c>
      <c r="D145" s="597" t="s">
        <v>1362</v>
      </c>
      <c r="E145" s="918" t="s">
        <v>367</v>
      </c>
      <c r="F145" s="562" t="s">
        <v>367</v>
      </c>
      <c r="G145" s="567" t="s">
        <v>367</v>
      </c>
    </row>
    <row r="146" spans="1:7" ht="11.25" customHeight="1">
      <c r="A146" s="458" t="s">
        <v>480</v>
      </c>
      <c r="B146" s="501" t="s">
        <v>653</v>
      </c>
      <c r="C146" s="566" t="s">
        <v>638</v>
      </c>
      <c r="D146" s="597" t="s">
        <v>1362</v>
      </c>
      <c r="E146" s="918" t="s">
        <v>367</v>
      </c>
      <c r="F146" s="562" t="s">
        <v>367</v>
      </c>
      <c r="G146" s="567" t="s">
        <v>367</v>
      </c>
    </row>
    <row r="147" spans="1:7" ht="11.25" customHeight="1">
      <c r="A147" s="462" t="s">
        <v>117</v>
      </c>
      <c r="B147" s="501" t="s">
        <v>653</v>
      </c>
      <c r="C147" s="566" t="s">
        <v>638</v>
      </c>
      <c r="D147" s="597" t="s">
        <v>1362</v>
      </c>
      <c r="E147" s="918" t="s">
        <v>367</v>
      </c>
      <c r="F147" s="562" t="s">
        <v>367</v>
      </c>
      <c r="G147" s="567" t="s">
        <v>367</v>
      </c>
    </row>
    <row r="148" spans="1:7" ht="11.25" customHeight="1">
      <c r="A148" s="458" t="s">
        <v>118</v>
      </c>
      <c r="B148" s="501" t="s">
        <v>653</v>
      </c>
      <c r="C148" s="566" t="s">
        <v>638</v>
      </c>
      <c r="D148" s="597" t="s">
        <v>1362</v>
      </c>
      <c r="E148" s="918" t="s">
        <v>367</v>
      </c>
      <c r="F148" s="562" t="s">
        <v>367</v>
      </c>
      <c r="G148" s="567" t="s">
        <v>367</v>
      </c>
    </row>
    <row r="149" spans="1:7" ht="11.25" customHeight="1">
      <c r="A149" s="458" t="s">
        <v>119</v>
      </c>
      <c r="B149" s="501" t="s">
        <v>651</v>
      </c>
      <c r="C149" s="566" t="s">
        <v>652</v>
      </c>
      <c r="D149" s="597" t="s">
        <v>1363</v>
      </c>
      <c r="E149" s="918">
        <v>1.4E-2</v>
      </c>
      <c r="F149" s="562">
        <v>0.6</v>
      </c>
      <c r="G149" s="567">
        <v>168</v>
      </c>
    </row>
    <row r="150" spans="1:7" ht="11.25" customHeight="1">
      <c r="A150" s="458" t="s">
        <v>120</v>
      </c>
      <c r="B150" s="501" t="s">
        <v>651</v>
      </c>
      <c r="C150" s="566" t="s">
        <v>652</v>
      </c>
      <c r="D150" s="597" t="s">
        <v>1363</v>
      </c>
      <c r="E150" s="918">
        <v>0.72</v>
      </c>
      <c r="F150" s="562">
        <v>3.3315808860737541</v>
      </c>
      <c r="G150" s="567">
        <v>47974.764759462058</v>
      </c>
    </row>
    <row r="151" spans="1:7" ht="11.25" customHeight="1">
      <c r="A151" s="458" t="s">
        <v>602</v>
      </c>
      <c r="B151" s="501" t="s">
        <v>1405</v>
      </c>
      <c r="C151" s="566" t="s">
        <v>638</v>
      </c>
      <c r="D151" s="597" t="s">
        <v>1362</v>
      </c>
      <c r="E151" s="918" t="s">
        <v>367</v>
      </c>
      <c r="F151" s="562" t="s">
        <v>367</v>
      </c>
      <c r="G151" s="567" t="s">
        <v>367</v>
      </c>
    </row>
    <row r="152" spans="1:7" ht="11.25" customHeight="1">
      <c r="A152" s="462" t="s">
        <v>939</v>
      </c>
      <c r="B152" s="501" t="s">
        <v>653</v>
      </c>
      <c r="C152" s="566" t="s">
        <v>638</v>
      </c>
      <c r="D152" s="597" t="s">
        <v>1362</v>
      </c>
      <c r="E152" s="918" t="s">
        <v>367</v>
      </c>
      <c r="F152" s="562" t="s">
        <v>367</v>
      </c>
      <c r="G152" s="567" t="s">
        <v>367</v>
      </c>
    </row>
    <row r="153" spans="1:7" ht="11.25" customHeight="1">
      <c r="A153" s="462" t="s">
        <v>603</v>
      </c>
      <c r="B153" s="501" t="s">
        <v>653</v>
      </c>
      <c r="C153" s="566" t="s">
        <v>638</v>
      </c>
      <c r="D153" s="597" t="s">
        <v>1362</v>
      </c>
      <c r="E153" s="918" t="s">
        <v>367</v>
      </c>
      <c r="F153" s="562" t="s">
        <v>367</v>
      </c>
      <c r="G153" s="567" t="s">
        <v>367</v>
      </c>
    </row>
    <row r="154" spans="1:7" ht="11.25" customHeight="1">
      <c r="A154" s="462" t="s">
        <v>605</v>
      </c>
      <c r="B154" s="501" t="s">
        <v>653</v>
      </c>
      <c r="C154" s="566" t="s">
        <v>638</v>
      </c>
      <c r="D154" s="597" t="s">
        <v>1362</v>
      </c>
      <c r="E154" s="918" t="s">
        <v>367</v>
      </c>
      <c r="F154" s="562" t="s">
        <v>367</v>
      </c>
      <c r="G154" s="567" t="s">
        <v>367</v>
      </c>
    </row>
    <row r="155" spans="1:7" ht="11.25" customHeight="1">
      <c r="A155" s="458" t="s">
        <v>481</v>
      </c>
      <c r="B155" s="501" t="s">
        <v>653</v>
      </c>
      <c r="C155" s="566" t="s">
        <v>638</v>
      </c>
      <c r="D155" s="597" t="s">
        <v>1362</v>
      </c>
      <c r="E155" s="918" t="s">
        <v>367</v>
      </c>
      <c r="F155" s="562" t="s">
        <v>367</v>
      </c>
      <c r="G155" s="567" t="s">
        <v>367</v>
      </c>
    </row>
    <row r="156" spans="1:7" ht="11.25" customHeight="1">
      <c r="A156" s="458" t="s">
        <v>482</v>
      </c>
      <c r="B156" s="501" t="s">
        <v>651</v>
      </c>
      <c r="C156" s="566" t="s">
        <v>21</v>
      </c>
      <c r="D156" s="597" t="s">
        <v>1363</v>
      </c>
      <c r="E156" s="918">
        <v>1.1000000000000001</v>
      </c>
      <c r="F156" s="562">
        <v>2</v>
      </c>
      <c r="G156" s="567">
        <v>44000</v>
      </c>
    </row>
    <row r="157" spans="1:7" ht="11.25" customHeight="1">
      <c r="A157" s="458" t="s">
        <v>483</v>
      </c>
      <c r="B157" s="501" t="s">
        <v>651</v>
      </c>
      <c r="C157" s="566" t="s">
        <v>652</v>
      </c>
      <c r="D157" s="597" t="s">
        <v>1363</v>
      </c>
      <c r="E157" s="918">
        <v>0.27</v>
      </c>
      <c r="F157" s="562">
        <v>20</v>
      </c>
      <c r="G157" s="567">
        <v>108000</v>
      </c>
    </row>
    <row r="158" spans="1:7" ht="11.25" customHeight="1" thickBot="1">
      <c r="A158" s="516" t="s">
        <v>484</v>
      </c>
      <c r="B158" s="501" t="s">
        <v>653</v>
      </c>
      <c r="C158" s="566" t="s">
        <v>638</v>
      </c>
      <c r="D158" s="920" t="s">
        <v>1362</v>
      </c>
      <c r="E158" s="918" t="s">
        <v>367</v>
      </c>
      <c r="F158" s="562" t="s">
        <v>367</v>
      </c>
      <c r="G158" s="567" t="s">
        <v>367</v>
      </c>
    </row>
    <row r="159" spans="1:7" ht="10.5" thickTop="1">
      <c r="A159" s="526" t="s">
        <v>488</v>
      </c>
      <c r="B159" s="921"/>
      <c r="C159" s="921"/>
      <c r="D159" s="921"/>
      <c r="E159" s="628"/>
      <c r="F159" s="472"/>
      <c r="G159" s="473"/>
    </row>
    <row r="160" spans="1:7" ht="46.5" customHeight="1">
      <c r="A160" s="1386" t="s">
        <v>1369</v>
      </c>
      <c r="B160" s="1181"/>
      <c r="C160" s="1181"/>
      <c r="D160" s="1181"/>
      <c r="E160" s="1181"/>
      <c r="F160" s="1181"/>
      <c r="G160" s="1387"/>
    </row>
    <row r="161" spans="1:7" ht="23.25" customHeight="1">
      <c r="A161" s="1386" t="s">
        <v>1370</v>
      </c>
      <c r="B161" s="1181"/>
      <c r="C161" s="1181"/>
      <c r="D161" s="1181"/>
      <c r="E161" s="1181"/>
      <c r="F161" s="1181"/>
      <c r="G161" s="1387"/>
    </row>
    <row r="162" spans="1:7" ht="12.95" customHeight="1">
      <c r="A162" s="1389" t="s">
        <v>1366</v>
      </c>
      <c r="B162" s="1181"/>
      <c r="C162" s="1181"/>
      <c r="D162" s="1181"/>
      <c r="E162" s="1181"/>
      <c r="F162" s="1181"/>
      <c r="G162" s="1387"/>
    </row>
    <row r="163" spans="1:7" ht="12.95" customHeight="1">
      <c r="A163" s="1386" t="s">
        <v>1368</v>
      </c>
      <c r="B163" s="1398"/>
      <c r="C163" s="1398"/>
      <c r="D163" s="1398"/>
      <c r="E163" s="1181"/>
      <c r="F163" s="1181"/>
      <c r="G163" s="1387"/>
    </row>
    <row r="164" spans="1:7" ht="12.95" customHeight="1" thickBot="1">
      <c r="A164" s="1392" t="s">
        <v>1367</v>
      </c>
      <c r="B164" s="1384"/>
      <c r="C164" s="1384"/>
      <c r="D164" s="1384"/>
      <c r="E164" s="1384"/>
      <c r="F164" s="1384"/>
      <c r="G164" s="1385"/>
    </row>
    <row r="165" spans="1:7" s="417" customFormat="1" ht="13.15" thickTop="1">
      <c r="F165" s="922"/>
      <c r="G165" s="922"/>
    </row>
    <row r="166" spans="1:7" s="417" customFormat="1" ht="12.75">
      <c r="F166" s="922"/>
      <c r="G166" s="922"/>
    </row>
    <row r="167" spans="1:7" s="417" customFormat="1" ht="12.75">
      <c r="F167" s="922"/>
      <c r="G167" s="922"/>
    </row>
    <row r="168" spans="1:7" s="417" customFormat="1" ht="12.75">
      <c r="F168" s="922"/>
      <c r="G168" s="922"/>
    </row>
    <row r="169" spans="1:7" s="417" customFormat="1" ht="12.75">
      <c r="F169" s="922"/>
      <c r="G169" s="922"/>
    </row>
    <row r="170" spans="1:7" s="417" customFormat="1" ht="12.75">
      <c r="F170" s="922"/>
      <c r="G170" s="922"/>
    </row>
    <row r="171" spans="1:7" s="417" customFormat="1" ht="12.75">
      <c r="F171" s="922"/>
      <c r="G171" s="922"/>
    </row>
    <row r="172" spans="1:7" s="417" customFormat="1" ht="12.75">
      <c r="F172" s="922"/>
      <c r="G172" s="922"/>
    </row>
    <row r="173" spans="1:7" s="417" customFormat="1" ht="12.75">
      <c r="F173" s="922"/>
      <c r="G173" s="922"/>
    </row>
    <row r="174" spans="1:7" s="417" customFormat="1" ht="12.75">
      <c r="F174" s="922"/>
      <c r="G174" s="922"/>
    </row>
    <row r="175" spans="1:7" s="417" customFormat="1" ht="12.75">
      <c r="F175" s="922"/>
      <c r="G175" s="922"/>
    </row>
    <row r="176" spans="1:7" s="417" customFormat="1" ht="12.75">
      <c r="F176" s="922"/>
      <c r="G176" s="922"/>
    </row>
    <row r="177" spans="6:7" s="417" customFormat="1" ht="12.75">
      <c r="F177" s="922"/>
      <c r="G177" s="922"/>
    </row>
    <row r="178" spans="6:7" s="417" customFormat="1" ht="12.75">
      <c r="F178" s="922"/>
      <c r="G178" s="922"/>
    </row>
    <row r="179" spans="6:7" s="417" customFormat="1" ht="12.75">
      <c r="F179" s="922"/>
      <c r="G179" s="922"/>
    </row>
    <row r="180" spans="6:7" s="417" customFormat="1" ht="12.75">
      <c r="F180" s="922"/>
      <c r="G180" s="922"/>
    </row>
    <row r="181" spans="6:7" s="417" customFormat="1" ht="12.75">
      <c r="F181" s="922"/>
      <c r="G181" s="922"/>
    </row>
    <row r="182" spans="6:7" s="417" customFormat="1" ht="12.75">
      <c r="F182" s="922"/>
      <c r="G182" s="922"/>
    </row>
    <row r="183" spans="6:7" s="417" customFormat="1" ht="12.75">
      <c r="F183" s="922"/>
      <c r="G183" s="922"/>
    </row>
    <row r="184" spans="6:7" s="417" customFormat="1" ht="12.75">
      <c r="F184" s="922"/>
      <c r="G184" s="922"/>
    </row>
    <row r="185" spans="6:7" s="417" customFormat="1" ht="12.75">
      <c r="F185" s="922"/>
      <c r="G185" s="922"/>
    </row>
    <row r="186" spans="6:7" s="417" customFormat="1" ht="12.75">
      <c r="F186" s="922"/>
      <c r="G186" s="922"/>
    </row>
    <row r="187" spans="6:7" s="417" customFormat="1" ht="12.75">
      <c r="F187" s="922"/>
      <c r="G187" s="922"/>
    </row>
    <row r="188" spans="6:7" s="417" customFormat="1" ht="12.75">
      <c r="F188" s="922"/>
      <c r="G188" s="922"/>
    </row>
    <row r="189" spans="6:7" s="417" customFormat="1" ht="12.75">
      <c r="F189" s="922"/>
      <c r="G189" s="922"/>
    </row>
    <row r="190" spans="6:7" s="417" customFormat="1" ht="12.75">
      <c r="F190" s="922"/>
      <c r="G190" s="922"/>
    </row>
    <row r="191" spans="6:7" s="417" customFormat="1" ht="12.75">
      <c r="F191" s="922"/>
      <c r="G191" s="922"/>
    </row>
    <row r="192" spans="6:7" s="417" customFormat="1" ht="12.75">
      <c r="F192" s="922"/>
      <c r="G192" s="922"/>
    </row>
    <row r="193" spans="6:7" s="417" customFormat="1" ht="12.75">
      <c r="F193" s="922"/>
      <c r="G193" s="922"/>
    </row>
    <row r="194" spans="6:7" s="417" customFormat="1" ht="12.75">
      <c r="F194" s="922"/>
      <c r="G194" s="922"/>
    </row>
    <row r="195" spans="6:7" s="417" customFormat="1" ht="12.75">
      <c r="F195" s="922"/>
      <c r="G195" s="922"/>
    </row>
    <row r="196" spans="6:7" s="417" customFormat="1" ht="12.75">
      <c r="F196" s="922"/>
      <c r="G196" s="922"/>
    </row>
    <row r="197" spans="6:7" s="417" customFormat="1" ht="12.75">
      <c r="F197" s="922"/>
      <c r="G197" s="922"/>
    </row>
    <row r="198" spans="6:7" s="417" customFormat="1" ht="12.75">
      <c r="F198" s="922"/>
      <c r="G198" s="922"/>
    </row>
    <row r="199" spans="6:7" s="417" customFormat="1" ht="12.75">
      <c r="F199" s="922"/>
      <c r="G199" s="922"/>
    </row>
    <row r="200" spans="6:7" s="417" customFormat="1" ht="12.75">
      <c r="F200" s="922"/>
      <c r="G200" s="922"/>
    </row>
    <row r="201" spans="6:7" s="417" customFormat="1" ht="12.75">
      <c r="F201" s="922"/>
      <c r="G201" s="922"/>
    </row>
    <row r="202" spans="6:7" s="417" customFormat="1" ht="12.75">
      <c r="F202" s="922"/>
      <c r="G202" s="922"/>
    </row>
    <row r="203" spans="6:7" s="417" customFormat="1" ht="12.75">
      <c r="F203" s="922"/>
      <c r="G203" s="922"/>
    </row>
    <row r="204" spans="6:7" s="417" customFormat="1" ht="12.75">
      <c r="F204" s="922"/>
      <c r="G204" s="922"/>
    </row>
    <row r="205" spans="6:7" s="417" customFormat="1" ht="12.75">
      <c r="F205" s="922"/>
      <c r="G205" s="922"/>
    </row>
    <row r="206" spans="6:7" s="417" customFormat="1" ht="12.75">
      <c r="F206" s="922"/>
      <c r="G206" s="922"/>
    </row>
    <row r="207" spans="6:7" s="417" customFormat="1" ht="12.75">
      <c r="F207" s="922"/>
      <c r="G207" s="922"/>
    </row>
    <row r="208" spans="6:7" s="417" customFormat="1" ht="12.75">
      <c r="F208" s="922"/>
      <c r="G208" s="922"/>
    </row>
    <row r="209" spans="6:7" s="417" customFormat="1" ht="12.75">
      <c r="F209" s="922"/>
      <c r="G209" s="922"/>
    </row>
    <row r="210" spans="6:7" s="417" customFormat="1" ht="12.75">
      <c r="F210" s="922"/>
      <c r="G210" s="922"/>
    </row>
    <row r="211" spans="6:7" s="417" customFormat="1" ht="12.75">
      <c r="F211" s="922"/>
      <c r="G211" s="922"/>
    </row>
    <row r="212" spans="6:7" s="417" customFormat="1" ht="12.75">
      <c r="F212" s="922"/>
      <c r="G212" s="922"/>
    </row>
    <row r="213" spans="6:7" s="417" customFormat="1" ht="12.75">
      <c r="F213" s="922"/>
      <c r="G213" s="922"/>
    </row>
    <row r="214" spans="6:7" s="417" customFormat="1" ht="12.75">
      <c r="F214" s="922"/>
      <c r="G214" s="922"/>
    </row>
    <row r="215" spans="6:7" s="417" customFormat="1" ht="12.75">
      <c r="F215" s="922"/>
      <c r="G215" s="922"/>
    </row>
    <row r="216" spans="6:7" s="417" customFormat="1" ht="12.75">
      <c r="F216" s="922"/>
      <c r="G216" s="922"/>
    </row>
    <row r="217" spans="6:7" s="417" customFormat="1" ht="12.75">
      <c r="F217" s="922"/>
      <c r="G217" s="922"/>
    </row>
    <row r="218" spans="6:7" s="417" customFormat="1" ht="12.75">
      <c r="F218" s="922"/>
      <c r="G218" s="922"/>
    </row>
    <row r="219" spans="6:7" s="417" customFormat="1" ht="12.75">
      <c r="F219" s="922"/>
      <c r="G219" s="922"/>
    </row>
    <row r="220" spans="6:7" s="417" customFormat="1" ht="12.75">
      <c r="F220" s="922"/>
      <c r="G220" s="922"/>
    </row>
    <row r="221" spans="6:7" s="417" customFormat="1" ht="12.75">
      <c r="F221" s="922"/>
      <c r="G221" s="922"/>
    </row>
    <row r="222" spans="6:7" s="417" customFormat="1" ht="12.75">
      <c r="F222" s="922"/>
      <c r="G222" s="922"/>
    </row>
    <row r="223" spans="6:7" s="417" customFormat="1" ht="12.75">
      <c r="F223" s="922"/>
      <c r="G223" s="922"/>
    </row>
    <row r="224" spans="6:7" s="417" customFormat="1" ht="12.75">
      <c r="F224" s="922"/>
      <c r="G224" s="922"/>
    </row>
    <row r="225" spans="6:7" s="417" customFormat="1" ht="12.75">
      <c r="F225" s="922"/>
      <c r="G225" s="922"/>
    </row>
    <row r="226" spans="6:7" s="417" customFormat="1" ht="12.75">
      <c r="F226" s="922"/>
      <c r="G226" s="922"/>
    </row>
    <row r="227" spans="6:7" s="417" customFormat="1" ht="12.75">
      <c r="F227" s="922"/>
      <c r="G227" s="922"/>
    </row>
    <row r="228" spans="6:7" s="417" customFormat="1" ht="12.75">
      <c r="F228" s="922"/>
      <c r="G228" s="922"/>
    </row>
    <row r="229" spans="6:7" s="417" customFormat="1" ht="12.75">
      <c r="F229" s="922"/>
      <c r="G229" s="922"/>
    </row>
    <row r="230" spans="6:7" s="417" customFormat="1" ht="12.75">
      <c r="F230" s="922"/>
      <c r="G230" s="922"/>
    </row>
    <row r="231" spans="6:7" s="417" customFormat="1" ht="12.75">
      <c r="F231" s="922"/>
      <c r="G231" s="922"/>
    </row>
    <row r="232" spans="6:7" s="417" customFormat="1" ht="12.75">
      <c r="F232" s="922"/>
      <c r="G232" s="922"/>
    </row>
    <row r="233" spans="6:7" s="417" customFormat="1" ht="12.75">
      <c r="F233" s="922"/>
      <c r="G233" s="922"/>
    </row>
    <row r="234" spans="6:7" s="417" customFormat="1" ht="12.75">
      <c r="F234" s="922"/>
      <c r="G234" s="922"/>
    </row>
    <row r="235" spans="6:7" s="417" customFormat="1" ht="12.75">
      <c r="F235" s="922"/>
      <c r="G235" s="922"/>
    </row>
    <row r="236" spans="6:7" s="417" customFormat="1" ht="12.75">
      <c r="F236" s="922"/>
      <c r="G236" s="922"/>
    </row>
    <row r="237" spans="6:7" s="417" customFormat="1" ht="12.75">
      <c r="F237" s="922"/>
      <c r="G237" s="922"/>
    </row>
    <row r="238" spans="6:7" s="417" customFormat="1" ht="12.75">
      <c r="F238" s="922"/>
      <c r="G238" s="922"/>
    </row>
    <row r="239" spans="6:7" s="417" customFormat="1" ht="12.75">
      <c r="F239" s="922"/>
      <c r="G239" s="922"/>
    </row>
    <row r="240" spans="6:7" s="417" customFormat="1" ht="12.75">
      <c r="F240" s="922"/>
      <c r="G240" s="922"/>
    </row>
    <row r="241" spans="6:7" s="417" customFormat="1" ht="12.75">
      <c r="F241" s="922"/>
      <c r="G241" s="922"/>
    </row>
    <row r="242" spans="6:7" s="417" customFormat="1" ht="12.75">
      <c r="F242" s="922"/>
      <c r="G242" s="922"/>
    </row>
    <row r="243" spans="6:7" s="417" customFormat="1" ht="12.75">
      <c r="F243" s="922"/>
      <c r="G243" s="922"/>
    </row>
    <row r="244" spans="6:7" s="417" customFormat="1" ht="12.75">
      <c r="F244" s="922"/>
      <c r="G244" s="922"/>
    </row>
    <row r="245" spans="6:7" s="417" customFormat="1" ht="12.75">
      <c r="F245" s="922"/>
      <c r="G245" s="922"/>
    </row>
    <row r="246" spans="6:7" s="417" customFormat="1" ht="12.75">
      <c r="F246" s="922"/>
      <c r="G246" s="922"/>
    </row>
    <row r="247" spans="6:7" s="417" customFormat="1" ht="12.75">
      <c r="F247" s="922"/>
      <c r="G247" s="922"/>
    </row>
    <row r="248" spans="6:7" s="417" customFormat="1" ht="12.75">
      <c r="F248" s="922"/>
      <c r="G248" s="922"/>
    </row>
    <row r="249" spans="6:7" s="417" customFormat="1" ht="12.75">
      <c r="F249" s="922"/>
      <c r="G249" s="922"/>
    </row>
    <row r="250" spans="6:7" s="417" customFormat="1" ht="12.75">
      <c r="F250" s="922"/>
      <c r="G250" s="922"/>
    </row>
    <row r="251" spans="6:7" s="417" customFormat="1" ht="12.75">
      <c r="F251" s="922"/>
      <c r="G251" s="922"/>
    </row>
    <row r="252" spans="6:7" s="417" customFormat="1" ht="12.75">
      <c r="F252" s="922"/>
      <c r="G252" s="922"/>
    </row>
    <row r="253" spans="6:7" s="417" customFormat="1" ht="12.75">
      <c r="F253" s="922"/>
      <c r="G253" s="922"/>
    </row>
    <row r="254" spans="6:7" s="417" customFormat="1" ht="12.75">
      <c r="F254" s="922"/>
      <c r="G254" s="922"/>
    </row>
    <row r="255" spans="6:7" s="417" customFormat="1" ht="12.75">
      <c r="F255" s="922"/>
      <c r="G255" s="922"/>
    </row>
    <row r="256" spans="6:7" s="417" customFormat="1" ht="12.75">
      <c r="F256" s="922"/>
      <c r="G256" s="922"/>
    </row>
    <row r="257" spans="6:7" s="417" customFormat="1" ht="12.75">
      <c r="F257" s="922"/>
      <c r="G257" s="922"/>
    </row>
    <row r="258" spans="6:7" s="417" customFormat="1" ht="12.75">
      <c r="F258" s="922"/>
      <c r="G258" s="922"/>
    </row>
    <row r="259" spans="6:7" s="417" customFormat="1" ht="12.75">
      <c r="F259" s="922"/>
      <c r="G259" s="922"/>
    </row>
    <row r="260" spans="6:7" s="417" customFormat="1" ht="12.75">
      <c r="F260" s="922"/>
      <c r="G260" s="922"/>
    </row>
    <row r="261" spans="6:7" s="417" customFormat="1" ht="12.75">
      <c r="F261" s="922"/>
      <c r="G261" s="922"/>
    </row>
    <row r="262" spans="6:7" s="417" customFormat="1" ht="12.75">
      <c r="F262" s="922"/>
      <c r="G262" s="922"/>
    </row>
    <row r="263" spans="6:7" s="417" customFormat="1" ht="12.75">
      <c r="F263" s="922"/>
      <c r="G263" s="922"/>
    </row>
    <row r="264" spans="6:7" s="417" customFormat="1" ht="12.75">
      <c r="F264" s="922"/>
      <c r="G264" s="922"/>
    </row>
    <row r="265" spans="6:7" s="417" customFormat="1" ht="12.75">
      <c r="F265" s="922"/>
      <c r="G265" s="922"/>
    </row>
    <row r="266" spans="6:7" s="417" customFormat="1" ht="12.75">
      <c r="F266" s="922"/>
      <c r="G266" s="922"/>
    </row>
    <row r="267" spans="6:7" s="417" customFormat="1" ht="12.75">
      <c r="F267" s="922"/>
      <c r="G267" s="922"/>
    </row>
    <row r="268" spans="6:7" s="417" customFormat="1" ht="12.75">
      <c r="F268" s="922"/>
      <c r="G268" s="922"/>
    </row>
    <row r="269" spans="6:7" s="417" customFormat="1" ht="12.75">
      <c r="F269" s="922"/>
      <c r="G269" s="922"/>
    </row>
    <row r="270" spans="6:7" s="417" customFormat="1" ht="12.75">
      <c r="F270" s="922"/>
      <c r="G270" s="922"/>
    </row>
    <row r="271" spans="6:7" s="417" customFormat="1" ht="12.75">
      <c r="F271" s="922"/>
      <c r="G271" s="922"/>
    </row>
    <row r="272" spans="6:7" s="417" customFormat="1" ht="12.75">
      <c r="F272" s="922"/>
      <c r="G272" s="922"/>
    </row>
    <row r="273" spans="6:7" s="417" customFormat="1" ht="12.75">
      <c r="F273" s="922"/>
      <c r="G273" s="922"/>
    </row>
    <row r="274" spans="6:7" s="417" customFormat="1" ht="12.75">
      <c r="F274" s="922"/>
      <c r="G274" s="922"/>
    </row>
    <row r="275" spans="6:7" s="417" customFormat="1" ht="12.75">
      <c r="F275" s="922"/>
      <c r="G275" s="922"/>
    </row>
    <row r="276" spans="6:7" s="417" customFormat="1" ht="12.75">
      <c r="F276" s="922"/>
      <c r="G276" s="922"/>
    </row>
    <row r="277" spans="6:7" s="417" customFormat="1" ht="12.75">
      <c r="F277" s="922"/>
      <c r="G277" s="922"/>
    </row>
    <row r="278" spans="6:7" s="417" customFormat="1" ht="12.75">
      <c r="F278" s="922"/>
      <c r="G278" s="922"/>
    </row>
    <row r="279" spans="6:7" s="417" customFormat="1" ht="12.75">
      <c r="F279" s="922"/>
      <c r="G279" s="922"/>
    </row>
    <row r="280" spans="6:7" s="417" customFormat="1" ht="12.75">
      <c r="F280" s="922"/>
      <c r="G280" s="922"/>
    </row>
    <row r="281" spans="6:7" s="417" customFormat="1" ht="12.75">
      <c r="F281" s="922"/>
      <c r="G281" s="922"/>
    </row>
    <row r="282" spans="6:7" s="417" customFormat="1" ht="12.75">
      <c r="F282" s="922"/>
      <c r="G282" s="922"/>
    </row>
    <row r="283" spans="6:7" s="417" customFormat="1" ht="12.75">
      <c r="F283" s="922"/>
      <c r="G283" s="922"/>
    </row>
    <row r="284" spans="6:7" s="417" customFormat="1" ht="12.75">
      <c r="F284" s="922"/>
      <c r="G284" s="922"/>
    </row>
    <row r="285" spans="6:7" s="417" customFormat="1" ht="12.75">
      <c r="F285" s="922"/>
      <c r="G285" s="922"/>
    </row>
    <row r="286" spans="6:7" s="417" customFormat="1" ht="12.75">
      <c r="F286" s="922"/>
      <c r="G286" s="922"/>
    </row>
    <row r="287" spans="6:7" s="417" customFormat="1" ht="12.75">
      <c r="F287" s="922"/>
      <c r="G287" s="922"/>
    </row>
    <row r="288" spans="6:7" s="417" customFormat="1" ht="12.75">
      <c r="F288" s="922"/>
      <c r="G288" s="922"/>
    </row>
    <row r="289" spans="6:7" s="417" customFormat="1" ht="12.75">
      <c r="F289" s="922"/>
      <c r="G289" s="922"/>
    </row>
    <row r="290" spans="6:7" s="417" customFormat="1" ht="12.75">
      <c r="F290" s="922"/>
      <c r="G290" s="922"/>
    </row>
    <row r="291" spans="6:7" s="417" customFormat="1" ht="12.75">
      <c r="F291" s="922"/>
      <c r="G291" s="922"/>
    </row>
    <row r="292" spans="6:7" s="417" customFormat="1" ht="12.75">
      <c r="F292" s="922"/>
      <c r="G292" s="922"/>
    </row>
    <row r="293" spans="6:7" s="417" customFormat="1" ht="12.75">
      <c r="F293" s="922"/>
      <c r="G293" s="922"/>
    </row>
    <row r="294" spans="6:7" s="417" customFormat="1" ht="12.75">
      <c r="F294" s="922"/>
      <c r="G294" s="922"/>
    </row>
    <row r="295" spans="6:7" s="417" customFormat="1" ht="12.75">
      <c r="F295" s="922"/>
      <c r="G295" s="922"/>
    </row>
    <row r="296" spans="6:7" s="417" customFormat="1" ht="12.75">
      <c r="F296" s="922"/>
      <c r="G296" s="922"/>
    </row>
    <row r="297" spans="6:7" s="417" customFormat="1" ht="12.75">
      <c r="F297" s="922"/>
      <c r="G297" s="922"/>
    </row>
    <row r="298" spans="6:7" s="417" customFormat="1" ht="12.75">
      <c r="F298" s="922"/>
      <c r="G298" s="922"/>
    </row>
    <row r="299" spans="6:7" s="417" customFormat="1" ht="12.75">
      <c r="F299" s="922"/>
      <c r="G299" s="922"/>
    </row>
    <row r="300" spans="6:7" s="417" customFormat="1" ht="12.75">
      <c r="F300" s="922"/>
      <c r="G300" s="922"/>
    </row>
    <row r="301" spans="6:7" s="417" customFormat="1" ht="12.75">
      <c r="F301" s="922"/>
      <c r="G301" s="922"/>
    </row>
    <row r="302" spans="6:7" s="417" customFormat="1" ht="12.75">
      <c r="F302" s="922"/>
      <c r="G302" s="922"/>
    </row>
    <row r="303" spans="6:7" s="417" customFormat="1" ht="12.75">
      <c r="F303" s="922"/>
      <c r="G303" s="922"/>
    </row>
    <row r="304" spans="6:7" s="417" customFormat="1" ht="12.75">
      <c r="F304" s="922"/>
      <c r="G304" s="922"/>
    </row>
    <row r="305" spans="6:7" s="417" customFormat="1" ht="12.75">
      <c r="F305" s="922"/>
      <c r="G305" s="922"/>
    </row>
    <row r="306" spans="6:7" s="417" customFormat="1" ht="12.75">
      <c r="F306" s="922"/>
      <c r="G306" s="922"/>
    </row>
    <row r="307" spans="6:7" s="417" customFormat="1" ht="12.75">
      <c r="F307" s="922"/>
      <c r="G307" s="922"/>
    </row>
    <row r="308" spans="6:7" s="417" customFormat="1" ht="12.75">
      <c r="F308" s="922"/>
      <c r="G308" s="922"/>
    </row>
    <row r="309" spans="6:7" s="417" customFormat="1" ht="12.75">
      <c r="F309" s="922"/>
      <c r="G309" s="922"/>
    </row>
    <row r="310" spans="6:7" s="417" customFormat="1" ht="12.75">
      <c r="F310" s="922"/>
      <c r="G310" s="922"/>
    </row>
    <row r="311" spans="6:7" s="417" customFormat="1" ht="12.75">
      <c r="F311" s="922"/>
      <c r="G311" s="922"/>
    </row>
    <row r="312" spans="6:7" s="417" customFormat="1" ht="12.75">
      <c r="F312" s="922"/>
      <c r="G312" s="922"/>
    </row>
    <row r="313" spans="6:7" s="417" customFormat="1" ht="12.75">
      <c r="F313" s="922"/>
      <c r="G313" s="922"/>
    </row>
    <row r="314" spans="6:7" s="417" customFormat="1" ht="12.75">
      <c r="F314" s="922"/>
      <c r="G314" s="922"/>
    </row>
    <row r="315" spans="6:7" s="417" customFormat="1" ht="12.75">
      <c r="F315" s="922"/>
      <c r="G315" s="922"/>
    </row>
    <row r="316" spans="6:7" s="417" customFormat="1" ht="12.75">
      <c r="F316" s="922"/>
      <c r="G316" s="922"/>
    </row>
    <row r="317" spans="6:7" s="417" customFormat="1" ht="12.75">
      <c r="F317" s="922"/>
      <c r="G317" s="922"/>
    </row>
    <row r="318" spans="6:7" s="417" customFormat="1" ht="12.75">
      <c r="F318" s="922"/>
      <c r="G318" s="922"/>
    </row>
    <row r="319" spans="6:7" s="417" customFormat="1" ht="12.75">
      <c r="F319" s="922"/>
      <c r="G319" s="922"/>
    </row>
    <row r="320" spans="6:7" s="417" customFormat="1" ht="12.75">
      <c r="F320" s="922"/>
      <c r="G320" s="922"/>
    </row>
    <row r="321" spans="6:7" s="417" customFormat="1" ht="12.75">
      <c r="F321" s="922"/>
      <c r="G321" s="922"/>
    </row>
    <row r="322" spans="6:7" s="417" customFormat="1" ht="12.75">
      <c r="F322" s="922"/>
      <c r="G322" s="922"/>
    </row>
    <row r="323" spans="6:7" s="417" customFormat="1" ht="12.75">
      <c r="F323" s="922"/>
      <c r="G323" s="922"/>
    </row>
    <row r="324" spans="6:7" s="417" customFormat="1" ht="12.75">
      <c r="F324" s="922"/>
      <c r="G324" s="922"/>
    </row>
    <row r="325" spans="6:7" s="417" customFormat="1" ht="12.75">
      <c r="F325" s="922"/>
      <c r="G325" s="922"/>
    </row>
    <row r="326" spans="6:7" s="417" customFormat="1" ht="12.75">
      <c r="F326" s="922"/>
      <c r="G326" s="922"/>
    </row>
    <row r="327" spans="6:7" s="417" customFormat="1" ht="12.75">
      <c r="F327" s="922"/>
      <c r="G327" s="922"/>
    </row>
    <row r="328" spans="6:7" s="417" customFormat="1" ht="12.75">
      <c r="F328" s="922"/>
      <c r="G328" s="922"/>
    </row>
    <row r="329" spans="6:7" s="417" customFormat="1" ht="12.75">
      <c r="F329" s="922"/>
      <c r="G329" s="922"/>
    </row>
    <row r="330" spans="6:7" s="417" customFormat="1" ht="12.75">
      <c r="F330" s="922"/>
      <c r="G330" s="922"/>
    </row>
    <row r="331" spans="6:7" s="417" customFormat="1" ht="12.75">
      <c r="F331" s="922"/>
      <c r="G331" s="922"/>
    </row>
    <row r="332" spans="6:7" s="417" customFormat="1" ht="12.75">
      <c r="F332" s="922"/>
      <c r="G332" s="922"/>
    </row>
    <row r="333" spans="6:7" s="417" customFormat="1" ht="12.75">
      <c r="F333" s="922"/>
      <c r="G333" s="922"/>
    </row>
    <row r="334" spans="6:7" s="417" customFormat="1" ht="12.75">
      <c r="F334" s="922"/>
      <c r="G334" s="922"/>
    </row>
    <row r="335" spans="6:7" s="417" customFormat="1" ht="12.75">
      <c r="F335" s="922"/>
      <c r="G335" s="922"/>
    </row>
    <row r="336" spans="6:7" s="417" customFormat="1" ht="12.75">
      <c r="F336" s="922"/>
      <c r="G336" s="922"/>
    </row>
    <row r="337" spans="6:7" s="417" customFormat="1" ht="12.75">
      <c r="F337" s="922"/>
      <c r="G337" s="922"/>
    </row>
    <row r="338" spans="6:7" s="417" customFormat="1" ht="12.75">
      <c r="F338" s="922"/>
      <c r="G338" s="922"/>
    </row>
    <row r="339" spans="6:7" s="417" customFormat="1" ht="12.75">
      <c r="F339" s="922"/>
      <c r="G339" s="922"/>
    </row>
    <row r="340" spans="6:7" s="417" customFormat="1" ht="12.75">
      <c r="F340" s="922"/>
      <c r="G340" s="922"/>
    </row>
    <row r="341" spans="6:7" s="417" customFormat="1" ht="12.75">
      <c r="F341" s="922"/>
      <c r="G341" s="922"/>
    </row>
    <row r="342" spans="6:7" s="417" customFormat="1" ht="12.75">
      <c r="F342" s="922"/>
      <c r="G342" s="922"/>
    </row>
    <row r="343" spans="6:7" s="417" customFormat="1" ht="12.75">
      <c r="F343" s="922"/>
      <c r="G343" s="922"/>
    </row>
    <row r="344" spans="6:7" s="417" customFormat="1" ht="12.75">
      <c r="F344" s="922"/>
      <c r="G344" s="922"/>
    </row>
    <row r="345" spans="6:7" s="417" customFormat="1" ht="12.75">
      <c r="F345" s="922"/>
      <c r="G345" s="922"/>
    </row>
    <row r="346" spans="6:7" s="417" customFormat="1" ht="12.75">
      <c r="F346" s="922"/>
      <c r="G346" s="922"/>
    </row>
    <row r="347" spans="6:7" s="417" customFormat="1" ht="12.75">
      <c r="F347" s="922"/>
      <c r="G347" s="922"/>
    </row>
    <row r="348" spans="6:7" s="417" customFormat="1" ht="12.75">
      <c r="F348" s="922"/>
      <c r="G348" s="922"/>
    </row>
    <row r="349" spans="6:7" s="417" customFormat="1" ht="12.75">
      <c r="F349" s="922"/>
      <c r="G349" s="922"/>
    </row>
    <row r="350" spans="6:7" s="417" customFormat="1" ht="12.75">
      <c r="F350" s="922"/>
      <c r="G350" s="922"/>
    </row>
    <row r="351" spans="6:7" s="417" customFormat="1" ht="12.75">
      <c r="F351" s="922"/>
      <c r="G351" s="922"/>
    </row>
    <row r="352" spans="6:7" s="417" customFormat="1" ht="12.75">
      <c r="F352" s="922"/>
      <c r="G352" s="922"/>
    </row>
    <row r="353" spans="6:7" s="417" customFormat="1" ht="12.75">
      <c r="F353" s="922"/>
      <c r="G353" s="922"/>
    </row>
    <row r="354" spans="6:7" s="417" customFormat="1" ht="12.75">
      <c r="F354" s="922"/>
      <c r="G354" s="922"/>
    </row>
    <row r="355" spans="6:7" s="417" customFormat="1" ht="12.75">
      <c r="F355" s="922"/>
      <c r="G355" s="922"/>
    </row>
    <row r="356" spans="6:7" s="417" customFormat="1" ht="12.75">
      <c r="F356" s="922"/>
      <c r="G356" s="922"/>
    </row>
    <row r="357" spans="6:7" s="417" customFormat="1" ht="12.75">
      <c r="F357" s="922"/>
      <c r="G357" s="922"/>
    </row>
    <row r="358" spans="6:7" s="417" customFormat="1" ht="12.75">
      <c r="F358" s="922"/>
      <c r="G358" s="922"/>
    </row>
    <row r="359" spans="6:7" s="417" customFormat="1" ht="12.75">
      <c r="F359" s="922"/>
      <c r="G359" s="922"/>
    </row>
    <row r="360" spans="6:7" s="417" customFormat="1" ht="12.75">
      <c r="F360" s="922"/>
      <c r="G360" s="922"/>
    </row>
    <row r="361" spans="6:7" s="417" customFormat="1" ht="12.75">
      <c r="F361" s="922"/>
      <c r="G361" s="922"/>
    </row>
    <row r="362" spans="6:7" s="417" customFormat="1" ht="12.75">
      <c r="F362" s="922"/>
      <c r="G362" s="922"/>
    </row>
    <row r="363" spans="6:7" s="417" customFormat="1" ht="12.75">
      <c r="F363" s="922"/>
      <c r="G363" s="922"/>
    </row>
    <row r="364" spans="6:7" s="417" customFormat="1" ht="12.75">
      <c r="F364" s="922"/>
      <c r="G364" s="922"/>
    </row>
    <row r="365" spans="6:7" s="417" customFormat="1" ht="12.75">
      <c r="F365" s="922"/>
      <c r="G365" s="922"/>
    </row>
    <row r="366" spans="6:7" s="417" customFormat="1" ht="12.75">
      <c r="F366" s="922"/>
      <c r="G366" s="922"/>
    </row>
    <row r="367" spans="6:7" s="417" customFormat="1" ht="12.75">
      <c r="F367" s="922"/>
      <c r="G367" s="922"/>
    </row>
    <row r="368" spans="6:7" s="417" customFormat="1" ht="12.75">
      <c r="F368" s="922"/>
      <c r="G368" s="922"/>
    </row>
    <row r="369" spans="6:7" s="417" customFormat="1" ht="12.75">
      <c r="F369" s="922"/>
      <c r="G369" s="922"/>
    </row>
    <row r="370" spans="6:7" s="417" customFormat="1" ht="12.75">
      <c r="F370" s="922"/>
      <c r="G370" s="922"/>
    </row>
    <row r="371" spans="6:7" s="417" customFormat="1" ht="12.75">
      <c r="F371" s="922"/>
      <c r="G371" s="922"/>
    </row>
    <row r="372" spans="6:7" s="417" customFormat="1" ht="12.75">
      <c r="F372" s="922"/>
      <c r="G372" s="922"/>
    </row>
    <row r="373" spans="6:7" s="417" customFormat="1" ht="12.75">
      <c r="F373" s="922"/>
      <c r="G373" s="922"/>
    </row>
    <row r="374" spans="6:7" s="417" customFormat="1" ht="12.75">
      <c r="F374" s="922"/>
      <c r="G374" s="922"/>
    </row>
    <row r="375" spans="6:7" s="417" customFormat="1" ht="12.75">
      <c r="F375" s="922"/>
      <c r="G375" s="922"/>
    </row>
    <row r="376" spans="6:7" s="417" customFormat="1" ht="12.75">
      <c r="F376" s="922"/>
      <c r="G376" s="922"/>
    </row>
    <row r="377" spans="6:7" s="417" customFormat="1" ht="12.75">
      <c r="F377" s="922"/>
      <c r="G377" s="922"/>
    </row>
    <row r="378" spans="6:7" s="417" customFormat="1" ht="12.75">
      <c r="F378" s="922"/>
      <c r="G378" s="922"/>
    </row>
    <row r="379" spans="6:7" s="417" customFormat="1" ht="12.75">
      <c r="F379" s="922"/>
      <c r="G379" s="922"/>
    </row>
    <row r="380" spans="6:7" s="417" customFormat="1" ht="12.75">
      <c r="F380" s="922"/>
      <c r="G380" s="922"/>
    </row>
    <row r="381" spans="6:7" s="417" customFormat="1" ht="12.75">
      <c r="F381" s="922"/>
      <c r="G381" s="922"/>
    </row>
    <row r="382" spans="6:7" s="417" customFormat="1" ht="12.75">
      <c r="F382" s="922"/>
      <c r="G382" s="922"/>
    </row>
    <row r="383" spans="6:7" s="417" customFormat="1" ht="12.75">
      <c r="F383" s="922"/>
      <c r="G383" s="922"/>
    </row>
    <row r="384" spans="6:7" s="417" customFormat="1" ht="12.75">
      <c r="F384" s="922"/>
      <c r="G384" s="922"/>
    </row>
    <row r="385" spans="6:7" s="417" customFormat="1" ht="12.75">
      <c r="F385" s="922"/>
      <c r="G385" s="922"/>
    </row>
    <row r="386" spans="6:7" s="417" customFormat="1" ht="12.75">
      <c r="F386" s="922"/>
      <c r="G386" s="922"/>
    </row>
    <row r="387" spans="6:7" s="417" customFormat="1" ht="12.75">
      <c r="F387" s="922"/>
      <c r="G387" s="922"/>
    </row>
    <row r="388" spans="6:7" s="417" customFormat="1" ht="12.75">
      <c r="F388" s="922"/>
      <c r="G388" s="922"/>
    </row>
    <row r="389" spans="6:7" s="417" customFormat="1" ht="12.75">
      <c r="F389" s="922"/>
      <c r="G389" s="922"/>
    </row>
    <row r="390" spans="6:7" s="417" customFormat="1" ht="12.75">
      <c r="F390" s="922"/>
      <c r="G390" s="922"/>
    </row>
    <row r="391" spans="6:7" s="417" customFormat="1" ht="12.75">
      <c r="F391" s="922"/>
      <c r="G391" s="922"/>
    </row>
    <row r="392" spans="6:7" s="417" customFormat="1" ht="12.75">
      <c r="F392" s="922"/>
      <c r="G392" s="922"/>
    </row>
    <row r="393" spans="6:7" s="417" customFormat="1" ht="12.75">
      <c r="F393" s="922"/>
      <c r="G393" s="922"/>
    </row>
    <row r="394" spans="6:7" s="417" customFormat="1" ht="12.75">
      <c r="F394" s="922"/>
      <c r="G394" s="922"/>
    </row>
    <row r="395" spans="6:7" s="417" customFormat="1" ht="12.75">
      <c r="F395" s="922"/>
      <c r="G395" s="922"/>
    </row>
    <row r="396" spans="6:7" s="417" customFormat="1" ht="12.75">
      <c r="F396" s="922"/>
      <c r="G396" s="922"/>
    </row>
    <row r="397" spans="6:7" s="417" customFormat="1" ht="12.75">
      <c r="F397" s="922"/>
      <c r="G397" s="922"/>
    </row>
    <row r="398" spans="6:7" s="417" customFormat="1" ht="12.75">
      <c r="F398" s="922"/>
      <c r="G398" s="922"/>
    </row>
    <row r="399" spans="6:7" s="417" customFormat="1" ht="12.75">
      <c r="F399" s="922"/>
      <c r="G399" s="922"/>
    </row>
  </sheetData>
  <sheetProtection algorithmName="SHA-512" hashValue="PWgFzRg7EKxETNaoCSb+K4brj3I4PV8ZabcwotGiD0MJoIt4TD+XFl9igBFuFn3osNlAm7qFBkcKJ+5Md5g/UQ==" saltValue="a73s8ed77CMg2gVIvbvygA==" spinCount="100000" sheet="1" objects="1" scenarios="1"/>
  <mergeCells count="7">
    <mergeCell ref="A164:G164"/>
    <mergeCell ref="B3:C4"/>
    <mergeCell ref="D3:D4"/>
    <mergeCell ref="A160:G160"/>
    <mergeCell ref="A161:G161"/>
    <mergeCell ref="A162:G162"/>
    <mergeCell ref="A163:G163"/>
  </mergeCells>
  <pageMargins left="0.7" right="0.7" top="0.75" bottom="0.75" header="0.3" footer="0.3"/>
  <pageSetup scale="88" fitToHeight="3" orientation="portrait" r:id="rId1"/>
  <headerFooter>
    <oddFooter>&amp;LHawai'i DOH
Spring 2024&amp;C&amp;P of &amp;N&amp;R&amp;A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29"/>
  </sheetPr>
  <dimension ref="B1:D22"/>
  <sheetViews>
    <sheetView zoomScaleNormal="100" workbookViewId="0">
      <selection activeCell="B5" sqref="B5:B7"/>
    </sheetView>
  </sheetViews>
  <sheetFormatPr defaultRowHeight="12.75"/>
  <cols>
    <col min="2" max="2" width="30.1328125" customWidth="1"/>
    <col min="3" max="3" width="25.86328125" style="18" customWidth="1"/>
    <col min="4" max="4" width="14" style="18" customWidth="1"/>
  </cols>
  <sheetData>
    <row r="1" spans="2:4" ht="30">
      <c r="B1" s="6" t="s">
        <v>681</v>
      </c>
      <c r="C1" s="7"/>
      <c r="D1" s="7"/>
    </row>
    <row r="2" spans="2:4" ht="13.5" thickBot="1">
      <c r="B2" s="7"/>
      <c r="C2" s="7"/>
      <c r="D2" s="7"/>
    </row>
    <row r="3" spans="2:4" ht="51" customHeight="1" thickTop="1">
      <c r="B3" s="8" t="s">
        <v>746</v>
      </c>
      <c r="C3" s="9" t="s">
        <v>747</v>
      </c>
      <c r="D3" s="10" t="s">
        <v>682</v>
      </c>
    </row>
    <row r="4" spans="2:4" ht="26.1" customHeight="1">
      <c r="B4" s="1465" t="s">
        <v>748</v>
      </c>
      <c r="C4" s="1466"/>
      <c r="D4" s="1467"/>
    </row>
    <row r="5" spans="2:4" ht="51">
      <c r="B5" s="1460" t="s">
        <v>384</v>
      </c>
      <c r="C5" s="11" t="s">
        <v>224</v>
      </c>
      <c r="D5" s="12">
        <v>100</v>
      </c>
    </row>
    <row r="6" spans="2:4" ht="38.25">
      <c r="B6" s="1461"/>
      <c r="C6" s="11" t="s">
        <v>4</v>
      </c>
      <c r="D6" s="12">
        <v>500</v>
      </c>
    </row>
    <row r="7" spans="2:4" ht="25.5">
      <c r="B7" s="1462"/>
      <c r="C7" s="11" t="s">
        <v>356</v>
      </c>
      <c r="D7" s="12">
        <v>1000</v>
      </c>
    </row>
    <row r="8" spans="2:4" ht="51">
      <c r="B8" s="1460" t="s">
        <v>385</v>
      </c>
      <c r="C8" s="11" t="s">
        <v>224</v>
      </c>
      <c r="D8" s="12">
        <v>500</v>
      </c>
    </row>
    <row r="9" spans="2:4" ht="38.25">
      <c r="B9" s="1463"/>
      <c r="C9" s="11" t="s">
        <v>4</v>
      </c>
      <c r="D9" s="12">
        <v>1000</v>
      </c>
    </row>
    <row r="10" spans="2:4" ht="25.5">
      <c r="B10" s="1464"/>
      <c r="C10" s="11" t="s">
        <v>356</v>
      </c>
      <c r="D10" s="12">
        <v>2500</v>
      </c>
    </row>
    <row r="11" spans="2:4" ht="26.1" customHeight="1">
      <c r="B11" s="1468" t="s">
        <v>357</v>
      </c>
      <c r="C11" s="1217"/>
      <c r="D11" s="1213"/>
    </row>
    <row r="12" spans="2:4" ht="51">
      <c r="B12" s="1460" t="s">
        <v>384</v>
      </c>
      <c r="C12" s="11" t="s">
        <v>224</v>
      </c>
      <c r="D12" s="12">
        <v>500</v>
      </c>
    </row>
    <row r="13" spans="2:4" ht="38.25">
      <c r="B13" s="1461"/>
      <c r="C13" s="11" t="s">
        <v>4</v>
      </c>
      <c r="D13" s="12">
        <v>1000</v>
      </c>
    </row>
    <row r="14" spans="2:4" ht="25.5">
      <c r="B14" s="1462"/>
      <c r="C14" s="11" t="s">
        <v>356</v>
      </c>
      <c r="D14" s="12">
        <v>2500</v>
      </c>
    </row>
    <row r="15" spans="2:4" ht="51">
      <c r="B15" s="1460" t="s">
        <v>385</v>
      </c>
      <c r="C15" s="11" t="s">
        <v>224</v>
      </c>
      <c r="D15" s="12">
        <v>1000</v>
      </c>
    </row>
    <row r="16" spans="2:4" ht="38.25">
      <c r="B16" s="1463"/>
      <c r="C16" s="11" t="s">
        <v>4</v>
      </c>
      <c r="D16" s="12">
        <v>2500</v>
      </c>
    </row>
    <row r="17" spans="2:4" ht="25.9" thickBot="1">
      <c r="B17" s="1464"/>
      <c r="C17" s="13" t="s">
        <v>356</v>
      </c>
      <c r="D17" s="14">
        <v>5000</v>
      </c>
    </row>
    <row r="18" spans="2:4" ht="13.15" thickTop="1">
      <c r="B18" s="15"/>
      <c r="C18" s="16"/>
      <c r="D18" s="17"/>
    </row>
    <row r="19" spans="2:4">
      <c r="B19" s="4" t="s">
        <v>373</v>
      </c>
      <c r="D19" s="19"/>
    </row>
    <row r="20" spans="2:4" ht="13.15" thickBot="1">
      <c r="B20" s="5" t="s">
        <v>793</v>
      </c>
      <c r="C20" s="20"/>
      <c r="D20" s="21"/>
    </row>
    <row r="21" spans="2:4" ht="13.15" thickTop="1">
      <c r="B21" s="3"/>
    </row>
    <row r="22" spans="2:4">
      <c r="B22" s="3"/>
    </row>
  </sheetData>
  <sheetProtection algorithmName="SHA-512" hashValue="qLfMJx2JkGiVLjE15LF5UNYt3xGIYOAdcIxQqjYD9QUjI4jRUKL+++KF7aHUKvkvxf2m3l/D+TV0C7BE4LJjtA==" saltValue="D0sbWXk2E+57NEUdzVnWbQ==" spinCount="100000" sheet="1" objects="1" scenarios="1"/>
  <mergeCells count="6">
    <mergeCell ref="B12:B14"/>
    <mergeCell ref="B15:B17"/>
    <mergeCell ref="B4:D4"/>
    <mergeCell ref="B11:D11"/>
    <mergeCell ref="B5:B7"/>
    <mergeCell ref="B8:B10"/>
  </mergeCells>
  <phoneticPr fontId="0" type="noConversion"/>
  <printOptions horizontalCentered="1"/>
  <pageMargins left="0.17" right="0.16" top="0.53" bottom="1" header="0.5" footer="0.5"/>
  <pageSetup orientation="portrait" r:id="rId1"/>
  <headerFooter alignWithMargins="0">
    <oddFooter>&amp;LHawai'i DOH
Spring 2024&amp;C&amp;8Page &amp;P of &amp;N&amp;R&amp;A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29"/>
    <pageSetUpPr fitToPage="1"/>
  </sheetPr>
  <dimension ref="A1:J180"/>
  <sheetViews>
    <sheetView zoomScale="80" zoomScaleNormal="80" workbookViewId="0">
      <pane ySplit="2085" topLeftCell="A4" activePane="bottomLeft"/>
      <selection activeCell="B7" sqref="B7"/>
      <selection pane="bottomLeft" activeCell="A4" sqref="A4"/>
    </sheetView>
  </sheetViews>
  <sheetFormatPr defaultColWidth="9.1328125" defaultRowHeight="10.15"/>
  <cols>
    <col min="1" max="1" width="40.73046875" style="1" customWidth="1"/>
    <col min="2" max="3" width="12.73046875" style="475" customWidth="1"/>
    <col min="4" max="5" width="12.59765625" style="475" customWidth="1"/>
    <col min="6" max="6" width="12.59765625" style="518" customWidth="1"/>
    <col min="7" max="8" width="14.59765625" style="606" customWidth="1"/>
    <col min="9" max="9" width="13.265625" style="606" customWidth="1"/>
    <col min="10" max="10" width="12.73046875" style="615" customWidth="1"/>
    <col min="11" max="16384" width="9.1328125" style="1"/>
  </cols>
  <sheetData>
    <row r="1" spans="1:10" s="510" customFormat="1" ht="30" customHeight="1">
      <c r="A1" s="1430" t="s">
        <v>183</v>
      </c>
      <c r="B1" s="1181"/>
      <c r="C1" s="1181"/>
      <c r="D1" s="1181"/>
      <c r="E1" s="1181"/>
      <c r="F1" s="1181"/>
      <c r="G1" s="1181"/>
      <c r="H1" s="1181"/>
      <c r="I1" s="1181"/>
      <c r="J1" s="1181"/>
    </row>
    <row r="2" spans="1:10" s="510" customFormat="1" ht="15.95" customHeight="1" thickBot="1">
      <c r="A2" s="694"/>
      <c r="B2" s="595"/>
      <c r="C2" s="595"/>
      <c r="D2" s="530"/>
      <c r="E2" s="530"/>
      <c r="F2" s="531"/>
      <c r="G2" s="694"/>
      <c r="H2" s="694"/>
      <c r="I2" s="694"/>
      <c r="J2" s="923"/>
    </row>
    <row r="3" spans="1:10" s="510" customFormat="1" ht="72" customHeight="1" thickTop="1" thickBot="1">
      <c r="A3" s="727" t="s">
        <v>613</v>
      </c>
      <c r="B3" s="486" t="s">
        <v>918</v>
      </c>
      <c r="C3" s="924" t="s">
        <v>919</v>
      </c>
      <c r="D3" s="486" t="s">
        <v>920</v>
      </c>
      <c r="E3" s="924" t="s">
        <v>680</v>
      </c>
      <c r="F3" s="925" t="s">
        <v>5</v>
      </c>
      <c r="G3" s="926" t="s">
        <v>856</v>
      </c>
      <c r="H3" s="927" t="s">
        <v>857</v>
      </c>
      <c r="I3" s="927" t="s">
        <v>6</v>
      </c>
      <c r="J3" s="928" t="s">
        <v>7</v>
      </c>
    </row>
    <row r="4" spans="1:10" s="510" customFormat="1">
      <c r="A4" s="454" t="s">
        <v>548</v>
      </c>
      <c r="B4" s="501">
        <v>1000</v>
      </c>
      <c r="C4" s="566">
        <v>2500</v>
      </c>
      <c r="D4" s="501">
        <v>1000</v>
      </c>
      <c r="E4" s="566">
        <v>2500</v>
      </c>
      <c r="F4" s="568" t="s">
        <v>523</v>
      </c>
      <c r="G4" s="929">
        <v>2.2000000000000001E-3</v>
      </c>
      <c r="H4" s="930">
        <v>513</v>
      </c>
      <c r="I4" s="901">
        <v>0.08</v>
      </c>
      <c r="J4" s="931">
        <v>2.75E-2</v>
      </c>
    </row>
    <row r="5" spans="1:10" s="510" customFormat="1">
      <c r="A5" s="458" t="s">
        <v>549</v>
      </c>
      <c r="B5" s="501">
        <v>500</v>
      </c>
      <c r="C5" s="566">
        <v>1000</v>
      </c>
      <c r="D5" s="501">
        <v>500</v>
      </c>
      <c r="E5" s="566">
        <v>1000</v>
      </c>
      <c r="F5" s="568" t="s">
        <v>523</v>
      </c>
      <c r="G5" s="929">
        <v>9.1200000000000005E-4</v>
      </c>
      <c r="H5" s="930" t="s">
        <v>367</v>
      </c>
      <c r="I5" s="901" t="s">
        <v>367</v>
      </c>
      <c r="J5" s="931" t="s">
        <v>367</v>
      </c>
    </row>
    <row r="6" spans="1:10" s="510" customFormat="1">
      <c r="A6" s="458" t="s">
        <v>550</v>
      </c>
      <c r="B6" s="501">
        <v>500</v>
      </c>
      <c r="C6" s="566">
        <v>1000</v>
      </c>
      <c r="D6" s="501">
        <v>500</v>
      </c>
      <c r="E6" s="566">
        <v>1000</v>
      </c>
      <c r="F6" s="568">
        <v>114665.0314465409</v>
      </c>
      <c r="G6" s="929">
        <v>231.5</v>
      </c>
      <c r="H6" s="930">
        <v>30862</v>
      </c>
      <c r="I6" s="901">
        <v>13</v>
      </c>
      <c r="J6" s="931">
        <v>17.807692307692307</v>
      </c>
    </row>
    <row r="7" spans="1:10" s="510" customFormat="1">
      <c r="A7" s="458" t="s">
        <v>551</v>
      </c>
      <c r="B7" s="501">
        <v>1000</v>
      </c>
      <c r="C7" s="566">
        <v>2500</v>
      </c>
      <c r="D7" s="501">
        <v>1000</v>
      </c>
      <c r="E7" s="566">
        <v>2500</v>
      </c>
      <c r="F7" s="568" t="s">
        <v>523</v>
      </c>
      <c r="G7" s="929">
        <v>1.2E-4</v>
      </c>
      <c r="H7" s="930">
        <v>263</v>
      </c>
      <c r="I7" s="901">
        <v>1.7000000000000001E-2</v>
      </c>
      <c r="J7" s="931">
        <v>7.0588235294117641E-3</v>
      </c>
    </row>
    <row r="8" spans="1:10" s="510" customFormat="1">
      <c r="A8" s="458" t="s">
        <v>161</v>
      </c>
      <c r="B8" s="501">
        <v>500</v>
      </c>
      <c r="C8" s="566">
        <v>1000</v>
      </c>
      <c r="D8" s="501">
        <v>500</v>
      </c>
      <c r="E8" s="566">
        <v>1000</v>
      </c>
      <c r="F8" s="568" t="s">
        <v>523</v>
      </c>
      <c r="G8" s="929">
        <v>2.7E-6</v>
      </c>
      <c r="H8" s="930" t="s">
        <v>367</v>
      </c>
      <c r="I8" s="901" t="s">
        <v>367</v>
      </c>
      <c r="J8" s="931" t="s">
        <v>367</v>
      </c>
    </row>
    <row r="9" spans="1:10" s="510" customFormat="1">
      <c r="A9" s="458" t="s">
        <v>162</v>
      </c>
      <c r="B9" s="501">
        <v>500</v>
      </c>
      <c r="C9" s="566">
        <v>1000</v>
      </c>
      <c r="D9" s="501">
        <v>500</v>
      </c>
      <c r="E9" s="566">
        <v>1000</v>
      </c>
      <c r="F9" s="568" t="s">
        <v>523</v>
      </c>
      <c r="G9" s="929">
        <v>1.1E-5</v>
      </c>
      <c r="H9" s="930" t="s">
        <v>367</v>
      </c>
      <c r="I9" s="901" t="s">
        <v>367</v>
      </c>
      <c r="J9" s="931" t="s">
        <v>367</v>
      </c>
    </row>
    <row r="10" spans="1:10" s="510" customFormat="1">
      <c r="A10" s="458" t="s">
        <v>94</v>
      </c>
      <c r="B10" s="501">
        <v>500</v>
      </c>
      <c r="C10" s="566">
        <v>1000</v>
      </c>
      <c r="D10" s="501">
        <v>500</v>
      </c>
      <c r="E10" s="566">
        <v>1000</v>
      </c>
      <c r="F10" s="568" t="s">
        <v>523</v>
      </c>
      <c r="G10" s="929">
        <v>1.1E-5</v>
      </c>
      <c r="H10" s="930" t="s">
        <v>367</v>
      </c>
      <c r="I10" s="901" t="s">
        <v>367</v>
      </c>
      <c r="J10" s="931" t="s">
        <v>367</v>
      </c>
    </row>
    <row r="11" spans="1:10" s="510" customFormat="1">
      <c r="A11" s="458" t="s">
        <v>552</v>
      </c>
      <c r="B11" s="501">
        <v>500</v>
      </c>
      <c r="C11" s="566">
        <v>1000</v>
      </c>
      <c r="D11" s="501">
        <v>500</v>
      </c>
      <c r="E11" s="566">
        <v>1000</v>
      </c>
      <c r="F11" s="568" t="s">
        <v>523</v>
      </c>
      <c r="G11" s="929">
        <v>6.4999999999999996E-6</v>
      </c>
      <c r="H11" s="930" t="s">
        <v>367</v>
      </c>
      <c r="I11" s="901" t="s">
        <v>367</v>
      </c>
      <c r="J11" s="931" t="s">
        <v>367</v>
      </c>
    </row>
    <row r="12" spans="1:10" s="510" customFormat="1">
      <c r="A12" s="458" t="s">
        <v>553</v>
      </c>
      <c r="B12" s="501">
        <v>1000</v>
      </c>
      <c r="C12" s="566">
        <v>2500</v>
      </c>
      <c r="D12" s="501">
        <v>1000</v>
      </c>
      <c r="E12" s="566">
        <v>2500</v>
      </c>
      <c r="F12" s="568" t="s">
        <v>523</v>
      </c>
      <c r="G12" s="929" t="s">
        <v>367</v>
      </c>
      <c r="H12" s="930" t="s">
        <v>367</v>
      </c>
      <c r="I12" s="901" t="s">
        <v>367</v>
      </c>
      <c r="J12" s="931" t="s">
        <v>367</v>
      </c>
    </row>
    <row r="13" spans="1:10" s="510" customFormat="1">
      <c r="A13" s="458" t="s">
        <v>686</v>
      </c>
      <c r="B13" s="501">
        <v>1000</v>
      </c>
      <c r="C13" s="566">
        <v>2500</v>
      </c>
      <c r="D13" s="501">
        <v>1000</v>
      </c>
      <c r="E13" s="566">
        <v>2500</v>
      </c>
      <c r="F13" s="568" t="s">
        <v>523</v>
      </c>
      <c r="G13" s="929" t="s">
        <v>367</v>
      </c>
      <c r="H13" s="930" t="s">
        <v>367</v>
      </c>
      <c r="I13" s="901" t="s">
        <v>367</v>
      </c>
      <c r="J13" s="931" t="s">
        <v>367</v>
      </c>
    </row>
    <row r="14" spans="1:10" s="510" customFormat="1">
      <c r="A14" s="458" t="s">
        <v>95</v>
      </c>
      <c r="B14" s="501">
        <v>500</v>
      </c>
      <c r="C14" s="566">
        <v>1000</v>
      </c>
      <c r="D14" s="501">
        <v>500</v>
      </c>
      <c r="E14" s="566">
        <v>1000</v>
      </c>
      <c r="F14" s="568" t="s">
        <v>523</v>
      </c>
      <c r="G14" s="929">
        <v>2.8999999999999998E-7</v>
      </c>
      <c r="H14" s="930" t="s">
        <v>367</v>
      </c>
      <c r="I14" s="901" t="s">
        <v>367</v>
      </c>
      <c r="J14" s="931" t="s">
        <v>367</v>
      </c>
    </row>
    <row r="15" spans="1:10" s="510" customFormat="1">
      <c r="A15" s="458" t="s">
        <v>687</v>
      </c>
      <c r="B15" s="501">
        <v>1000</v>
      </c>
      <c r="C15" s="566">
        <v>2500</v>
      </c>
      <c r="D15" s="501">
        <v>1000</v>
      </c>
      <c r="E15" s="566">
        <v>2500</v>
      </c>
      <c r="F15" s="568" t="s">
        <v>523</v>
      </c>
      <c r="G15" s="929" t="s">
        <v>367</v>
      </c>
      <c r="H15" s="930" t="s">
        <v>367</v>
      </c>
      <c r="I15" s="901" t="s">
        <v>367</v>
      </c>
      <c r="J15" s="931" t="s">
        <v>367</v>
      </c>
    </row>
    <row r="16" spans="1:10" s="510" customFormat="1">
      <c r="A16" s="458" t="s">
        <v>1156</v>
      </c>
      <c r="B16" s="501">
        <v>1000</v>
      </c>
      <c r="C16" s="566">
        <v>2500</v>
      </c>
      <c r="D16" s="501">
        <v>1000</v>
      </c>
      <c r="E16" s="566">
        <v>2500</v>
      </c>
      <c r="F16" s="568" t="s">
        <v>523</v>
      </c>
      <c r="G16" s="929">
        <v>3.7E-9</v>
      </c>
      <c r="H16" s="930" t="s">
        <v>367</v>
      </c>
      <c r="I16" s="901" t="s">
        <v>367</v>
      </c>
      <c r="J16" s="931" t="s">
        <v>367</v>
      </c>
    </row>
    <row r="17" spans="1:10" s="510" customFormat="1">
      <c r="A17" s="458" t="s">
        <v>688</v>
      </c>
      <c r="B17" s="501">
        <v>500</v>
      </c>
      <c r="C17" s="566">
        <v>1000</v>
      </c>
      <c r="D17" s="501">
        <v>500</v>
      </c>
      <c r="E17" s="566">
        <v>1000</v>
      </c>
      <c r="F17" s="568">
        <v>1867.9381761006287</v>
      </c>
      <c r="G17" s="929">
        <v>94.8</v>
      </c>
      <c r="H17" s="930">
        <v>4890</v>
      </c>
      <c r="I17" s="901">
        <v>1.5</v>
      </c>
      <c r="J17" s="931">
        <v>63.199999999999996</v>
      </c>
    </row>
    <row r="18" spans="1:10" s="510" customFormat="1">
      <c r="A18" s="458" t="s">
        <v>689</v>
      </c>
      <c r="B18" s="501">
        <v>500</v>
      </c>
      <c r="C18" s="566">
        <v>1000</v>
      </c>
      <c r="D18" s="501">
        <v>500</v>
      </c>
      <c r="E18" s="566">
        <v>1000</v>
      </c>
      <c r="F18" s="568" t="s">
        <v>523</v>
      </c>
      <c r="G18" s="929">
        <v>2.1E-7</v>
      </c>
      <c r="H18" s="930" t="s">
        <v>367</v>
      </c>
      <c r="I18" s="901" t="s">
        <v>367</v>
      </c>
      <c r="J18" s="931" t="s">
        <v>367</v>
      </c>
    </row>
    <row r="19" spans="1:10" s="510" customFormat="1">
      <c r="A19" s="458" t="s">
        <v>690</v>
      </c>
      <c r="B19" s="501">
        <v>500</v>
      </c>
      <c r="C19" s="566">
        <v>1000</v>
      </c>
      <c r="D19" s="501">
        <v>500</v>
      </c>
      <c r="E19" s="566">
        <v>1000</v>
      </c>
      <c r="F19" s="568" t="s">
        <v>523</v>
      </c>
      <c r="G19" s="929">
        <v>5.4999999999999996E-9</v>
      </c>
      <c r="H19" s="930" t="s">
        <v>367</v>
      </c>
      <c r="I19" s="901" t="s">
        <v>367</v>
      </c>
      <c r="J19" s="931" t="s">
        <v>367</v>
      </c>
    </row>
    <row r="20" spans="1:10" s="510" customFormat="1">
      <c r="A20" s="458" t="s">
        <v>691</v>
      </c>
      <c r="B20" s="501">
        <v>500</v>
      </c>
      <c r="C20" s="566">
        <v>1000</v>
      </c>
      <c r="D20" s="501">
        <v>500</v>
      </c>
      <c r="E20" s="566">
        <v>1000</v>
      </c>
      <c r="F20" s="568" t="s">
        <v>523</v>
      </c>
      <c r="G20" s="929">
        <v>4.9999999999999998E-7</v>
      </c>
      <c r="H20" s="930" t="s">
        <v>367</v>
      </c>
      <c r="I20" s="901" t="s">
        <v>367</v>
      </c>
      <c r="J20" s="931" t="s">
        <v>367</v>
      </c>
    </row>
    <row r="21" spans="1:10" s="510" customFormat="1">
      <c r="A21" s="458" t="s">
        <v>692</v>
      </c>
      <c r="B21" s="501">
        <v>500</v>
      </c>
      <c r="C21" s="566">
        <v>1000</v>
      </c>
      <c r="D21" s="501">
        <v>500</v>
      </c>
      <c r="E21" s="566">
        <v>1000</v>
      </c>
      <c r="F21" s="568" t="s">
        <v>523</v>
      </c>
      <c r="G21" s="929">
        <v>1E-10</v>
      </c>
      <c r="H21" s="930" t="s">
        <v>367</v>
      </c>
      <c r="I21" s="901" t="s">
        <v>367</v>
      </c>
      <c r="J21" s="931" t="s">
        <v>367</v>
      </c>
    </row>
    <row r="22" spans="1:10" s="510" customFormat="1">
      <c r="A22" s="458" t="s">
        <v>693</v>
      </c>
      <c r="B22" s="501">
        <v>500</v>
      </c>
      <c r="C22" s="566">
        <v>1000</v>
      </c>
      <c r="D22" s="501">
        <v>500</v>
      </c>
      <c r="E22" s="566">
        <v>1000</v>
      </c>
      <c r="F22" s="568" t="s">
        <v>523</v>
      </c>
      <c r="G22" s="929">
        <v>9.6999999999999996E-10</v>
      </c>
      <c r="H22" s="930" t="s">
        <v>367</v>
      </c>
      <c r="I22" s="901" t="s">
        <v>367</v>
      </c>
      <c r="J22" s="931" t="s">
        <v>367</v>
      </c>
    </row>
    <row r="23" spans="1:10" s="510" customFormat="1">
      <c r="A23" s="458" t="s">
        <v>126</v>
      </c>
      <c r="B23" s="501">
        <v>1000</v>
      </c>
      <c r="C23" s="566">
        <v>2500</v>
      </c>
      <c r="D23" s="501">
        <v>1000</v>
      </c>
      <c r="E23" s="566">
        <v>2500</v>
      </c>
      <c r="F23" s="568" t="s">
        <v>523</v>
      </c>
      <c r="G23" s="929" t="s">
        <v>367</v>
      </c>
      <c r="H23" s="930" t="s">
        <v>367</v>
      </c>
      <c r="I23" s="901" t="s">
        <v>367</v>
      </c>
      <c r="J23" s="931" t="s">
        <v>367</v>
      </c>
    </row>
    <row r="24" spans="1:10" s="510" customFormat="1">
      <c r="A24" s="458" t="s">
        <v>233</v>
      </c>
      <c r="B24" s="501">
        <v>500</v>
      </c>
      <c r="C24" s="566">
        <v>1000</v>
      </c>
      <c r="D24" s="501">
        <v>500</v>
      </c>
      <c r="E24" s="566">
        <v>1000</v>
      </c>
      <c r="F24" s="568" t="s">
        <v>523</v>
      </c>
      <c r="G24" s="929">
        <v>8.8999999999999999E-3</v>
      </c>
      <c r="H24" s="930">
        <v>60</v>
      </c>
      <c r="I24" s="901">
        <v>9.4999999999999998E-3</v>
      </c>
      <c r="J24" s="931">
        <v>0.93684210526315792</v>
      </c>
    </row>
    <row r="25" spans="1:10" s="510" customFormat="1">
      <c r="A25" s="458" t="s">
        <v>127</v>
      </c>
      <c r="B25" s="501">
        <v>500</v>
      </c>
      <c r="C25" s="566">
        <v>1000</v>
      </c>
      <c r="D25" s="501">
        <v>500</v>
      </c>
      <c r="E25" s="566">
        <v>1000</v>
      </c>
      <c r="F25" s="568">
        <v>5046.3512704402519</v>
      </c>
      <c r="G25" s="929">
        <v>1.55</v>
      </c>
      <c r="H25" s="930">
        <v>287</v>
      </c>
      <c r="I25" s="901" t="s">
        <v>437</v>
      </c>
      <c r="J25" s="931">
        <v>31.632653061224488</v>
      </c>
    </row>
    <row r="26" spans="1:10" s="510" customFormat="1">
      <c r="A26" s="503" t="s">
        <v>1103</v>
      </c>
      <c r="B26" s="501">
        <v>500</v>
      </c>
      <c r="C26" s="566">
        <v>793.69004465408796</v>
      </c>
      <c r="D26" s="501">
        <v>500</v>
      </c>
      <c r="E26" s="566">
        <v>1000</v>
      </c>
      <c r="F26" s="568">
        <v>793.69004465408796</v>
      </c>
      <c r="G26" s="929">
        <v>0.53</v>
      </c>
      <c r="H26" s="930">
        <v>2240</v>
      </c>
      <c r="I26" s="901">
        <v>0.32</v>
      </c>
      <c r="J26" s="931">
        <v>1.65625</v>
      </c>
    </row>
    <row r="27" spans="1:10" s="510" customFormat="1">
      <c r="A27" s="458" t="s">
        <v>128</v>
      </c>
      <c r="B27" s="501">
        <v>500</v>
      </c>
      <c r="C27" s="566">
        <v>1000</v>
      </c>
      <c r="D27" s="501">
        <v>500</v>
      </c>
      <c r="E27" s="566">
        <v>1000</v>
      </c>
      <c r="F27" s="568" t="s">
        <v>523</v>
      </c>
      <c r="G27" s="929">
        <v>1.4000000000000001E-7</v>
      </c>
      <c r="H27" s="930" t="s">
        <v>367</v>
      </c>
      <c r="I27" s="901" t="s">
        <v>367</v>
      </c>
      <c r="J27" s="931" t="s">
        <v>367</v>
      </c>
    </row>
    <row r="28" spans="1:10" s="510" customFormat="1">
      <c r="A28" s="458" t="s">
        <v>129</v>
      </c>
      <c r="B28" s="501">
        <v>1000</v>
      </c>
      <c r="C28" s="566">
        <v>2500</v>
      </c>
      <c r="D28" s="501">
        <v>1000</v>
      </c>
      <c r="E28" s="566">
        <v>2500</v>
      </c>
      <c r="F28" s="568" t="s">
        <v>523</v>
      </c>
      <c r="G28" s="929" t="s">
        <v>367</v>
      </c>
      <c r="H28" s="930" t="s">
        <v>367</v>
      </c>
      <c r="I28" s="901" t="s">
        <v>367</v>
      </c>
      <c r="J28" s="931" t="s">
        <v>367</v>
      </c>
    </row>
    <row r="29" spans="1:10" s="510" customFormat="1">
      <c r="A29" s="458" t="s">
        <v>130</v>
      </c>
      <c r="B29" s="501">
        <v>932.0059079245284</v>
      </c>
      <c r="C29" s="566">
        <v>932.0059079245284</v>
      </c>
      <c r="D29" s="501">
        <v>1000</v>
      </c>
      <c r="E29" s="566">
        <v>2500</v>
      </c>
      <c r="F29" s="568">
        <v>932.0059079245284</v>
      </c>
      <c r="G29" s="929">
        <v>50</v>
      </c>
      <c r="H29" s="930">
        <v>11000000</v>
      </c>
      <c r="I29" s="901">
        <v>1680</v>
      </c>
      <c r="J29" s="931">
        <v>2.976190476190476E-2</v>
      </c>
    </row>
    <row r="30" spans="1:10" s="510" customFormat="1">
      <c r="A30" s="458" t="s">
        <v>131</v>
      </c>
      <c r="B30" s="501">
        <v>500</v>
      </c>
      <c r="C30" s="566">
        <v>1000</v>
      </c>
      <c r="D30" s="501">
        <v>500</v>
      </c>
      <c r="E30" s="566">
        <v>1000</v>
      </c>
      <c r="F30" s="568" t="s">
        <v>523</v>
      </c>
      <c r="G30" s="929">
        <v>5.4</v>
      </c>
      <c r="H30" s="930">
        <v>13450</v>
      </c>
      <c r="I30" s="901">
        <v>1.3</v>
      </c>
      <c r="J30" s="931">
        <v>4.1538461538461542</v>
      </c>
    </row>
    <row r="31" spans="1:10" s="510" customFormat="1">
      <c r="A31" s="458" t="s">
        <v>132</v>
      </c>
      <c r="B31" s="501">
        <v>500</v>
      </c>
      <c r="C31" s="566">
        <v>1000</v>
      </c>
      <c r="D31" s="501">
        <v>500</v>
      </c>
      <c r="E31" s="566">
        <v>1000</v>
      </c>
      <c r="F31" s="568">
        <v>3588.9092830188679</v>
      </c>
      <c r="G31" s="929">
        <v>1616</v>
      </c>
      <c r="H31" s="930">
        <v>80000</v>
      </c>
      <c r="I31" s="901">
        <v>20</v>
      </c>
      <c r="J31" s="931">
        <v>80.8</v>
      </c>
    </row>
    <row r="32" spans="1:10" s="510" customFormat="1">
      <c r="A32" s="458" t="s">
        <v>133</v>
      </c>
      <c r="B32" s="501">
        <v>1000</v>
      </c>
      <c r="C32" s="566">
        <v>2500</v>
      </c>
      <c r="D32" s="501">
        <v>1000</v>
      </c>
      <c r="E32" s="566">
        <v>2500</v>
      </c>
      <c r="F32" s="568" t="s">
        <v>523</v>
      </c>
      <c r="G32" s="929" t="s">
        <v>367</v>
      </c>
      <c r="H32" s="930" t="s">
        <v>367</v>
      </c>
      <c r="I32" s="901" t="s">
        <v>367</v>
      </c>
      <c r="J32" s="931" t="s">
        <v>367</v>
      </c>
    </row>
    <row r="33" spans="1:10" s="510" customFormat="1">
      <c r="A33" s="458" t="s">
        <v>134</v>
      </c>
      <c r="B33" s="501">
        <v>453.26214201257858</v>
      </c>
      <c r="C33" s="566">
        <v>453.26214201257858</v>
      </c>
      <c r="D33" s="501">
        <v>500</v>
      </c>
      <c r="E33" s="566">
        <v>1000</v>
      </c>
      <c r="F33" s="568">
        <v>453.26214201257858</v>
      </c>
      <c r="G33" s="929">
        <v>115</v>
      </c>
      <c r="H33" s="930">
        <v>63000</v>
      </c>
      <c r="I33" s="901">
        <v>10</v>
      </c>
      <c r="J33" s="931">
        <v>11.5</v>
      </c>
    </row>
    <row r="34" spans="1:10" s="510" customFormat="1">
      <c r="A34" s="458" t="s">
        <v>614</v>
      </c>
      <c r="B34" s="501">
        <v>1000</v>
      </c>
      <c r="C34" s="566">
        <v>2500</v>
      </c>
      <c r="D34" s="501">
        <v>1000</v>
      </c>
      <c r="E34" s="566">
        <v>2500</v>
      </c>
      <c r="F34" s="568" t="s">
        <v>523</v>
      </c>
      <c r="G34" s="929">
        <v>1.0000000000000001E-5</v>
      </c>
      <c r="H34" s="930">
        <v>8.4</v>
      </c>
      <c r="I34" s="901">
        <v>4.9200000000000003E-4</v>
      </c>
      <c r="J34" s="931">
        <v>2.032520325203252E-2</v>
      </c>
    </row>
    <row r="35" spans="1:10" s="510" customFormat="1">
      <c r="A35" s="458" t="s">
        <v>135</v>
      </c>
      <c r="B35" s="501">
        <v>1000</v>
      </c>
      <c r="C35" s="566">
        <v>2500</v>
      </c>
      <c r="D35" s="501">
        <v>1000</v>
      </c>
      <c r="E35" s="566">
        <v>2500</v>
      </c>
      <c r="F35" s="568" t="s">
        <v>523</v>
      </c>
      <c r="G35" s="929">
        <v>2.7E-2</v>
      </c>
      <c r="H35" s="930" t="s">
        <v>367</v>
      </c>
      <c r="I35" s="901" t="s">
        <v>367</v>
      </c>
      <c r="J35" s="931" t="s">
        <v>367</v>
      </c>
    </row>
    <row r="36" spans="1:10" s="510" customFormat="1">
      <c r="A36" s="458" t="s">
        <v>136</v>
      </c>
      <c r="B36" s="501">
        <v>500</v>
      </c>
      <c r="C36" s="566">
        <v>760.94901132075483</v>
      </c>
      <c r="D36" s="501">
        <v>500</v>
      </c>
      <c r="E36" s="566">
        <v>1000</v>
      </c>
      <c r="F36" s="568">
        <v>760.94901132075483</v>
      </c>
      <c r="G36" s="929">
        <v>11.97</v>
      </c>
      <c r="H36" s="930">
        <v>1000</v>
      </c>
      <c r="I36" s="901">
        <v>0.22</v>
      </c>
      <c r="J36" s="931">
        <v>54.409090909090914</v>
      </c>
    </row>
    <row r="37" spans="1:10" ht="11.25" customHeight="1">
      <c r="A37" s="458" t="s">
        <v>781</v>
      </c>
      <c r="B37" s="501">
        <v>500</v>
      </c>
      <c r="C37" s="566">
        <v>1000</v>
      </c>
      <c r="D37" s="501">
        <v>500</v>
      </c>
      <c r="E37" s="566">
        <v>1000</v>
      </c>
      <c r="F37" s="568">
        <v>2117.4658377358492</v>
      </c>
      <c r="G37" s="929">
        <v>1008</v>
      </c>
      <c r="H37" s="930">
        <v>380000</v>
      </c>
      <c r="I37" s="901">
        <v>140</v>
      </c>
      <c r="J37" s="931">
        <v>7.2</v>
      </c>
    </row>
    <row r="38" spans="1:10" ht="11.25" customHeight="1">
      <c r="A38" s="458" t="s">
        <v>137</v>
      </c>
      <c r="B38" s="501">
        <v>500</v>
      </c>
      <c r="C38" s="566">
        <v>1000</v>
      </c>
      <c r="D38" s="501">
        <v>500</v>
      </c>
      <c r="E38" s="566">
        <v>1000</v>
      </c>
      <c r="F38" s="568">
        <v>2538.5640000000003</v>
      </c>
      <c r="G38" s="929">
        <v>197</v>
      </c>
      <c r="H38" s="930">
        <v>421600</v>
      </c>
      <c r="I38" s="901">
        <v>85</v>
      </c>
      <c r="J38" s="931">
        <v>2.3176470588235296</v>
      </c>
    </row>
    <row r="39" spans="1:10" ht="11.25" customHeight="1">
      <c r="A39" s="458" t="s">
        <v>782</v>
      </c>
      <c r="B39" s="501">
        <v>100</v>
      </c>
      <c r="C39" s="566">
        <v>500</v>
      </c>
      <c r="D39" s="501">
        <v>100</v>
      </c>
      <c r="E39" s="566">
        <v>500</v>
      </c>
      <c r="F39" s="568">
        <v>1316.5454188679244</v>
      </c>
      <c r="G39" s="929">
        <v>4300</v>
      </c>
      <c r="H39" s="930" t="s">
        <v>367</v>
      </c>
      <c r="I39" s="901" t="s">
        <v>367</v>
      </c>
      <c r="J39" s="931" t="s">
        <v>367</v>
      </c>
    </row>
    <row r="40" spans="1:10" ht="11.25" customHeight="1">
      <c r="A40" s="458" t="s">
        <v>138</v>
      </c>
      <c r="B40" s="501">
        <v>100</v>
      </c>
      <c r="C40" s="566">
        <v>500</v>
      </c>
      <c r="D40" s="501">
        <v>100</v>
      </c>
      <c r="E40" s="566">
        <v>500</v>
      </c>
      <c r="F40" s="568">
        <v>27437.384023899369</v>
      </c>
      <c r="G40" s="929">
        <v>2.5</v>
      </c>
      <c r="H40" s="930">
        <v>19</v>
      </c>
      <c r="I40" s="901">
        <v>3.5999999999999999E-3</v>
      </c>
      <c r="J40" s="931">
        <v>694.44444444444446</v>
      </c>
    </row>
    <row r="41" spans="1:10" ht="11.25" customHeight="1">
      <c r="A41" s="458" t="s">
        <v>612</v>
      </c>
      <c r="B41" s="501" t="s">
        <v>367</v>
      </c>
      <c r="C41" s="566" t="s">
        <v>367</v>
      </c>
      <c r="D41" s="501" t="s">
        <v>367</v>
      </c>
      <c r="E41" s="566" t="s">
        <v>367</v>
      </c>
      <c r="F41" s="568" t="s">
        <v>367</v>
      </c>
      <c r="G41" s="929" t="s">
        <v>367</v>
      </c>
      <c r="H41" s="930" t="s">
        <v>367</v>
      </c>
      <c r="I41" s="901" t="s">
        <v>367</v>
      </c>
      <c r="J41" s="931" t="s">
        <v>367</v>
      </c>
    </row>
    <row r="42" spans="1:10" ht="11.25" customHeight="1">
      <c r="A42" s="458" t="s">
        <v>779</v>
      </c>
      <c r="B42" s="501">
        <v>1000</v>
      </c>
      <c r="C42" s="566">
        <v>2500</v>
      </c>
      <c r="D42" s="501">
        <v>1000</v>
      </c>
      <c r="E42" s="566">
        <v>2500</v>
      </c>
      <c r="F42" s="568" t="s">
        <v>523</v>
      </c>
      <c r="G42" s="929" t="s">
        <v>367</v>
      </c>
      <c r="H42" s="901" t="s">
        <v>367</v>
      </c>
      <c r="I42" s="901" t="s">
        <v>367</v>
      </c>
      <c r="J42" s="931" t="s">
        <v>367</v>
      </c>
    </row>
    <row r="43" spans="1:10" ht="11.25" customHeight="1">
      <c r="A43" s="458" t="s">
        <v>780</v>
      </c>
      <c r="B43" s="501">
        <v>1000</v>
      </c>
      <c r="C43" s="566">
        <v>2500</v>
      </c>
      <c r="D43" s="501">
        <v>1000</v>
      </c>
      <c r="E43" s="566">
        <v>2500</v>
      </c>
      <c r="F43" s="568" t="s">
        <v>523</v>
      </c>
      <c r="G43" s="929" t="s">
        <v>367</v>
      </c>
      <c r="H43" s="901" t="s">
        <v>367</v>
      </c>
      <c r="I43" s="901" t="s">
        <v>367</v>
      </c>
      <c r="J43" s="931" t="s">
        <v>367</v>
      </c>
    </row>
    <row r="44" spans="1:10" ht="11.25" customHeight="1">
      <c r="A44" s="458" t="s">
        <v>139</v>
      </c>
      <c r="B44" s="501">
        <v>1000</v>
      </c>
      <c r="C44" s="566">
        <v>2500</v>
      </c>
      <c r="D44" s="501">
        <v>1000</v>
      </c>
      <c r="E44" s="566">
        <v>2500</v>
      </c>
      <c r="F44" s="568" t="s">
        <v>523</v>
      </c>
      <c r="G44" s="929">
        <v>6.2000000000000001E-9</v>
      </c>
      <c r="H44" s="901" t="s">
        <v>367</v>
      </c>
      <c r="I44" s="901" t="s">
        <v>367</v>
      </c>
      <c r="J44" s="931" t="s">
        <v>367</v>
      </c>
    </row>
    <row r="45" spans="1:10" ht="11.25" customHeight="1">
      <c r="A45" s="458" t="s">
        <v>140</v>
      </c>
      <c r="B45" s="501">
        <v>1000</v>
      </c>
      <c r="C45" s="566">
        <v>2500</v>
      </c>
      <c r="D45" s="501">
        <v>1000</v>
      </c>
      <c r="E45" s="566">
        <v>2500</v>
      </c>
      <c r="F45" s="568" t="s">
        <v>523</v>
      </c>
      <c r="G45" s="929" t="s">
        <v>367</v>
      </c>
      <c r="H45" s="930" t="s">
        <v>367</v>
      </c>
      <c r="I45" s="901" t="s">
        <v>367</v>
      </c>
      <c r="J45" s="931" t="s">
        <v>367</v>
      </c>
    </row>
    <row r="46" spans="1:10" ht="11.25" customHeight="1">
      <c r="A46" s="458" t="s">
        <v>141</v>
      </c>
      <c r="B46" s="501">
        <v>1000</v>
      </c>
      <c r="C46" s="566">
        <v>2500</v>
      </c>
      <c r="D46" s="501">
        <v>1000</v>
      </c>
      <c r="E46" s="566">
        <v>2500</v>
      </c>
      <c r="F46" s="568" t="s">
        <v>523</v>
      </c>
      <c r="G46" s="929" t="s">
        <v>367</v>
      </c>
      <c r="H46" s="930" t="s">
        <v>367</v>
      </c>
      <c r="I46" s="901" t="s">
        <v>367</v>
      </c>
      <c r="J46" s="931" t="s">
        <v>367</v>
      </c>
    </row>
    <row r="47" spans="1:10" ht="11.25" customHeight="1">
      <c r="A47" s="458" t="s">
        <v>142</v>
      </c>
      <c r="B47" s="501">
        <v>100</v>
      </c>
      <c r="C47" s="566">
        <v>500</v>
      </c>
      <c r="D47" s="501">
        <v>100</v>
      </c>
      <c r="E47" s="566">
        <v>500</v>
      </c>
      <c r="F47" s="568" t="s">
        <v>523</v>
      </c>
      <c r="G47" s="929">
        <v>308</v>
      </c>
      <c r="H47" s="930">
        <v>652</v>
      </c>
      <c r="I47" s="901">
        <v>0.57999999999999996</v>
      </c>
      <c r="J47" s="931">
        <v>531.0344827586207</v>
      </c>
    </row>
    <row r="48" spans="1:10" ht="11.25" customHeight="1">
      <c r="A48" s="458" t="s">
        <v>96</v>
      </c>
      <c r="B48" s="501">
        <v>500</v>
      </c>
      <c r="C48" s="566">
        <v>1000</v>
      </c>
      <c r="D48" s="501">
        <v>500</v>
      </c>
      <c r="E48" s="566">
        <v>1000</v>
      </c>
      <c r="F48" s="568" t="s">
        <v>523</v>
      </c>
      <c r="G48" s="929">
        <v>4.1000000000000003E-9</v>
      </c>
      <c r="H48" s="930" t="s">
        <v>367</v>
      </c>
      <c r="I48" s="901" t="s">
        <v>367</v>
      </c>
      <c r="J48" s="931" t="s">
        <v>367</v>
      </c>
    </row>
    <row r="49" spans="1:10" ht="11.25" customHeight="1">
      <c r="A49" s="458" t="s">
        <v>97</v>
      </c>
      <c r="B49" s="501">
        <v>500</v>
      </c>
      <c r="C49" s="566">
        <v>1000</v>
      </c>
      <c r="D49" s="501">
        <v>500</v>
      </c>
      <c r="E49" s="566">
        <v>1000</v>
      </c>
      <c r="F49" s="568" t="s">
        <v>523</v>
      </c>
      <c r="G49" s="929">
        <v>0.15</v>
      </c>
      <c r="H49" s="930" t="s">
        <v>367</v>
      </c>
      <c r="I49" s="901" t="s">
        <v>367</v>
      </c>
      <c r="J49" s="931" t="s">
        <v>367</v>
      </c>
    </row>
    <row r="50" spans="1:10" ht="11.25" customHeight="1">
      <c r="A50" s="458" t="s">
        <v>143</v>
      </c>
      <c r="B50" s="501">
        <v>500</v>
      </c>
      <c r="C50" s="566">
        <v>1000</v>
      </c>
      <c r="D50" s="501">
        <v>500</v>
      </c>
      <c r="E50" s="566">
        <v>1000</v>
      </c>
      <c r="F50" s="568" t="s">
        <v>523</v>
      </c>
      <c r="G50" s="929">
        <v>9.5999999999999999E-10</v>
      </c>
      <c r="H50" s="930" t="s">
        <v>367</v>
      </c>
      <c r="I50" s="901" t="s">
        <v>367</v>
      </c>
      <c r="J50" s="931" t="s">
        <v>367</v>
      </c>
    </row>
    <row r="51" spans="1:10" ht="11.25" customHeight="1">
      <c r="A51" s="458" t="s">
        <v>381</v>
      </c>
      <c r="B51" s="501">
        <v>500</v>
      </c>
      <c r="C51" s="566">
        <v>979.0010943396228</v>
      </c>
      <c r="D51" s="501">
        <v>500</v>
      </c>
      <c r="E51" s="566">
        <v>1000</v>
      </c>
      <c r="F51" s="568">
        <v>979.0010943396228</v>
      </c>
      <c r="G51" s="929">
        <v>0.57999999999999996</v>
      </c>
      <c r="H51" s="930" t="s">
        <v>367</v>
      </c>
      <c r="I51" s="901" t="s">
        <v>367</v>
      </c>
      <c r="J51" s="931" t="s">
        <v>367</v>
      </c>
    </row>
    <row r="52" spans="1:10" ht="11.25" customHeight="1">
      <c r="A52" s="458" t="s">
        <v>144</v>
      </c>
      <c r="B52" s="501">
        <v>100</v>
      </c>
      <c r="C52" s="566">
        <v>500</v>
      </c>
      <c r="D52" s="501">
        <v>100</v>
      </c>
      <c r="E52" s="566">
        <v>500</v>
      </c>
      <c r="F52" s="568" t="s">
        <v>523</v>
      </c>
      <c r="G52" s="929">
        <v>5.54</v>
      </c>
      <c r="H52" s="930" t="s">
        <v>367</v>
      </c>
      <c r="I52" s="901" t="s">
        <v>367</v>
      </c>
      <c r="J52" s="931" t="s">
        <v>367</v>
      </c>
    </row>
    <row r="53" spans="1:10" ht="11.25" customHeight="1">
      <c r="A53" s="458" t="s">
        <v>487</v>
      </c>
      <c r="B53" s="501">
        <v>500</v>
      </c>
      <c r="C53" s="566">
        <v>1000</v>
      </c>
      <c r="D53" s="501">
        <v>500</v>
      </c>
      <c r="E53" s="566">
        <v>1000</v>
      </c>
      <c r="F53" s="568" t="s">
        <v>523</v>
      </c>
      <c r="G53" s="929">
        <v>11.2</v>
      </c>
      <c r="H53" s="930">
        <v>200000</v>
      </c>
      <c r="I53" s="901">
        <v>26</v>
      </c>
      <c r="J53" s="931">
        <v>0.43076923076923074</v>
      </c>
    </row>
    <row r="54" spans="1:10" ht="11.25" customHeight="1">
      <c r="A54" s="458" t="s">
        <v>145</v>
      </c>
      <c r="B54" s="501">
        <v>376.29790188679249</v>
      </c>
      <c r="C54" s="566">
        <v>376.29790188679249</v>
      </c>
      <c r="D54" s="501">
        <v>1000</v>
      </c>
      <c r="E54" s="566">
        <v>2500</v>
      </c>
      <c r="F54" s="568">
        <v>376.29790188679249</v>
      </c>
      <c r="G54" s="929">
        <v>1.36</v>
      </c>
      <c r="H54" s="930">
        <v>305000</v>
      </c>
      <c r="I54" s="901">
        <v>50</v>
      </c>
      <c r="J54" s="931">
        <v>2.7200000000000002E-2</v>
      </c>
    </row>
    <row r="55" spans="1:10" ht="11.25" customHeight="1">
      <c r="A55" s="458" t="s">
        <v>225</v>
      </c>
      <c r="B55" s="501">
        <v>100</v>
      </c>
      <c r="C55" s="566">
        <v>500</v>
      </c>
      <c r="D55" s="501">
        <v>100</v>
      </c>
      <c r="E55" s="566">
        <v>500</v>
      </c>
      <c r="F55" s="568">
        <v>595.41254867924533</v>
      </c>
      <c r="G55" s="929">
        <v>2.15</v>
      </c>
      <c r="H55" s="930" t="s">
        <v>367</v>
      </c>
      <c r="I55" s="901" t="s">
        <v>367</v>
      </c>
      <c r="J55" s="931" t="s">
        <v>367</v>
      </c>
    </row>
    <row r="56" spans="1:10" ht="11.25" customHeight="1">
      <c r="A56" s="458" t="s">
        <v>226</v>
      </c>
      <c r="B56" s="501">
        <v>500</v>
      </c>
      <c r="C56" s="566">
        <v>1000</v>
      </c>
      <c r="D56" s="501">
        <v>500</v>
      </c>
      <c r="E56" s="566">
        <v>1000</v>
      </c>
      <c r="F56" s="568" t="s">
        <v>523</v>
      </c>
      <c r="G56" s="929">
        <v>1.74</v>
      </c>
      <c r="H56" s="930">
        <v>1100</v>
      </c>
      <c r="I56" s="901">
        <v>0.18</v>
      </c>
      <c r="J56" s="931">
        <v>9.6666666666666679</v>
      </c>
    </row>
    <row r="57" spans="1:10" ht="11.25" customHeight="1">
      <c r="A57" s="458" t="s">
        <v>227</v>
      </c>
      <c r="B57" s="501">
        <v>500</v>
      </c>
      <c r="C57" s="566">
        <v>1000</v>
      </c>
      <c r="D57" s="501">
        <v>500</v>
      </c>
      <c r="E57" s="566">
        <v>1000</v>
      </c>
      <c r="F57" s="568" t="s">
        <v>523</v>
      </c>
      <c r="G57" s="929">
        <v>2.6E-7</v>
      </c>
      <c r="H57" s="930" t="s">
        <v>367</v>
      </c>
      <c r="I57" s="901" t="s">
        <v>367</v>
      </c>
      <c r="J57" s="931" t="s">
        <v>367</v>
      </c>
    </row>
    <row r="58" spans="1:10" ht="11.25" customHeight="1">
      <c r="A58" s="458" t="s">
        <v>361</v>
      </c>
      <c r="B58" s="501">
        <v>500</v>
      </c>
      <c r="C58" s="566">
        <v>1000</v>
      </c>
      <c r="D58" s="501">
        <v>500</v>
      </c>
      <c r="E58" s="566">
        <v>1000</v>
      </c>
      <c r="F58" s="568" t="s">
        <v>523</v>
      </c>
      <c r="G58" s="929">
        <v>1.3999999999999999E-6</v>
      </c>
      <c r="H58" s="930" t="s">
        <v>367</v>
      </c>
      <c r="I58" s="901" t="s">
        <v>367</v>
      </c>
      <c r="J58" s="931" t="s">
        <v>367</v>
      </c>
    </row>
    <row r="59" spans="1:10" ht="11.25" customHeight="1">
      <c r="A59" s="458" t="s">
        <v>362</v>
      </c>
      <c r="B59" s="501">
        <v>500</v>
      </c>
      <c r="C59" s="566">
        <v>1000</v>
      </c>
      <c r="D59" s="501">
        <v>500</v>
      </c>
      <c r="E59" s="566">
        <v>1000</v>
      </c>
      <c r="F59" s="568" t="s">
        <v>523</v>
      </c>
      <c r="G59" s="929">
        <v>6.0000000000000002E-6</v>
      </c>
      <c r="H59" s="930" t="s">
        <v>367</v>
      </c>
      <c r="I59" s="901" t="s">
        <v>367</v>
      </c>
      <c r="J59" s="931" t="s">
        <v>367</v>
      </c>
    </row>
    <row r="60" spans="1:10" ht="11.25" customHeight="1">
      <c r="A60" s="458" t="s">
        <v>363</v>
      </c>
      <c r="B60" s="501">
        <v>1000</v>
      </c>
      <c r="C60" s="566">
        <v>2500</v>
      </c>
      <c r="D60" s="501">
        <v>1000</v>
      </c>
      <c r="E60" s="566">
        <v>2500</v>
      </c>
      <c r="F60" s="568" t="s">
        <v>523</v>
      </c>
      <c r="G60" s="929">
        <v>1.6E-7</v>
      </c>
      <c r="H60" s="930" t="s">
        <v>367</v>
      </c>
      <c r="I60" s="901" t="s">
        <v>367</v>
      </c>
      <c r="J60" s="931" t="s">
        <v>367</v>
      </c>
    </row>
    <row r="61" spans="1:10" ht="11.25" customHeight="1">
      <c r="A61" s="458" t="s">
        <v>234</v>
      </c>
      <c r="B61" s="501">
        <v>500</v>
      </c>
      <c r="C61" s="566">
        <v>1000</v>
      </c>
      <c r="D61" s="501">
        <v>500</v>
      </c>
      <c r="E61" s="566">
        <v>1000</v>
      </c>
      <c r="F61" s="568">
        <v>1685.682837735849</v>
      </c>
      <c r="G61" s="929">
        <v>227.3</v>
      </c>
      <c r="H61" s="930">
        <v>125000</v>
      </c>
      <c r="I61" s="901">
        <v>30</v>
      </c>
      <c r="J61" s="931">
        <v>7.5766666666666671</v>
      </c>
    </row>
    <row r="62" spans="1:10" ht="11.25" customHeight="1">
      <c r="A62" s="458" t="s">
        <v>235</v>
      </c>
      <c r="B62" s="501">
        <v>500</v>
      </c>
      <c r="C62" s="566">
        <v>1000</v>
      </c>
      <c r="D62" s="501">
        <v>500</v>
      </c>
      <c r="E62" s="566">
        <v>1000</v>
      </c>
      <c r="F62" s="568">
        <v>2981.506415094339</v>
      </c>
      <c r="G62" s="929">
        <v>79</v>
      </c>
      <c r="H62" s="930">
        <v>2424</v>
      </c>
      <c r="I62" s="901">
        <v>0.59</v>
      </c>
      <c r="J62" s="931">
        <v>133.89830508474577</v>
      </c>
    </row>
    <row r="63" spans="1:10" ht="11.25" customHeight="1">
      <c r="A63" s="458" t="s">
        <v>294</v>
      </c>
      <c r="B63" s="501">
        <v>500</v>
      </c>
      <c r="C63" s="566">
        <v>1000</v>
      </c>
      <c r="D63" s="501">
        <v>500</v>
      </c>
      <c r="E63" s="566">
        <v>1000</v>
      </c>
      <c r="F63" s="568">
        <v>1207.9647647798743</v>
      </c>
      <c r="G63" s="929">
        <v>600</v>
      </c>
      <c r="H63" s="930">
        <v>2000000</v>
      </c>
      <c r="I63" s="901">
        <v>500</v>
      </c>
      <c r="J63" s="931">
        <v>1.2</v>
      </c>
    </row>
    <row r="64" spans="1:10" ht="11.25" customHeight="1">
      <c r="A64" s="458" t="s">
        <v>295</v>
      </c>
      <c r="B64" s="501">
        <v>100</v>
      </c>
      <c r="C64" s="566">
        <v>500</v>
      </c>
      <c r="D64" s="501">
        <v>100</v>
      </c>
      <c r="E64" s="566">
        <v>500</v>
      </c>
      <c r="F64" s="568">
        <v>2370.3051194968548</v>
      </c>
      <c r="G64" s="929">
        <v>200</v>
      </c>
      <c r="H64" s="930" t="s">
        <v>367</v>
      </c>
      <c r="I64" s="901" t="s">
        <v>367</v>
      </c>
      <c r="J64" s="931" t="s">
        <v>367</v>
      </c>
    </row>
    <row r="65" spans="1:10" ht="11.25" customHeight="1">
      <c r="A65" s="458" t="s">
        <v>228</v>
      </c>
      <c r="B65" s="501">
        <v>500</v>
      </c>
      <c r="C65" s="566">
        <v>1000</v>
      </c>
      <c r="D65" s="501">
        <v>500</v>
      </c>
      <c r="E65" s="566">
        <v>1000</v>
      </c>
      <c r="F65" s="568">
        <v>1851.1077232704401</v>
      </c>
      <c r="G65" s="929">
        <v>331</v>
      </c>
      <c r="H65" s="930">
        <v>67320</v>
      </c>
      <c r="I65" s="901">
        <v>17</v>
      </c>
      <c r="J65" s="931">
        <v>19.470588235294116</v>
      </c>
    </row>
    <row r="66" spans="1:10" ht="11.25" customHeight="1">
      <c r="A66" s="458" t="s">
        <v>942</v>
      </c>
      <c r="B66" s="501">
        <v>500</v>
      </c>
      <c r="C66" s="566">
        <v>1000</v>
      </c>
      <c r="D66" s="501">
        <v>500</v>
      </c>
      <c r="E66" s="566">
        <v>1000</v>
      </c>
      <c r="F66" s="568" t="s">
        <v>523</v>
      </c>
      <c r="G66" s="929">
        <v>0.09</v>
      </c>
      <c r="H66" s="930">
        <v>1400</v>
      </c>
      <c r="I66" s="901">
        <v>0.21</v>
      </c>
      <c r="J66" s="931">
        <v>0.42857142857142855</v>
      </c>
    </row>
    <row r="67" spans="1:10" ht="11.25" customHeight="1">
      <c r="A67" s="458" t="s">
        <v>98</v>
      </c>
      <c r="B67" s="501">
        <v>500</v>
      </c>
      <c r="C67" s="566">
        <v>1000</v>
      </c>
      <c r="D67" s="501">
        <v>500</v>
      </c>
      <c r="E67" s="566">
        <v>1000</v>
      </c>
      <c r="F67" s="568" t="s">
        <v>523</v>
      </c>
      <c r="G67" s="929">
        <v>8.2999999999999998E-5</v>
      </c>
      <c r="H67" s="930" t="s">
        <v>367</v>
      </c>
      <c r="I67" s="901" t="s">
        <v>367</v>
      </c>
      <c r="J67" s="931" t="s">
        <v>367</v>
      </c>
    </row>
    <row r="68" spans="1:10" ht="11.25" customHeight="1">
      <c r="A68" s="458" t="s">
        <v>943</v>
      </c>
      <c r="B68" s="501">
        <v>100</v>
      </c>
      <c r="C68" s="566">
        <v>500</v>
      </c>
      <c r="D68" s="501">
        <v>100</v>
      </c>
      <c r="E68" s="566">
        <v>500</v>
      </c>
      <c r="F68" s="568">
        <v>1363.3675471698114</v>
      </c>
      <c r="G68" s="929">
        <v>53.3</v>
      </c>
      <c r="H68" s="930">
        <v>1190</v>
      </c>
      <c r="I68" s="901">
        <v>0.25</v>
      </c>
      <c r="J68" s="931">
        <v>213.2</v>
      </c>
    </row>
    <row r="69" spans="1:10" ht="11.25" customHeight="1">
      <c r="A69" s="458" t="s">
        <v>296</v>
      </c>
      <c r="B69" s="501">
        <v>500</v>
      </c>
      <c r="C69" s="566">
        <v>1000</v>
      </c>
      <c r="D69" s="501">
        <v>500</v>
      </c>
      <c r="E69" s="566">
        <v>1000</v>
      </c>
      <c r="F69" s="568">
        <v>1571.9654339622643</v>
      </c>
      <c r="G69" s="929">
        <v>34</v>
      </c>
      <c r="H69" s="930">
        <v>4160</v>
      </c>
      <c r="I69" s="901">
        <v>1</v>
      </c>
      <c r="J69" s="931">
        <v>34</v>
      </c>
    </row>
    <row r="70" spans="1:10" ht="11.25" customHeight="1">
      <c r="A70" s="458" t="s">
        <v>944</v>
      </c>
      <c r="B70" s="501">
        <v>1000</v>
      </c>
      <c r="C70" s="566">
        <v>2500</v>
      </c>
      <c r="D70" s="501">
        <v>1000</v>
      </c>
      <c r="E70" s="566">
        <v>2500</v>
      </c>
      <c r="F70" s="568" t="s">
        <v>523</v>
      </c>
      <c r="G70" s="929">
        <v>5.9000000000000003E-6</v>
      </c>
      <c r="H70" s="930" t="s">
        <v>367</v>
      </c>
      <c r="I70" s="901" t="s">
        <v>367</v>
      </c>
      <c r="J70" s="931" t="s">
        <v>367</v>
      </c>
    </row>
    <row r="71" spans="1:10" ht="11.25" customHeight="1">
      <c r="A71" s="458" t="s">
        <v>945</v>
      </c>
      <c r="B71" s="501">
        <v>500</v>
      </c>
      <c r="C71" s="566">
        <v>1000</v>
      </c>
      <c r="D71" s="501">
        <v>500</v>
      </c>
      <c r="E71" s="566">
        <v>1000</v>
      </c>
      <c r="F71" s="568" t="s">
        <v>523</v>
      </c>
      <c r="G71" s="929">
        <v>2.0999999999999999E-3</v>
      </c>
      <c r="H71" s="930" t="s">
        <v>367</v>
      </c>
      <c r="I71" s="901" t="s">
        <v>367</v>
      </c>
      <c r="J71" s="931" t="s">
        <v>367</v>
      </c>
    </row>
    <row r="72" spans="1:10" ht="11.25" customHeight="1">
      <c r="A72" s="458" t="s">
        <v>947</v>
      </c>
      <c r="B72" s="501">
        <v>100</v>
      </c>
      <c r="C72" s="566">
        <v>500</v>
      </c>
      <c r="D72" s="501">
        <v>100</v>
      </c>
      <c r="E72" s="566">
        <v>500</v>
      </c>
      <c r="F72" s="568" t="s">
        <v>523</v>
      </c>
      <c r="G72" s="929">
        <v>0.1</v>
      </c>
      <c r="H72" s="930">
        <v>1</v>
      </c>
      <c r="I72" s="901">
        <v>1.9699999999999999E-4</v>
      </c>
      <c r="J72" s="931">
        <v>507.6142131979696</v>
      </c>
    </row>
    <row r="73" spans="1:10" ht="11.25" customHeight="1">
      <c r="A73" s="458" t="s">
        <v>946</v>
      </c>
      <c r="B73" s="501">
        <v>500</v>
      </c>
      <c r="C73" s="566">
        <v>1000</v>
      </c>
      <c r="D73" s="501">
        <v>500</v>
      </c>
      <c r="E73" s="566">
        <v>1000</v>
      </c>
      <c r="F73" s="568" t="s">
        <v>523</v>
      </c>
      <c r="G73" s="929">
        <v>0.308</v>
      </c>
      <c r="H73" s="930" t="s">
        <v>367</v>
      </c>
      <c r="I73" s="901" t="s">
        <v>367</v>
      </c>
      <c r="J73" s="931" t="s">
        <v>367</v>
      </c>
    </row>
    <row r="74" spans="1:10" ht="11.25" customHeight="1">
      <c r="A74" s="458" t="s">
        <v>99</v>
      </c>
      <c r="B74" s="501">
        <v>500</v>
      </c>
      <c r="C74" s="566">
        <v>1000</v>
      </c>
      <c r="D74" s="501">
        <v>500</v>
      </c>
      <c r="E74" s="566">
        <v>1000</v>
      </c>
      <c r="F74" s="568" t="s">
        <v>523</v>
      </c>
      <c r="G74" s="929">
        <v>8.9999999999999998E-4</v>
      </c>
      <c r="H74" s="930" t="s">
        <v>367</v>
      </c>
      <c r="I74" s="901" t="s">
        <v>367</v>
      </c>
      <c r="J74" s="931" t="s">
        <v>367</v>
      </c>
    </row>
    <row r="75" spans="1:10" ht="11.25" customHeight="1">
      <c r="A75" s="458" t="s">
        <v>297</v>
      </c>
      <c r="B75" s="501">
        <v>500</v>
      </c>
      <c r="C75" s="566">
        <v>1000</v>
      </c>
      <c r="D75" s="501">
        <v>500</v>
      </c>
      <c r="E75" s="566">
        <v>1000</v>
      </c>
      <c r="F75" s="568" t="s">
        <v>523</v>
      </c>
      <c r="G75" s="929">
        <v>3.8999999999999999E-4</v>
      </c>
      <c r="H75" s="930" t="s">
        <v>367</v>
      </c>
      <c r="I75" s="901" t="s">
        <v>367</v>
      </c>
      <c r="J75" s="931" t="s">
        <v>367</v>
      </c>
    </row>
    <row r="76" spans="1:10" ht="11.25" customHeight="1">
      <c r="A76" s="458" t="s">
        <v>100</v>
      </c>
      <c r="B76" s="501">
        <v>500</v>
      </c>
      <c r="C76" s="566">
        <v>1000</v>
      </c>
      <c r="D76" s="501">
        <v>500</v>
      </c>
      <c r="E76" s="566">
        <v>1000</v>
      </c>
      <c r="F76" s="568" t="s">
        <v>523</v>
      </c>
      <c r="G76" s="929">
        <v>1.4999999999999999E-4</v>
      </c>
      <c r="H76" s="930" t="s">
        <v>367</v>
      </c>
      <c r="I76" s="901" t="s">
        <v>367</v>
      </c>
      <c r="J76" s="931" t="s">
        <v>367</v>
      </c>
    </row>
    <row r="77" spans="1:10" ht="11.25" customHeight="1">
      <c r="A77" s="458" t="s">
        <v>101</v>
      </c>
      <c r="B77" s="501">
        <v>500</v>
      </c>
      <c r="C77" s="566">
        <v>1000</v>
      </c>
      <c r="D77" s="501">
        <v>500</v>
      </c>
      <c r="E77" s="566">
        <v>1000</v>
      </c>
      <c r="F77" s="568" t="s">
        <v>523</v>
      </c>
      <c r="G77" s="929">
        <v>5.6999999999999998E-4</v>
      </c>
      <c r="H77" s="930" t="s">
        <v>367</v>
      </c>
      <c r="I77" s="901" t="s">
        <v>367</v>
      </c>
      <c r="J77" s="931" t="s">
        <v>367</v>
      </c>
    </row>
    <row r="78" spans="1:10" ht="11.25" customHeight="1">
      <c r="A78" s="458" t="s">
        <v>382</v>
      </c>
      <c r="B78" s="501">
        <v>500</v>
      </c>
      <c r="C78" s="566">
        <v>1000</v>
      </c>
      <c r="D78" s="501">
        <v>500</v>
      </c>
      <c r="E78" s="566">
        <v>1000</v>
      </c>
      <c r="F78" s="568">
        <v>115637.86163522014</v>
      </c>
      <c r="G78" s="929">
        <v>38</v>
      </c>
      <c r="H78" s="930">
        <v>612000</v>
      </c>
      <c r="I78" s="901">
        <v>170</v>
      </c>
      <c r="J78" s="931">
        <v>0.22352941176470589</v>
      </c>
    </row>
    <row r="79" spans="1:10" ht="11.25" customHeight="1">
      <c r="A79" s="458" t="s">
        <v>594</v>
      </c>
      <c r="B79" s="501">
        <v>1000</v>
      </c>
      <c r="C79" s="566">
        <v>2500</v>
      </c>
      <c r="D79" s="501">
        <v>1000</v>
      </c>
      <c r="E79" s="566">
        <v>2500</v>
      </c>
      <c r="F79" s="568" t="s">
        <v>523</v>
      </c>
      <c r="G79" s="929">
        <v>1.5E-9</v>
      </c>
      <c r="H79" s="930" t="s">
        <v>367</v>
      </c>
      <c r="I79" s="901" t="s">
        <v>367</v>
      </c>
      <c r="J79" s="931" t="s">
        <v>367</v>
      </c>
    </row>
    <row r="80" spans="1:10" ht="11.25" customHeight="1">
      <c r="A80" s="458" t="s">
        <v>102</v>
      </c>
      <c r="B80" s="501">
        <v>500</v>
      </c>
      <c r="C80" s="566">
        <v>1000</v>
      </c>
      <c r="D80" s="501">
        <v>500</v>
      </c>
      <c r="E80" s="566">
        <v>1000</v>
      </c>
      <c r="F80" s="568" t="s">
        <v>523</v>
      </c>
      <c r="G80" s="929">
        <v>6.8999999999999996E-8</v>
      </c>
      <c r="H80" s="930" t="s">
        <v>367</v>
      </c>
      <c r="I80" s="901" t="s">
        <v>367</v>
      </c>
      <c r="J80" s="931" t="s">
        <v>367</v>
      </c>
    </row>
    <row r="81" spans="1:10" ht="11.25" customHeight="1">
      <c r="A81" s="458" t="s">
        <v>370</v>
      </c>
      <c r="B81" s="501">
        <v>500</v>
      </c>
      <c r="C81" s="566">
        <v>1000</v>
      </c>
      <c r="D81" s="501">
        <v>500</v>
      </c>
      <c r="E81" s="566">
        <v>1000</v>
      </c>
      <c r="F81" s="568" t="s">
        <v>523</v>
      </c>
      <c r="G81" s="929">
        <v>1.6999999999999999E-7</v>
      </c>
      <c r="H81" s="930" t="s">
        <v>367</v>
      </c>
      <c r="I81" s="901" t="s">
        <v>367</v>
      </c>
      <c r="J81" s="931" t="s">
        <v>367</v>
      </c>
    </row>
    <row r="82" spans="1:10" ht="11.25" customHeight="1">
      <c r="A82" s="458" t="s">
        <v>337</v>
      </c>
      <c r="B82" s="501">
        <v>500</v>
      </c>
      <c r="C82" s="566">
        <v>1000</v>
      </c>
      <c r="D82" s="501">
        <v>500</v>
      </c>
      <c r="E82" s="566">
        <v>1000</v>
      </c>
      <c r="F82" s="568" t="s">
        <v>523</v>
      </c>
      <c r="G82" s="929">
        <v>3.0000000000000001E-6</v>
      </c>
      <c r="H82" s="930" t="s">
        <v>367</v>
      </c>
      <c r="I82" s="901" t="s">
        <v>367</v>
      </c>
      <c r="J82" s="931" t="s">
        <v>367</v>
      </c>
    </row>
    <row r="83" spans="1:10" ht="11.25" customHeight="1">
      <c r="A83" s="458" t="s">
        <v>28</v>
      </c>
      <c r="B83" s="501">
        <v>500</v>
      </c>
      <c r="C83" s="566">
        <v>1000</v>
      </c>
      <c r="D83" s="501">
        <v>500</v>
      </c>
      <c r="E83" s="566">
        <v>1000</v>
      </c>
      <c r="F83" s="568">
        <v>101902.84150943397</v>
      </c>
      <c r="G83" s="929">
        <v>53</v>
      </c>
      <c r="H83" s="930">
        <v>19200</v>
      </c>
      <c r="I83" s="901">
        <v>10</v>
      </c>
      <c r="J83" s="931">
        <v>5.3</v>
      </c>
    </row>
    <row r="84" spans="1:10" ht="11.25" customHeight="1">
      <c r="A84" s="458" t="s">
        <v>338</v>
      </c>
      <c r="B84" s="501">
        <v>479.48318616352208</v>
      </c>
      <c r="C84" s="566">
        <v>479.48318616352208</v>
      </c>
      <c r="D84" s="501">
        <v>500</v>
      </c>
      <c r="E84" s="566">
        <v>1000</v>
      </c>
      <c r="F84" s="568">
        <v>479.48318616352208</v>
      </c>
      <c r="G84" s="929">
        <v>9.6</v>
      </c>
      <c r="H84" s="930">
        <v>2000</v>
      </c>
      <c r="I84" s="901">
        <v>0.45</v>
      </c>
      <c r="J84" s="931">
        <v>21.333333333333332</v>
      </c>
    </row>
    <row r="85" spans="1:10" ht="11.25" customHeight="1">
      <c r="A85" s="458" t="s">
        <v>339</v>
      </c>
      <c r="B85" s="501">
        <v>500</v>
      </c>
      <c r="C85" s="566">
        <v>1000</v>
      </c>
      <c r="D85" s="501">
        <v>500</v>
      </c>
      <c r="E85" s="566">
        <v>1000</v>
      </c>
      <c r="F85" s="568" t="s">
        <v>523</v>
      </c>
      <c r="G85" s="929">
        <v>9.2E-6</v>
      </c>
      <c r="H85" s="930" t="s">
        <v>367</v>
      </c>
      <c r="I85" s="901" t="s">
        <v>367</v>
      </c>
      <c r="J85" s="931" t="s">
        <v>367</v>
      </c>
    </row>
    <row r="86" spans="1:10" ht="11.25" customHeight="1">
      <c r="A86" s="458" t="s">
        <v>340</v>
      </c>
      <c r="B86" s="501">
        <v>500</v>
      </c>
      <c r="C86" s="566">
        <v>1000</v>
      </c>
      <c r="D86" s="501">
        <v>500</v>
      </c>
      <c r="E86" s="566">
        <v>1000</v>
      </c>
      <c r="F86" s="568" t="s">
        <v>523</v>
      </c>
      <c r="G86" s="929">
        <v>5.9999999999999995E-4</v>
      </c>
      <c r="H86" s="930" t="s">
        <v>367</v>
      </c>
      <c r="I86" s="901" t="s">
        <v>367</v>
      </c>
      <c r="J86" s="931" t="s">
        <v>367</v>
      </c>
    </row>
    <row r="87" spans="1:10" ht="11.25" customHeight="1">
      <c r="A87" s="458" t="s">
        <v>103</v>
      </c>
      <c r="B87" s="501">
        <v>500</v>
      </c>
      <c r="C87" s="566">
        <v>1000</v>
      </c>
      <c r="D87" s="501">
        <v>500</v>
      </c>
      <c r="E87" s="566">
        <v>1000</v>
      </c>
      <c r="F87" s="568" t="s">
        <v>523</v>
      </c>
      <c r="G87" s="929">
        <v>9.8000000000000004E-8</v>
      </c>
      <c r="H87" s="930" t="s">
        <v>367</v>
      </c>
      <c r="I87" s="901" t="s">
        <v>367</v>
      </c>
      <c r="J87" s="931" t="s">
        <v>367</v>
      </c>
    </row>
    <row r="88" spans="1:10" ht="11.25" customHeight="1">
      <c r="A88" s="458" t="s">
        <v>341</v>
      </c>
      <c r="B88" s="501">
        <v>1000</v>
      </c>
      <c r="C88" s="566">
        <v>2500</v>
      </c>
      <c r="D88" s="501">
        <v>1000</v>
      </c>
      <c r="E88" s="566">
        <v>2500</v>
      </c>
      <c r="F88" s="568" t="s">
        <v>523</v>
      </c>
      <c r="G88" s="929">
        <v>4.0000000000000002E-4</v>
      </c>
      <c r="H88" s="930">
        <v>300</v>
      </c>
      <c r="I88" s="901">
        <v>0.02</v>
      </c>
      <c r="J88" s="931">
        <v>0.02</v>
      </c>
    </row>
    <row r="89" spans="1:10" ht="11.25" customHeight="1">
      <c r="A89" s="458" t="s">
        <v>342</v>
      </c>
      <c r="B89" s="501">
        <v>1000</v>
      </c>
      <c r="C89" s="566">
        <v>2500</v>
      </c>
      <c r="D89" s="501">
        <v>1000</v>
      </c>
      <c r="E89" s="566">
        <v>2500</v>
      </c>
      <c r="F89" s="568" t="s">
        <v>523</v>
      </c>
      <c r="G89" s="929">
        <v>2.0000000000000002E-5</v>
      </c>
      <c r="H89" s="930">
        <v>300</v>
      </c>
      <c r="I89" s="901">
        <v>1.9E-2</v>
      </c>
      <c r="J89" s="931">
        <v>1.0526315789473686E-3</v>
      </c>
    </row>
    <row r="90" spans="1:10" ht="11.25" customHeight="1">
      <c r="A90" s="458" t="s">
        <v>371</v>
      </c>
      <c r="B90" s="501">
        <v>500</v>
      </c>
      <c r="C90" s="566">
        <v>1000</v>
      </c>
      <c r="D90" s="501">
        <v>500</v>
      </c>
      <c r="E90" s="566">
        <v>1000</v>
      </c>
      <c r="F90" s="568" t="s">
        <v>523</v>
      </c>
      <c r="G90" s="929">
        <v>1.8E-5</v>
      </c>
      <c r="H90" s="930" t="s">
        <v>367</v>
      </c>
      <c r="I90" s="901" t="s">
        <v>367</v>
      </c>
      <c r="J90" s="931" t="s">
        <v>367</v>
      </c>
    </row>
    <row r="91" spans="1:10" ht="11.25" customHeight="1">
      <c r="A91" s="458" t="s">
        <v>343</v>
      </c>
      <c r="B91" s="501">
        <v>500</v>
      </c>
      <c r="C91" s="566">
        <v>1000</v>
      </c>
      <c r="D91" s="501">
        <v>500</v>
      </c>
      <c r="E91" s="566">
        <v>1000</v>
      </c>
      <c r="F91" s="568" t="s">
        <v>523</v>
      </c>
      <c r="G91" s="929">
        <v>0.22</v>
      </c>
      <c r="H91" s="930">
        <v>12000</v>
      </c>
      <c r="I91" s="901">
        <v>1.1000000000000001</v>
      </c>
      <c r="J91" s="931">
        <v>0.19999999999999998</v>
      </c>
    </row>
    <row r="92" spans="1:10" ht="11.25" customHeight="1">
      <c r="A92" s="458" t="s">
        <v>364</v>
      </c>
      <c r="B92" s="501">
        <v>500</v>
      </c>
      <c r="C92" s="566">
        <v>1000</v>
      </c>
      <c r="D92" s="501">
        <v>500</v>
      </c>
      <c r="E92" s="566">
        <v>1000</v>
      </c>
      <c r="F92" s="568" t="s">
        <v>523</v>
      </c>
      <c r="G92" s="929">
        <v>4.1999999999999998E-5</v>
      </c>
      <c r="H92" s="930" t="s">
        <v>367</v>
      </c>
      <c r="I92" s="901" t="s">
        <v>367</v>
      </c>
      <c r="J92" s="931" t="s">
        <v>367</v>
      </c>
    </row>
    <row r="93" spans="1:10" ht="11.25" customHeight="1">
      <c r="A93" s="458" t="s">
        <v>344</v>
      </c>
      <c r="B93" s="501">
        <v>500</v>
      </c>
      <c r="C93" s="566">
        <v>1000</v>
      </c>
      <c r="D93" s="501">
        <v>500</v>
      </c>
      <c r="E93" s="566">
        <v>1000</v>
      </c>
      <c r="F93" s="568" t="s">
        <v>523</v>
      </c>
      <c r="G93" s="929">
        <v>0.21</v>
      </c>
      <c r="H93" s="930" t="s">
        <v>367</v>
      </c>
      <c r="I93" s="901" t="s">
        <v>367</v>
      </c>
      <c r="J93" s="931" t="s">
        <v>367</v>
      </c>
    </row>
    <row r="94" spans="1:10" ht="11.25" customHeight="1">
      <c r="A94" s="458" t="s">
        <v>104</v>
      </c>
      <c r="B94" s="501">
        <v>500</v>
      </c>
      <c r="C94" s="566">
        <v>1000</v>
      </c>
      <c r="D94" s="501">
        <v>500</v>
      </c>
      <c r="E94" s="566">
        <v>1000</v>
      </c>
      <c r="F94" s="568" t="s">
        <v>523</v>
      </c>
      <c r="G94" s="929">
        <v>2.2999999999999999E-7</v>
      </c>
      <c r="H94" s="930" t="s">
        <v>367</v>
      </c>
      <c r="I94" s="901" t="s">
        <v>367</v>
      </c>
      <c r="J94" s="931" t="s">
        <v>367</v>
      </c>
    </row>
    <row r="95" spans="1:10" ht="11.25" customHeight="1">
      <c r="A95" s="458" t="s">
        <v>345</v>
      </c>
      <c r="B95" s="501">
        <v>500</v>
      </c>
      <c r="C95" s="566">
        <v>1000</v>
      </c>
      <c r="D95" s="501">
        <v>500</v>
      </c>
      <c r="E95" s="566">
        <v>1000</v>
      </c>
      <c r="F95" s="568" t="s">
        <v>523</v>
      </c>
      <c r="G95" s="929">
        <v>1.2999999999999999E-10</v>
      </c>
      <c r="H95" s="930" t="s">
        <v>367</v>
      </c>
      <c r="I95" s="901" t="s">
        <v>367</v>
      </c>
      <c r="J95" s="931" t="s">
        <v>367</v>
      </c>
    </row>
    <row r="96" spans="1:10" ht="11.25" customHeight="1">
      <c r="A96" s="458" t="s">
        <v>105</v>
      </c>
      <c r="B96" s="501">
        <v>500</v>
      </c>
      <c r="C96" s="566">
        <v>1000</v>
      </c>
      <c r="D96" s="501">
        <v>500</v>
      </c>
      <c r="E96" s="566">
        <v>1000</v>
      </c>
      <c r="F96" s="568" t="s">
        <v>523</v>
      </c>
      <c r="G96" s="929">
        <v>0.44</v>
      </c>
      <c r="H96" s="930" t="s">
        <v>367</v>
      </c>
      <c r="I96" s="901" t="s">
        <v>367</v>
      </c>
      <c r="J96" s="931" t="s">
        <v>367</v>
      </c>
    </row>
    <row r="97" spans="1:10" ht="11.25" customHeight="1">
      <c r="A97" s="458" t="s">
        <v>346</v>
      </c>
      <c r="B97" s="501">
        <v>1000</v>
      </c>
      <c r="C97" s="566">
        <v>2500</v>
      </c>
      <c r="D97" s="501">
        <v>1000</v>
      </c>
      <c r="E97" s="566">
        <v>2500</v>
      </c>
      <c r="F97" s="568" t="s">
        <v>523</v>
      </c>
      <c r="G97" s="929" t="s">
        <v>367</v>
      </c>
      <c r="H97" s="930" t="s">
        <v>367</v>
      </c>
      <c r="I97" s="901" t="s">
        <v>367</v>
      </c>
      <c r="J97" s="931" t="s">
        <v>367</v>
      </c>
    </row>
    <row r="98" spans="1:10" ht="11.25" customHeight="1">
      <c r="A98" s="458" t="s">
        <v>347</v>
      </c>
      <c r="B98" s="501">
        <v>500</v>
      </c>
      <c r="C98" s="566">
        <v>1000</v>
      </c>
      <c r="D98" s="501">
        <v>500</v>
      </c>
      <c r="E98" s="566">
        <v>1000</v>
      </c>
      <c r="F98" s="568" t="s">
        <v>523</v>
      </c>
      <c r="G98" s="929" t="s">
        <v>367</v>
      </c>
      <c r="H98" s="930" t="s">
        <v>367</v>
      </c>
      <c r="I98" s="901" t="s">
        <v>367</v>
      </c>
      <c r="J98" s="931" t="s">
        <v>367</v>
      </c>
    </row>
    <row r="99" spans="1:10" ht="11.25" customHeight="1">
      <c r="A99" s="458" t="s">
        <v>348</v>
      </c>
      <c r="B99" s="501">
        <v>500</v>
      </c>
      <c r="C99" s="566">
        <v>1000</v>
      </c>
      <c r="D99" s="501">
        <v>500</v>
      </c>
      <c r="E99" s="566">
        <v>1000</v>
      </c>
      <c r="F99" s="568" t="s">
        <v>523</v>
      </c>
      <c r="G99" s="929">
        <v>2.6000000000000001E-6</v>
      </c>
      <c r="H99" s="930" t="s">
        <v>367</v>
      </c>
      <c r="I99" s="901" t="s">
        <v>367</v>
      </c>
      <c r="J99" s="931" t="s">
        <v>367</v>
      </c>
    </row>
    <row r="100" spans="1:10" ht="11.25" customHeight="1">
      <c r="A100" s="458" t="s">
        <v>350</v>
      </c>
      <c r="B100" s="501">
        <v>500</v>
      </c>
      <c r="C100" s="566">
        <v>1000</v>
      </c>
      <c r="D100" s="501">
        <v>500</v>
      </c>
      <c r="E100" s="566">
        <v>1000</v>
      </c>
      <c r="F100" s="568">
        <v>28431.476163522013</v>
      </c>
      <c r="G100" s="929">
        <v>90.6</v>
      </c>
      <c r="H100" s="930">
        <v>32000</v>
      </c>
      <c r="I100" s="901">
        <v>11</v>
      </c>
      <c r="J100" s="931">
        <v>8.2363636363636363</v>
      </c>
    </row>
    <row r="101" spans="1:10" ht="11.25" customHeight="1">
      <c r="A101" s="458" t="s">
        <v>351</v>
      </c>
      <c r="B101" s="501">
        <v>100</v>
      </c>
      <c r="C101" s="566">
        <v>500</v>
      </c>
      <c r="D101" s="501">
        <v>100</v>
      </c>
      <c r="E101" s="566">
        <v>500</v>
      </c>
      <c r="F101" s="568">
        <v>3356.5423899371067</v>
      </c>
      <c r="G101" s="929">
        <v>19.86</v>
      </c>
      <c r="H101" s="930">
        <v>420</v>
      </c>
      <c r="I101" s="901">
        <v>0.1</v>
      </c>
      <c r="J101" s="931">
        <v>198.6</v>
      </c>
    </row>
    <row r="102" spans="1:10" ht="11.25" customHeight="1">
      <c r="A102" s="458" t="s">
        <v>352</v>
      </c>
      <c r="B102" s="501">
        <v>100</v>
      </c>
      <c r="C102" s="566">
        <v>500</v>
      </c>
      <c r="D102" s="501">
        <v>100</v>
      </c>
      <c r="E102" s="566">
        <v>500</v>
      </c>
      <c r="F102" s="568" t="s">
        <v>523</v>
      </c>
      <c r="G102" s="929" t="s">
        <v>367</v>
      </c>
      <c r="H102" s="930" t="s">
        <v>367</v>
      </c>
      <c r="I102" s="901" t="s">
        <v>367</v>
      </c>
      <c r="J102" s="931" t="s">
        <v>367</v>
      </c>
    </row>
    <row r="103" spans="1:10" ht="11.25" customHeight="1">
      <c r="A103" s="458" t="s">
        <v>353</v>
      </c>
      <c r="B103" s="501">
        <v>100</v>
      </c>
      <c r="C103" s="566">
        <v>500</v>
      </c>
      <c r="D103" s="501">
        <v>100</v>
      </c>
      <c r="E103" s="566">
        <v>500</v>
      </c>
      <c r="F103" s="568">
        <v>8869.0732075471715</v>
      </c>
      <c r="G103" s="929">
        <v>250</v>
      </c>
      <c r="H103" s="930">
        <v>530</v>
      </c>
      <c r="I103" s="901">
        <v>0.13</v>
      </c>
      <c r="J103" s="931">
        <v>1923.0769230769231</v>
      </c>
    </row>
    <row r="104" spans="1:10" ht="11.25" customHeight="1">
      <c r="A104" s="458" t="s">
        <v>349</v>
      </c>
      <c r="B104" s="501">
        <v>500</v>
      </c>
      <c r="C104" s="566">
        <v>1000</v>
      </c>
      <c r="D104" s="501">
        <v>500</v>
      </c>
      <c r="E104" s="566">
        <v>1000</v>
      </c>
      <c r="F104" s="568">
        <v>3314.8708176100631</v>
      </c>
      <c r="G104" s="929">
        <v>435</v>
      </c>
      <c r="H104" s="930">
        <v>560000</v>
      </c>
      <c r="I104" s="901">
        <v>160</v>
      </c>
      <c r="J104" s="931">
        <v>2.71875</v>
      </c>
    </row>
    <row r="105" spans="1:10" ht="11.25" customHeight="1">
      <c r="A105" s="458" t="s">
        <v>590</v>
      </c>
      <c r="B105" s="501">
        <v>500</v>
      </c>
      <c r="C105" s="566">
        <v>1000</v>
      </c>
      <c r="D105" s="501">
        <v>500</v>
      </c>
      <c r="E105" s="566">
        <v>1000</v>
      </c>
      <c r="F105" s="568" t="s">
        <v>523</v>
      </c>
      <c r="G105" s="929">
        <v>6.7000000000000004E-2</v>
      </c>
      <c r="H105" s="930">
        <v>68</v>
      </c>
      <c r="I105" s="901">
        <v>1.15E-2</v>
      </c>
      <c r="J105" s="931">
        <v>5.8260869565217392</v>
      </c>
    </row>
    <row r="106" spans="1:10" ht="11.25" customHeight="1">
      <c r="A106" s="458" t="s">
        <v>591</v>
      </c>
      <c r="B106" s="501">
        <v>500</v>
      </c>
      <c r="C106" s="566">
        <v>1000</v>
      </c>
      <c r="D106" s="501">
        <v>500</v>
      </c>
      <c r="E106" s="566">
        <v>1000</v>
      </c>
      <c r="F106" s="568" t="s">
        <v>523</v>
      </c>
      <c r="G106" s="929">
        <v>5.5E-2</v>
      </c>
      <c r="H106" s="930">
        <v>68</v>
      </c>
      <c r="I106" s="901">
        <v>1.15E-2</v>
      </c>
      <c r="J106" s="931">
        <v>4.7826086956521738</v>
      </c>
    </row>
    <row r="107" spans="1:10" ht="11.25" customHeight="1">
      <c r="A107" s="458" t="s">
        <v>465</v>
      </c>
      <c r="B107" s="501">
        <v>1000</v>
      </c>
      <c r="C107" s="566">
        <v>2500</v>
      </c>
      <c r="D107" s="501">
        <v>1000</v>
      </c>
      <c r="E107" s="566">
        <v>2500</v>
      </c>
      <c r="F107" s="568" t="s">
        <v>523</v>
      </c>
      <c r="G107" s="929" t="s">
        <v>367</v>
      </c>
      <c r="H107" s="930" t="s">
        <v>367</v>
      </c>
      <c r="I107" s="901" t="s">
        <v>367</v>
      </c>
      <c r="J107" s="931" t="s">
        <v>367</v>
      </c>
    </row>
    <row r="108" spans="1:10" ht="11.25" customHeight="1">
      <c r="A108" s="458" t="s">
        <v>466</v>
      </c>
      <c r="B108" s="501">
        <v>500</v>
      </c>
      <c r="C108" s="566">
        <v>1000</v>
      </c>
      <c r="D108" s="501">
        <v>500</v>
      </c>
      <c r="E108" s="566">
        <v>1000</v>
      </c>
      <c r="F108" s="568" t="s">
        <v>523</v>
      </c>
      <c r="G108" s="929">
        <v>8.5000000000000006E-2</v>
      </c>
      <c r="H108" s="930">
        <v>440</v>
      </c>
      <c r="I108" s="901">
        <v>8.4000000000000005E-2</v>
      </c>
      <c r="J108" s="931">
        <v>1.0119047619047619</v>
      </c>
    </row>
    <row r="109" spans="1:10" ht="11.25" customHeight="1">
      <c r="A109" s="458" t="s">
        <v>812</v>
      </c>
      <c r="B109" s="501">
        <v>1000</v>
      </c>
      <c r="C109" s="566">
        <v>2500</v>
      </c>
      <c r="D109" s="501">
        <v>1000</v>
      </c>
      <c r="E109" s="566">
        <v>2500</v>
      </c>
      <c r="F109" s="568" t="s">
        <v>523</v>
      </c>
      <c r="G109" s="929" t="s">
        <v>367</v>
      </c>
      <c r="H109" s="930" t="s">
        <v>367</v>
      </c>
      <c r="I109" s="901" t="s">
        <v>367</v>
      </c>
      <c r="J109" s="931" t="s">
        <v>367</v>
      </c>
    </row>
    <row r="110" spans="1:10" ht="11.25" customHeight="1">
      <c r="A110" s="458" t="s">
        <v>106</v>
      </c>
      <c r="B110" s="501">
        <v>500</v>
      </c>
      <c r="C110" s="566">
        <v>1000</v>
      </c>
      <c r="D110" s="501">
        <v>500</v>
      </c>
      <c r="E110" s="566">
        <v>1000</v>
      </c>
      <c r="F110" s="568">
        <v>3048.4437410062897</v>
      </c>
      <c r="G110" s="929">
        <v>0.245</v>
      </c>
      <c r="H110" s="930" t="s">
        <v>367</v>
      </c>
      <c r="I110" s="901" t="s">
        <v>367</v>
      </c>
      <c r="J110" s="931" t="s">
        <v>367</v>
      </c>
    </row>
    <row r="111" spans="1:10" ht="11.25" customHeight="1">
      <c r="A111" s="458" t="s">
        <v>107</v>
      </c>
      <c r="B111" s="501">
        <v>500</v>
      </c>
      <c r="C111" s="566">
        <v>1000</v>
      </c>
      <c r="D111" s="501">
        <v>500</v>
      </c>
      <c r="E111" s="566">
        <v>1000</v>
      </c>
      <c r="F111" s="568" t="s">
        <v>523</v>
      </c>
      <c r="G111" s="929">
        <v>4.0000000000000002E-4</v>
      </c>
      <c r="H111" s="930" t="s">
        <v>367</v>
      </c>
      <c r="I111" s="901" t="s">
        <v>367</v>
      </c>
      <c r="J111" s="931" t="s">
        <v>367</v>
      </c>
    </row>
    <row r="112" spans="1:10" ht="11.25" customHeight="1">
      <c r="A112" s="458" t="s">
        <v>108</v>
      </c>
      <c r="B112" s="501">
        <v>500</v>
      </c>
      <c r="C112" s="566">
        <v>1000</v>
      </c>
      <c r="D112" s="501">
        <v>500</v>
      </c>
      <c r="E112" s="566">
        <v>1000</v>
      </c>
      <c r="F112" s="568" t="s">
        <v>523</v>
      </c>
      <c r="G112" s="929">
        <v>0.19</v>
      </c>
      <c r="H112" s="930" t="s">
        <v>367</v>
      </c>
      <c r="I112" s="901" t="s">
        <v>367</v>
      </c>
      <c r="J112" s="931" t="s">
        <v>367</v>
      </c>
    </row>
    <row r="113" spans="1:10" ht="11.25" customHeight="1">
      <c r="A113" s="458" t="s">
        <v>109</v>
      </c>
      <c r="B113" s="501">
        <v>500</v>
      </c>
      <c r="C113" s="566">
        <v>1000</v>
      </c>
      <c r="D113" s="501">
        <v>500</v>
      </c>
      <c r="E113" s="566">
        <v>1000</v>
      </c>
      <c r="F113" s="568" t="s">
        <v>523</v>
      </c>
      <c r="G113" s="929">
        <v>0.20499999999999999</v>
      </c>
      <c r="H113" s="930" t="s">
        <v>367</v>
      </c>
      <c r="I113" s="901" t="s">
        <v>367</v>
      </c>
      <c r="J113" s="931" t="s">
        <v>367</v>
      </c>
    </row>
    <row r="114" spans="1:10" ht="11.25" customHeight="1">
      <c r="A114" s="458" t="s">
        <v>110</v>
      </c>
      <c r="B114" s="501">
        <v>500</v>
      </c>
      <c r="C114" s="566">
        <v>1000</v>
      </c>
      <c r="D114" s="501">
        <v>500</v>
      </c>
      <c r="E114" s="566">
        <v>1000</v>
      </c>
      <c r="F114" s="568" t="s">
        <v>523</v>
      </c>
      <c r="G114" s="929">
        <v>1.6E-2</v>
      </c>
      <c r="H114" s="930" t="s">
        <v>367</v>
      </c>
      <c r="I114" s="901" t="s">
        <v>367</v>
      </c>
      <c r="J114" s="931" t="s">
        <v>367</v>
      </c>
    </row>
    <row r="115" spans="1:10" ht="11.25" customHeight="1">
      <c r="A115" s="458" t="s">
        <v>467</v>
      </c>
      <c r="B115" s="501">
        <v>500</v>
      </c>
      <c r="C115" s="566">
        <v>1000</v>
      </c>
      <c r="D115" s="501">
        <v>500</v>
      </c>
      <c r="E115" s="566">
        <v>1000</v>
      </c>
      <c r="F115" s="568" t="s">
        <v>523</v>
      </c>
      <c r="G115" s="929">
        <v>1.1E-4</v>
      </c>
      <c r="H115" s="930" t="s">
        <v>367</v>
      </c>
      <c r="I115" s="901" t="s">
        <v>367</v>
      </c>
      <c r="J115" s="931" t="s">
        <v>367</v>
      </c>
    </row>
    <row r="116" spans="1:10" ht="11.25" customHeight="1">
      <c r="A116" s="458" t="s">
        <v>111</v>
      </c>
      <c r="B116" s="501">
        <v>500</v>
      </c>
      <c r="C116" s="566">
        <v>1000</v>
      </c>
      <c r="D116" s="501">
        <v>500</v>
      </c>
      <c r="E116" s="566">
        <v>1000</v>
      </c>
      <c r="F116" s="568" t="s">
        <v>523</v>
      </c>
      <c r="G116" s="929">
        <v>5.4999999999999996E-9</v>
      </c>
      <c r="H116" s="930" t="s">
        <v>367</v>
      </c>
      <c r="I116" s="901" t="s">
        <v>367</v>
      </c>
      <c r="J116" s="931" t="s">
        <v>367</v>
      </c>
    </row>
    <row r="117" spans="1:10" ht="11.25" customHeight="1">
      <c r="A117" s="458" t="s">
        <v>231</v>
      </c>
      <c r="B117" s="501">
        <v>1000</v>
      </c>
      <c r="C117" s="566">
        <v>2500</v>
      </c>
      <c r="D117" s="501">
        <v>1000</v>
      </c>
      <c r="E117" s="566">
        <v>2500</v>
      </c>
      <c r="F117" s="568" t="s">
        <v>523</v>
      </c>
      <c r="G117" s="929" t="s">
        <v>367</v>
      </c>
      <c r="H117" s="930" t="s">
        <v>367</v>
      </c>
      <c r="I117" s="901" t="s">
        <v>367</v>
      </c>
      <c r="J117" s="931" t="s">
        <v>367</v>
      </c>
    </row>
    <row r="118" spans="1:10" ht="11.25" customHeight="1">
      <c r="A118" s="458" t="s">
        <v>468</v>
      </c>
      <c r="B118" s="501">
        <v>500</v>
      </c>
      <c r="C118" s="566">
        <v>1000</v>
      </c>
      <c r="D118" s="501">
        <v>500</v>
      </c>
      <c r="E118" s="566">
        <v>1000</v>
      </c>
      <c r="F118" s="568" t="s">
        <v>523</v>
      </c>
      <c r="G118" s="929" t="s">
        <v>367</v>
      </c>
      <c r="H118" s="930">
        <v>55</v>
      </c>
      <c r="I118" s="901">
        <v>7.4200000000000004E-3</v>
      </c>
      <c r="J118" s="931" t="e">
        <v>#VALUE!</v>
      </c>
    </row>
    <row r="119" spans="1:10" ht="11.25" customHeight="1">
      <c r="A119" s="458" t="s">
        <v>469</v>
      </c>
      <c r="B119" s="501">
        <v>500</v>
      </c>
      <c r="C119" s="566">
        <v>1000</v>
      </c>
      <c r="D119" s="501">
        <v>500</v>
      </c>
      <c r="E119" s="566">
        <v>1000</v>
      </c>
      <c r="F119" s="568" t="s">
        <v>523</v>
      </c>
      <c r="G119" s="929">
        <v>0.35</v>
      </c>
      <c r="H119" s="930">
        <v>156</v>
      </c>
      <c r="I119" s="901">
        <v>0.04</v>
      </c>
      <c r="J119" s="931">
        <v>8.75</v>
      </c>
    </row>
    <row r="120" spans="1:10" ht="11.25" customHeight="1">
      <c r="A120" s="458" t="s">
        <v>365</v>
      </c>
      <c r="B120" s="501">
        <v>500</v>
      </c>
      <c r="C120" s="566">
        <v>1000</v>
      </c>
      <c r="D120" s="501">
        <v>500</v>
      </c>
      <c r="E120" s="566">
        <v>1000</v>
      </c>
      <c r="F120" s="568" t="s">
        <v>523</v>
      </c>
      <c r="G120" s="929">
        <v>7.7000000000000001E-5</v>
      </c>
      <c r="H120" s="930" t="s">
        <v>367</v>
      </c>
      <c r="I120" s="901" t="s">
        <v>367</v>
      </c>
      <c r="J120" s="931" t="s">
        <v>367</v>
      </c>
    </row>
    <row r="121" spans="1:10" ht="11.25" customHeight="1">
      <c r="A121" s="458" t="s">
        <v>112</v>
      </c>
      <c r="B121" s="501">
        <v>500</v>
      </c>
      <c r="C121" s="566">
        <v>1000</v>
      </c>
      <c r="D121" s="501">
        <v>500</v>
      </c>
      <c r="E121" s="566">
        <v>1000</v>
      </c>
      <c r="F121" s="568" t="s">
        <v>523</v>
      </c>
      <c r="G121" s="929">
        <v>4.2E-7</v>
      </c>
      <c r="H121" s="930" t="s">
        <v>367</v>
      </c>
      <c r="I121" s="901" t="s">
        <v>367</v>
      </c>
      <c r="J121" s="931" t="s">
        <v>367</v>
      </c>
    </row>
    <row r="122" spans="1:10" ht="11.25" customHeight="1">
      <c r="A122" s="458" t="s">
        <v>470</v>
      </c>
      <c r="B122" s="501">
        <v>500</v>
      </c>
      <c r="C122" s="566">
        <v>1000</v>
      </c>
      <c r="D122" s="501">
        <v>500</v>
      </c>
      <c r="E122" s="566">
        <v>1000</v>
      </c>
      <c r="F122" s="568" t="s">
        <v>523</v>
      </c>
      <c r="G122" s="929">
        <v>4.5000000000000001E-6</v>
      </c>
      <c r="H122" s="930" t="s">
        <v>367</v>
      </c>
      <c r="I122" s="901" t="s">
        <v>367</v>
      </c>
      <c r="J122" s="931" t="s">
        <v>367</v>
      </c>
    </row>
    <row r="123" spans="1:10" ht="11.25" customHeight="1">
      <c r="A123" s="458" t="s">
        <v>471</v>
      </c>
      <c r="B123" s="501">
        <v>1000</v>
      </c>
      <c r="C123" s="566">
        <v>2500</v>
      </c>
      <c r="D123" s="501">
        <v>1000</v>
      </c>
      <c r="E123" s="566">
        <v>2500</v>
      </c>
      <c r="F123" s="568" t="s">
        <v>523</v>
      </c>
      <c r="G123" s="929">
        <v>1.4000000000000001E-10</v>
      </c>
      <c r="H123" s="930" t="s">
        <v>367</v>
      </c>
      <c r="I123" s="901" t="s">
        <v>367</v>
      </c>
      <c r="J123" s="931" t="s">
        <v>367</v>
      </c>
    </row>
    <row r="124" spans="1:10" ht="11.25" customHeight="1">
      <c r="A124" s="458" t="s">
        <v>813</v>
      </c>
      <c r="B124" s="501">
        <v>1000</v>
      </c>
      <c r="C124" s="566">
        <v>2500</v>
      </c>
      <c r="D124" s="501">
        <v>1000</v>
      </c>
      <c r="E124" s="566">
        <v>2500</v>
      </c>
      <c r="F124" s="568" t="s">
        <v>523</v>
      </c>
      <c r="G124" s="929" t="s">
        <v>367</v>
      </c>
      <c r="H124" s="930" t="s">
        <v>367</v>
      </c>
      <c r="I124" s="901" t="s">
        <v>367</v>
      </c>
      <c r="J124" s="931" t="s">
        <v>367</v>
      </c>
    </row>
    <row r="125" spans="1:10" ht="11.25" customHeight="1">
      <c r="A125" s="458" t="s">
        <v>113</v>
      </c>
      <c r="B125" s="501">
        <v>500</v>
      </c>
      <c r="C125" s="566">
        <v>1000</v>
      </c>
      <c r="D125" s="501">
        <v>500</v>
      </c>
      <c r="E125" s="566">
        <v>1000</v>
      </c>
      <c r="F125" s="568" t="s">
        <v>523</v>
      </c>
      <c r="G125" s="929">
        <v>2.1999999999999998E-8</v>
      </c>
      <c r="H125" s="930" t="s">
        <v>367</v>
      </c>
      <c r="I125" s="901" t="s">
        <v>367</v>
      </c>
      <c r="J125" s="931" t="s">
        <v>367</v>
      </c>
    </row>
    <row r="126" spans="1:10" ht="11.25" customHeight="1">
      <c r="A126" s="458" t="s">
        <v>472</v>
      </c>
      <c r="B126" s="501">
        <v>500</v>
      </c>
      <c r="C126" s="566">
        <v>867.20140880503141</v>
      </c>
      <c r="D126" s="501">
        <v>500</v>
      </c>
      <c r="E126" s="566">
        <v>1000</v>
      </c>
      <c r="F126" s="568">
        <v>867.20140880503141</v>
      </c>
      <c r="G126" s="929">
        <v>6.4</v>
      </c>
      <c r="H126" s="930">
        <v>1360</v>
      </c>
      <c r="I126" s="901">
        <v>0.3</v>
      </c>
      <c r="J126" s="931">
        <v>21.333333333333336</v>
      </c>
    </row>
    <row r="127" spans="1:10" ht="11.25" customHeight="1">
      <c r="A127" s="458" t="s">
        <v>114</v>
      </c>
      <c r="B127" s="501">
        <v>500</v>
      </c>
      <c r="C127" s="566">
        <v>1000</v>
      </c>
      <c r="D127" s="501">
        <v>500</v>
      </c>
      <c r="E127" s="566">
        <v>1000</v>
      </c>
      <c r="F127" s="568" t="s">
        <v>523</v>
      </c>
      <c r="G127" s="929">
        <v>4.7E-7</v>
      </c>
      <c r="H127" s="930" t="s">
        <v>367</v>
      </c>
      <c r="I127" s="901" t="s">
        <v>367</v>
      </c>
      <c r="J127" s="931" t="s">
        <v>367</v>
      </c>
    </row>
    <row r="128" spans="1:10" ht="11.25" customHeight="1">
      <c r="A128" s="458" t="s">
        <v>19</v>
      </c>
      <c r="B128" s="501">
        <v>100</v>
      </c>
      <c r="C128" s="566">
        <v>500</v>
      </c>
      <c r="D128" s="501">
        <v>100</v>
      </c>
      <c r="E128" s="566">
        <v>500</v>
      </c>
      <c r="F128" s="568">
        <v>112670.04402515724</v>
      </c>
      <c r="G128" s="929">
        <v>40.700000000000003</v>
      </c>
      <c r="H128" s="930" t="s">
        <v>367</v>
      </c>
      <c r="I128" s="901" t="s">
        <v>367</v>
      </c>
      <c r="J128" s="931" t="s">
        <v>367</v>
      </c>
    </row>
    <row r="129" spans="1:10" ht="11.25" customHeight="1">
      <c r="A129" s="458" t="s">
        <v>473</v>
      </c>
      <c r="B129" s="501">
        <v>100</v>
      </c>
      <c r="C129" s="566">
        <v>500</v>
      </c>
      <c r="D129" s="501">
        <v>100</v>
      </c>
      <c r="E129" s="566">
        <v>500</v>
      </c>
      <c r="F129" s="568">
        <v>679.56857484276736</v>
      </c>
      <c r="G129" s="929">
        <v>12</v>
      </c>
      <c r="H129" s="930" t="s">
        <v>367</v>
      </c>
      <c r="I129" s="901" t="s">
        <v>367</v>
      </c>
      <c r="J129" s="931" t="s">
        <v>367</v>
      </c>
    </row>
    <row r="130" spans="1:10" ht="11.25" customHeight="1">
      <c r="A130" s="458" t="s">
        <v>474</v>
      </c>
      <c r="B130" s="501">
        <v>500</v>
      </c>
      <c r="C130" s="566">
        <v>1000</v>
      </c>
      <c r="D130" s="501">
        <v>500</v>
      </c>
      <c r="E130" s="566">
        <v>1000</v>
      </c>
      <c r="F130" s="568">
        <v>1903.1173320754715</v>
      </c>
      <c r="G130" s="929">
        <v>4.62</v>
      </c>
      <c r="H130" s="930">
        <v>10470</v>
      </c>
      <c r="I130" s="901">
        <v>1.5</v>
      </c>
      <c r="J130" s="931">
        <v>3.08</v>
      </c>
    </row>
    <row r="131" spans="1:10" ht="11.25" customHeight="1">
      <c r="A131" s="458" t="s">
        <v>475</v>
      </c>
      <c r="B131" s="501">
        <v>166.02402867924528</v>
      </c>
      <c r="C131" s="566">
        <v>166.02402867924528</v>
      </c>
      <c r="D131" s="501">
        <v>500</v>
      </c>
      <c r="E131" s="566">
        <v>1000</v>
      </c>
      <c r="F131" s="568">
        <v>166.02402867924528</v>
      </c>
      <c r="G131" s="929">
        <v>18.5</v>
      </c>
      <c r="H131" s="930">
        <v>31730</v>
      </c>
      <c r="I131" s="901">
        <v>4.68</v>
      </c>
      <c r="J131" s="931">
        <v>3.9529914529914532</v>
      </c>
    </row>
    <row r="132" spans="1:10" ht="11.25" customHeight="1">
      <c r="A132" s="458" t="s">
        <v>115</v>
      </c>
      <c r="B132" s="501">
        <v>500</v>
      </c>
      <c r="C132" s="566">
        <v>1000</v>
      </c>
      <c r="D132" s="501">
        <v>500</v>
      </c>
      <c r="E132" s="566">
        <v>1000</v>
      </c>
      <c r="F132" s="568" t="s">
        <v>523</v>
      </c>
      <c r="G132" s="929">
        <v>6.7000000000000002E-4</v>
      </c>
      <c r="H132" s="930" t="s">
        <v>367</v>
      </c>
      <c r="I132" s="901" t="s">
        <v>367</v>
      </c>
      <c r="J132" s="931" t="s">
        <v>367</v>
      </c>
    </row>
    <row r="133" spans="1:10" ht="11.25" customHeight="1">
      <c r="A133" s="458" t="s">
        <v>116</v>
      </c>
      <c r="B133" s="501">
        <v>500</v>
      </c>
      <c r="C133" s="566">
        <v>1000</v>
      </c>
      <c r="D133" s="501">
        <v>500</v>
      </c>
      <c r="E133" s="566">
        <v>1000</v>
      </c>
      <c r="F133" s="568" t="s">
        <v>523</v>
      </c>
      <c r="G133" s="929">
        <v>3.2999999999999998E-14</v>
      </c>
      <c r="H133" s="930" t="s">
        <v>367</v>
      </c>
      <c r="I133" s="901" t="s">
        <v>367</v>
      </c>
      <c r="J133" s="931" t="s">
        <v>367</v>
      </c>
    </row>
    <row r="134" spans="1:10" ht="11.25" customHeight="1">
      <c r="A134" s="458" t="s">
        <v>476</v>
      </c>
      <c r="B134" s="501">
        <v>1000</v>
      </c>
      <c r="C134" s="566">
        <v>2500</v>
      </c>
      <c r="D134" s="501">
        <v>1000</v>
      </c>
      <c r="E134" s="566">
        <v>2500</v>
      </c>
      <c r="F134" s="568" t="s">
        <v>523</v>
      </c>
      <c r="G134" s="929" t="s">
        <v>367</v>
      </c>
      <c r="H134" s="930" t="s">
        <v>367</v>
      </c>
      <c r="I134" s="901" t="s">
        <v>367</v>
      </c>
      <c r="J134" s="931" t="s">
        <v>367</v>
      </c>
    </row>
    <row r="135" spans="1:10" ht="11.25" customHeight="1">
      <c r="A135" s="458" t="s">
        <v>366</v>
      </c>
      <c r="B135" s="501">
        <v>500</v>
      </c>
      <c r="C135" s="566">
        <v>817.67394716981141</v>
      </c>
      <c r="D135" s="501">
        <v>500</v>
      </c>
      <c r="E135" s="566">
        <v>1000</v>
      </c>
      <c r="F135" s="568">
        <v>817.67394716981141</v>
      </c>
      <c r="G135" s="929">
        <v>28.4</v>
      </c>
      <c r="H135" s="930">
        <v>30000</v>
      </c>
      <c r="I135" s="901">
        <v>8</v>
      </c>
      <c r="J135" s="931">
        <v>3.55</v>
      </c>
    </row>
    <row r="136" spans="1:10" ht="11.25" customHeight="1">
      <c r="A136" s="458" t="s">
        <v>20</v>
      </c>
      <c r="B136" s="501">
        <v>500</v>
      </c>
      <c r="C136" s="566">
        <v>1000</v>
      </c>
      <c r="D136" s="501">
        <v>500</v>
      </c>
      <c r="E136" s="566">
        <v>1000</v>
      </c>
      <c r="F136" s="568" t="s">
        <v>523</v>
      </c>
      <c r="G136" s="929">
        <v>6.7000000000000002E-6</v>
      </c>
      <c r="H136" s="930" t="s">
        <v>367</v>
      </c>
      <c r="I136" s="901" t="s">
        <v>367</v>
      </c>
      <c r="J136" s="931" t="s">
        <v>367</v>
      </c>
    </row>
    <row r="137" spans="1:10" ht="11.25" customHeight="1">
      <c r="A137" s="458" t="s">
        <v>57</v>
      </c>
      <c r="B137" s="501">
        <v>100</v>
      </c>
      <c r="C137" s="566">
        <v>500</v>
      </c>
      <c r="D137" s="501">
        <v>100</v>
      </c>
      <c r="E137" s="566">
        <v>500</v>
      </c>
      <c r="F137" s="568">
        <v>2009.9075471698116</v>
      </c>
      <c r="G137" s="929">
        <v>300</v>
      </c>
      <c r="H137" s="930">
        <v>1100</v>
      </c>
      <c r="I137" s="901">
        <v>0.25</v>
      </c>
      <c r="J137" s="931">
        <v>1200</v>
      </c>
    </row>
    <row r="138" spans="1:10" ht="11.25" customHeight="1">
      <c r="A138" s="458" t="s">
        <v>56</v>
      </c>
      <c r="B138" s="501">
        <v>500</v>
      </c>
      <c r="C138" s="566">
        <v>683.36856603773595</v>
      </c>
      <c r="D138" s="501">
        <v>500</v>
      </c>
      <c r="E138" s="566">
        <v>1000</v>
      </c>
      <c r="F138" s="568">
        <v>683.36856603773595</v>
      </c>
      <c r="G138" s="929">
        <v>1</v>
      </c>
      <c r="H138" s="930">
        <v>5000</v>
      </c>
      <c r="I138" s="901">
        <v>0.7</v>
      </c>
      <c r="J138" s="931">
        <v>1.4285714285714286</v>
      </c>
    </row>
    <row r="139" spans="1:10" ht="11.25" customHeight="1">
      <c r="A139" s="458" t="s">
        <v>777</v>
      </c>
      <c r="B139" s="501">
        <v>500</v>
      </c>
      <c r="C139" s="566">
        <v>2500</v>
      </c>
      <c r="D139" s="501">
        <v>500</v>
      </c>
      <c r="E139" s="566">
        <v>2500</v>
      </c>
      <c r="F139" s="568" t="s">
        <v>523</v>
      </c>
      <c r="G139" s="929" t="s">
        <v>367</v>
      </c>
      <c r="H139" s="930" t="s">
        <v>367</v>
      </c>
      <c r="I139" s="901" t="s">
        <v>367</v>
      </c>
      <c r="J139" s="931" t="s">
        <v>367</v>
      </c>
    </row>
    <row r="140" spans="1:10" ht="11.25" customHeight="1">
      <c r="A140" s="458" t="s">
        <v>814</v>
      </c>
      <c r="B140" s="501">
        <v>500</v>
      </c>
      <c r="C140" s="566">
        <v>1000</v>
      </c>
      <c r="D140" s="501">
        <v>500</v>
      </c>
      <c r="E140" s="566">
        <v>1000</v>
      </c>
      <c r="F140" s="568" t="s">
        <v>523</v>
      </c>
      <c r="G140" s="929">
        <v>0.46</v>
      </c>
      <c r="H140" s="930">
        <v>22000</v>
      </c>
      <c r="I140" s="901">
        <v>2.96</v>
      </c>
      <c r="J140" s="931">
        <v>0.1554054054054054</v>
      </c>
    </row>
    <row r="141" spans="1:10" ht="11.25" customHeight="1">
      <c r="A141" s="458" t="s">
        <v>815</v>
      </c>
      <c r="B141" s="501">
        <v>500</v>
      </c>
      <c r="C141" s="566">
        <v>639.65388301886787</v>
      </c>
      <c r="D141" s="501">
        <v>500</v>
      </c>
      <c r="E141" s="566">
        <v>1000</v>
      </c>
      <c r="F141" s="568">
        <v>639.65388301886787</v>
      </c>
      <c r="G141" s="929">
        <v>124</v>
      </c>
      <c r="H141" s="930">
        <v>65127</v>
      </c>
      <c r="I141" s="901">
        <v>12</v>
      </c>
      <c r="J141" s="931">
        <v>10.333333333333334</v>
      </c>
    </row>
    <row r="142" spans="1:10" ht="11.25" customHeight="1">
      <c r="A142" s="458" t="s">
        <v>477</v>
      </c>
      <c r="B142" s="501">
        <v>100</v>
      </c>
      <c r="C142" s="566">
        <v>500</v>
      </c>
      <c r="D142" s="501">
        <v>100</v>
      </c>
      <c r="E142" s="566">
        <v>500</v>
      </c>
      <c r="F142" s="568">
        <v>2160.2214339622642</v>
      </c>
      <c r="G142" s="929">
        <v>23</v>
      </c>
      <c r="H142" s="930" t="s">
        <v>367</v>
      </c>
      <c r="I142" s="901" t="s">
        <v>367</v>
      </c>
      <c r="J142" s="931" t="s">
        <v>367</v>
      </c>
    </row>
    <row r="143" spans="1:10" ht="11.25" customHeight="1">
      <c r="A143" s="458" t="s">
        <v>478</v>
      </c>
      <c r="B143" s="501">
        <v>500</v>
      </c>
      <c r="C143" s="566">
        <v>691.10178616352209</v>
      </c>
      <c r="D143" s="501">
        <v>500</v>
      </c>
      <c r="E143" s="566">
        <v>2500</v>
      </c>
      <c r="F143" s="568">
        <v>691.10178616352209</v>
      </c>
      <c r="G143" s="929">
        <v>69</v>
      </c>
      <c r="H143" s="930">
        <v>1360000</v>
      </c>
      <c r="I143" s="901">
        <v>249</v>
      </c>
      <c r="J143" s="931">
        <v>0.27710843373493976</v>
      </c>
    </row>
    <row r="144" spans="1:10" ht="11.25" customHeight="1">
      <c r="A144" s="458" t="s">
        <v>479</v>
      </c>
      <c r="B144" s="501">
        <v>100</v>
      </c>
      <c r="C144" s="566">
        <v>500</v>
      </c>
      <c r="D144" s="501">
        <v>100</v>
      </c>
      <c r="E144" s="566">
        <v>500</v>
      </c>
      <c r="F144" s="568" t="s">
        <v>523</v>
      </c>
      <c r="G144" s="929">
        <v>7.4999999999999997E-3</v>
      </c>
      <c r="H144" s="930" t="s">
        <v>367</v>
      </c>
      <c r="I144" s="901" t="s">
        <v>367</v>
      </c>
      <c r="J144" s="931" t="s">
        <v>367</v>
      </c>
    </row>
    <row r="145" spans="1:10" ht="11.25" customHeight="1">
      <c r="A145" s="458" t="s">
        <v>480</v>
      </c>
      <c r="B145" s="501">
        <v>500</v>
      </c>
      <c r="C145" s="566">
        <v>1000</v>
      </c>
      <c r="D145" s="501">
        <v>500</v>
      </c>
      <c r="E145" s="566">
        <v>1000</v>
      </c>
      <c r="F145" s="568" t="s">
        <v>523</v>
      </c>
      <c r="G145" s="929">
        <v>8.0000000000000002E-3</v>
      </c>
      <c r="H145" s="930">
        <v>0.3</v>
      </c>
      <c r="I145" s="901">
        <v>3.6000000000000001E-5</v>
      </c>
      <c r="J145" s="931">
        <v>222.22222222222223</v>
      </c>
    </row>
    <row r="146" spans="1:10" ht="11.25" customHeight="1">
      <c r="A146" s="462" t="s">
        <v>117</v>
      </c>
      <c r="B146" s="501">
        <v>1000</v>
      </c>
      <c r="C146" s="566">
        <v>2500</v>
      </c>
      <c r="D146" s="501">
        <v>1000</v>
      </c>
      <c r="E146" s="566">
        <v>2500</v>
      </c>
      <c r="F146" s="568" t="s">
        <v>523</v>
      </c>
      <c r="G146" s="929">
        <v>3.8000000000000002E-5</v>
      </c>
      <c r="H146" s="930" t="s">
        <v>367</v>
      </c>
      <c r="I146" s="901" t="s">
        <v>367</v>
      </c>
      <c r="J146" s="931" t="s">
        <v>367</v>
      </c>
    </row>
    <row r="147" spans="1:10" ht="11.25" customHeight="1">
      <c r="A147" s="458" t="s">
        <v>118</v>
      </c>
      <c r="B147" s="501">
        <v>500</v>
      </c>
      <c r="C147" s="566">
        <v>1000</v>
      </c>
      <c r="D147" s="501">
        <v>500</v>
      </c>
      <c r="E147" s="566">
        <v>1000</v>
      </c>
      <c r="F147" s="568" t="s">
        <v>523</v>
      </c>
      <c r="G147" s="929">
        <v>1.0000000000000001E-5</v>
      </c>
      <c r="H147" s="930" t="s">
        <v>367</v>
      </c>
      <c r="I147" s="901" t="s">
        <v>367</v>
      </c>
      <c r="J147" s="931" t="s">
        <v>367</v>
      </c>
    </row>
    <row r="148" spans="1:10" ht="11.25" customHeight="1">
      <c r="A148" s="458" t="s">
        <v>119</v>
      </c>
      <c r="B148" s="501">
        <v>100</v>
      </c>
      <c r="C148" s="566">
        <v>500</v>
      </c>
      <c r="D148" s="501">
        <v>100</v>
      </c>
      <c r="E148" s="566">
        <v>500</v>
      </c>
      <c r="F148" s="568">
        <v>1395.5380503144659</v>
      </c>
      <c r="G148" s="929">
        <v>3.69</v>
      </c>
      <c r="H148" s="930" t="s">
        <v>367</v>
      </c>
      <c r="I148" s="901" t="s">
        <v>367</v>
      </c>
      <c r="J148" s="931" t="s">
        <v>367</v>
      </c>
    </row>
    <row r="149" spans="1:10" ht="11.25" customHeight="1">
      <c r="A149" s="458" t="s">
        <v>120</v>
      </c>
      <c r="B149" s="501">
        <v>100</v>
      </c>
      <c r="C149" s="566">
        <v>311.17425056603776</v>
      </c>
      <c r="D149" s="501">
        <v>100</v>
      </c>
      <c r="E149" s="566">
        <v>500</v>
      </c>
      <c r="F149" s="568">
        <v>311.17425056603776</v>
      </c>
      <c r="G149" s="929">
        <v>4.4000000000000004</v>
      </c>
      <c r="H149" s="930" t="s">
        <v>367</v>
      </c>
      <c r="I149" s="901" t="s">
        <v>367</v>
      </c>
      <c r="J149" s="931" t="s">
        <v>367</v>
      </c>
    </row>
    <row r="150" spans="1:10" ht="11.25" customHeight="1">
      <c r="A150" s="458" t="s">
        <v>602</v>
      </c>
      <c r="B150" s="501">
        <v>100</v>
      </c>
      <c r="C150" s="566">
        <v>500</v>
      </c>
      <c r="D150" s="501">
        <v>100</v>
      </c>
      <c r="E150" s="566">
        <v>500</v>
      </c>
      <c r="F150" s="568" t="s">
        <v>523</v>
      </c>
      <c r="G150" s="929">
        <v>4.6E-5</v>
      </c>
      <c r="H150" s="930" t="s">
        <v>367</v>
      </c>
      <c r="I150" s="901" t="s">
        <v>367</v>
      </c>
      <c r="J150" s="931" t="s">
        <v>367</v>
      </c>
    </row>
    <row r="151" spans="1:10" ht="11.25" customHeight="1">
      <c r="A151" s="458" t="s">
        <v>939</v>
      </c>
      <c r="B151" s="501">
        <v>500</v>
      </c>
      <c r="C151" s="566">
        <v>1000</v>
      </c>
      <c r="D151" s="501">
        <v>500</v>
      </c>
      <c r="E151" s="566">
        <v>1000</v>
      </c>
      <c r="F151" s="568" t="s">
        <v>523</v>
      </c>
      <c r="G151" s="929">
        <v>6.3999999999999997E-6</v>
      </c>
      <c r="H151" s="930" t="s">
        <v>367</v>
      </c>
      <c r="I151" s="901" t="s">
        <v>367</v>
      </c>
      <c r="J151" s="931" t="s">
        <v>367</v>
      </c>
    </row>
    <row r="152" spans="1:10" ht="11.25" customHeight="1">
      <c r="A152" s="458" t="s">
        <v>603</v>
      </c>
      <c r="B152" s="501">
        <v>500</v>
      </c>
      <c r="C152" s="566">
        <v>1000</v>
      </c>
      <c r="D152" s="501">
        <v>500</v>
      </c>
      <c r="E152" s="566">
        <v>1000</v>
      </c>
      <c r="F152" s="568" t="s">
        <v>523</v>
      </c>
      <c r="G152" s="929">
        <v>5.7000000000000001E-8</v>
      </c>
      <c r="H152" s="930" t="s">
        <v>367</v>
      </c>
      <c r="I152" s="901" t="s">
        <v>367</v>
      </c>
      <c r="J152" s="931" t="s">
        <v>367</v>
      </c>
    </row>
    <row r="153" spans="1:10" ht="11.25" customHeight="1">
      <c r="A153" s="458" t="s">
        <v>605</v>
      </c>
      <c r="B153" s="501">
        <v>500</v>
      </c>
      <c r="C153" s="566">
        <v>1000</v>
      </c>
      <c r="D153" s="501">
        <v>500</v>
      </c>
      <c r="E153" s="566">
        <v>1000</v>
      </c>
      <c r="F153" s="568" t="s">
        <v>523</v>
      </c>
      <c r="G153" s="929">
        <v>7.9999999999999996E-6</v>
      </c>
      <c r="H153" s="930" t="s">
        <v>367</v>
      </c>
      <c r="I153" s="901" t="s">
        <v>367</v>
      </c>
      <c r="J153" s="931" t="s">
        <v>367</v>
      </c>
    </row>
    <row r="154" spans="1:10" ht="11.25" customHeight="1">
      <c r="A154" s="458" t="s">
        <v>481</v>
      </c>
      <c r="B154" s="501">
        <v>1000</v>
      </c>
      <c r="C154" s="566">
        <v>2500</v>
      </c>
      <c r="D154" s="501">
        <v>1000</v>
      </c>
      <c r="E154" s="566">
        <v>2500</v>
      </c>
      <c r="F154" s="568" t="s">
        <v>523</v>
      </c>
      <c r="G154" s="929" t="s">
        <v>367</v>
      </c>
      <c r="H154" s="930" t="s">
        <v>367</v>
      </c>
      <c r="I154" s="901" t="s">
        <v>367</v>
      </c>
      <c r="J154" s="931" t="s">
        <v>367</v>
      </c>
    </row>
    <row r="155" spans="1:10" ht="11.25" customHeight="1">
      <c r="A155" s="458" t="s">
        <v>482</v>
      </c>
      <c r="B155" s="501">
        <v>500</v>
      </c>
      <c r="C155" s="566">
        <v>1000</v>
      </c>
      <c r="D155" s="501">
        <v>500</v>
      </c>
      <c r="E155" s="566">
        <v>1000</v>
      </c>
      <c r="F155" s="568">
        <v>3859.8471446540889</v>
      </c>
      <c r="G155" s="929">
        <v>2980</v>
      </c>
      <c r="H155" s="930">
        <v>771244</v>
      </c>
      <c r="I155" s="901">
        <v>294</v>
      </c>
      <c r="J155" s="931">
        <v>10.136054421768707</v>
      </c>
    </row>
    <row r="156" spans="1:10" ht="11.25" customHeight="1">
      <c r="A156" s="458" t="s">
        <v>483</v>
      </c>
      <c r="B156" s="501">
        <v>259.54240000000004</v>
      </c>
      <c r="C156" s="566">
        <v>259.54240000000004</v>
      </c>
      <c r="D156" s="501">
        <v>500</v>
      </c>
      <c r="E156" s="566">
        <v>1000</v>
      </c>
      <c r="F156" s="568">
        <v>259.54240000000004</v>
      </c>
      <c r="G156" s="929">
        <v>8</v>
      </c>
      <c r="H156" s="930">
        <v>441</v>
      </c>
      <c r="I156" s="901">
        <v>0.1</v>
      </c>
      <c r="J156" s="931">
        <v>80</v>
      </c>
    </row>
    <row r="157" spans="1:10" ht="11.25" customHeight="1" thickBot="1">
      <c r="A157" s="466" t="s">
        <v>484</v>
      </c>
      <c r="B157" s="501">
        <v>1000</v>
      </c>
      <c r="C157" s="566">
        <v>2500</v>
      </c>
      <c r="D157" s="627">
        <v>1000</v>
      </c>
      <c r="E157" s="576">
        <v>2500</v>
      </c>
      <c r="F157" s="568" t="s">
        <v>523</v>
      </c>
      <c r="G157" s="932" t="s">
        <v>367</v>
      </c>
      <c r="H157" s="933" t="s">
        <v>367</v>
      </c>
      <c r="I157" s="904" t="s">
        <v>367</v>
      </c>
      <c r="J157" s="931" t="s">
        <v>367</v>
      </c>
    </row>
    <row r="158" spans="1:10" ht="11.25" customHeight="1" thickTop="1">
      <c r="A158" s="470"/>
      <c r="B158" s="472"/>
      <c r="C158" s="472"/>
      <c r="D158" s="472"/>
      <c r="E158" s="472"/>
      <c r="F158" s="628"/>
      <c r="G158" s="934"/>
      <c r="H158" s="935"/>
      <c r="I158" s="934"/>
      <c r="J158" s="936"/>
    </row>
    <row r="159" spans="1:10" ht="11.25" customHeight="1">
      <c r="A159" s="474" t="s">
        <v>488</v>
      </c>
      <c r="C159" s="595"/>
      <c r="J159" s="937"/>
    </row>
    <row r="160" spans="1:10" ht="11.25" customHeight="1">
      <c r="A160" s="479" t="s">
        <v>182</v>
      </c>
      <c r="B160" s="595"/>
      <c r="C160" s="595"/>
      <c r="J160" s="937"/>
    </row>
    <row r="161" spans="1:10" ht="11.25" customHeight="1">
      <c r="A161" s="4" t="s">
        <v>915</v>
      </c>
      <c r="J161" s="937"/>
    </row>
    <row r="162" spans="1:10" ht="11.25" customHeight="1">
      <c r="A162" s="479" t="s">
        <v>254</v>
      </c>
      <c r="B162" s="595"/>
      <c r="C162" s="595"/>
      <c r="J162" s="937"/>
    </row>
    <row r="163" spans="1:10" ht="11.25" customHeight="1">
      <c r="A163" s="474"/>
      <c r="B163" s="595"/>
      <c r="C163" s="595"/>
      <c r="J163" s="937"/>
    </row>
    <row r="164" spans="1:10" ht="11.25" customHeight="1">
      <c r="A164" s="479" t="s">
        <v>379</v>
      </c>
      <c r="J164" s="937"/>
    </row>
    <row r="165" spans="1:10" ht="11.25" customHeight="1">
      <c r="A165" s="479" t="s">
        <v>383</v>
      </c>
      <c r="D165" s="481"/>
      <c r="E165" s="481"/>
      <c r="F165" s="3"/>
      <c r="G165" s="1"/>
      <c r="H165" s="1"/>
      <c r="I165" s="1"/>
      <c r="J165" s="480"/>
    </row>
    <row r="166" spans="1:10" ht="11.25" customHeight="1">
      <c r="A166" s="479" t="s">
        <v>1048</v>
      </c>
      <c r="D166" s="481"/>
      <c r="E166" s="481"/>
      <c r="F166" s="3"/>
      <c r="G166" s="1"/>
      <c r="H166" s="1"/>
      <c r="I166" s="1"/>
      <c r="J166" s="480"/>
    </row>
    <row r="167" spans="1:10" ht="11.25" customHeight="1">
      <c r="A167" s="479" t="s">
        <v>817</v>
      </c>
      <c r="D167" s="481"/>
      <c r="E167" s="481"/>
      <c r="F167" s="3"/>
      <c r="G167" s="1"/>
      <c r="H167" s="1"/>
      <c r="I167" s="1"/>
      <c r="J167" s="480"/>
    </row>
    <row r="168" spans="1:10" ht="11.25" customHeight="1">
      <c r="A168" s="479" t="s">
        <v>778</v>
      </c>
      <c r="J168" s="937"/>
    </row>
    <row r="169" spans="1:10" ht="11.25" customHeight="1">
      <c r="A169" s="479" t="s">
        <v>820</v>
      </c>
      <c r="J169" s="937"/>
    </row>
    <row r="170" spans="1:10" ht="11.25" customHeight="1">
      <c r="A170" s="479" t="s">
        <v>1081</v>
      </c>
      <c r="J170" s="937"/>
    </row>
    <row r="171" spans="1:10" ht="11.25" customHeight="1">
      <c r="A171" s="479" t="s">
        <v>762</v>
      </c>
      <c r="J171" s="937"/>
    </row>
    <row r="172" spans="1:10" ht="11.25" customHeight="1">
      <c r="A172" s="479" t="s">
        <v>1150</v>
      </c>
      <c r="B172" s="183"/>
      <c r="C172" s="183"/>
      <c r="D172" s="183"/>
      <c r="E172" s="183"/>
      <c r="F172" s="183"/>
      <c r="G172" s="183"/>
      <c r="H172" s="183"/>
      <c r="I172" s="183"/>
      <c r="J172" s="478"/>
    </row>
    <row r="173" spans="1:10" ht="11.25" customHeight="1">
      <c r="A173" s="474" t="s">
        <v>1151</v>
      </c>
      <c r="B173" s="595"/>
      <c r="C173" s="595"/>
      <c r="J173" s="937"/>
    </row>
    <row r="174" spans="1:10" ht="11.25" customHeight="1">
      <c r="A174" s="479" t="s">
        <v>71</v>
      </c>
      <c r="J174" s="937"/>
    </row>
    <row r="175" spans="1:10" ht="11.25" customHeight="1">
      <c r="A175" s="479" t="s">
        <v>950</v>
      </c>
      <c r="J175" s="937"/>
    </row>
    <row r="176" spans="1:10" ht="11.25" customHeight="1">
      <c r="A176" s="479" t="s">
        <v>951</v>
      </c>
      <c r="J176" s="937"/>
    </row>
    <row r="177" spans="1:10" ht="11.25" customHeight="1">
      <c r="A177" s="479" t="s">
        <v>26</v>
      </c>
      <c r="J177" s="937"/>
    </row>
    <row r="178" spans="1:10" ht="11.25" customHeight="1">
      <c r="A178" s="479" t="s">
        <v>27</v>
      </c>
      <c r="J178" s="937"/>
    </row>
    <row r="179" spans="1:10" ht="11.25" customHeight="1" thickBot="1">
      <c r="A179" s="706" t="s">
        <v>763</v>
      </c>
      <c r="B179" s="663"/>
      <c r="C179" s="663"/>
      <c r="D179" s="663"/>
      <c r="E179" s="663"/>
      <c r="F179" s="938"/>
      <c r="G179" s="939"/>
      <c r="H179" s="939"/>
      <c r="I179" s="939"/>
      <c r="J179" s="940"/>
    </row>
    <row r="180" spans="1:10" ht="10.5" thickTop="1"/>
  </sheetData>
  <sheetProtection algorithmName="SHA-512" hashValue="s1jX2I/vcRR+m/ekS6DlRFPhCIJonRrfrucJ96iIea2P1PC9sed4NiO2ILXXIUB6IOsp3blWX1ZINpWX93iMPw==" saltValue="NeVyszmogqgW1szyKhX5OQ==" spinCount="100000" sheet="1" objects="1" scenarios="1"/>
  <mergeCells count="1">
    <mergeCell ref="A1:J1"/>
  </mergeCells>
  <phoneticPr fontId="0" type="noConversion"/>
  <printOptions horizontalCentered="1"/>
  <pageMargins left="0.17" right="0.16" top="0.53" bottom="1" header="0.5" footer="0.5"/>
  <pageSetup scale="79" fitToHeight="4" orientation="landscape" r:id="rId1"/>
  <headerFooter alignWithMargins="0">
    <oddFooter>&amp;LHawai'i DOH
Spring 2024&amp;C&amp;8Page &amp;P of &amp;N&amp;R&amp;A</oddFooter>
  </headerFooter>
  <rowBreaks count="1" manualBreakCount="1">
    <brk id="155"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29"/>
    <pageSetUpPr fitToPage="1"/>
  </sheetPr>
  <dimension ref="A1:L183"/>
  <sheetViews>
    <sheetView zoomScale="80" zoomScaleNormal="80" workbookViewId="0">
      <pane ySplit="2160" topLeftCell="A4" activePane="bottomLeft"/>
      <selection activeCell="B7" sqref="B7"/>
      <selection pane="bottomLeft" activeCell="A4" sqref="A4"/>
    </sheetView>
  </sheetViews>
  <sheetFormatPr defaultColWidth="9.1328125" defaultRowHeight="12.75"/>
  <cols>
    <col min="1" max="1" width="40.73046875" style="1" customWidth="1"/>
    <col min="2" max="3" width="15.1328125" style="481" customWidth="1"/>
    <col min="4" max="5" width="12.59765625" style="475" customWidth="1"/>
    <col min="6" max="6" width="12.59765625" style="518" customWidth="1"/>
    <col min="7" max="8" width="14.59765625" style="606" customWidth="1"/>
    <col min="9" max="9" width="12.59765625" style="606" customWidth="1"/>
    <col min="10" max="10" width="12.73046875" style="615" customWidth="1"/>
    <col min="11" max="12" width="9.1328125" style="2"/>
    <col min="13" max="16384" width="9.1328125" style="1"/>
  </cols>
  <sheetData>
    <row r="1" spans="1:10" s="510" customFormat="1" ht="31.9">
      <c r="A1" s="751" t="s">
        <v>184</v>
      </c>
      <c r="B1" s="752"/>
      <c r="C1" s="752"/>
      <c r="D1" s="530"/>
      <c r="E1" s="530"/>
      <c r="F1" s="531"/>
      <c r="G1" s="694"/>
      <c r="H1" s="694"/>
      <c r="I1" s="694"/>
      <c r="J1" s="923"/>
    </row>
    <row r="2" spans="1:10" s="510" customFormat="1" ht="15.95" customHeight="1" thickBot="1">
      <c r="A2" s="941"/>
      <c r="B2" s="530"/>
      <c r="C2" s="530"/>
      <c r="D2" s="530"/>
      <c r="E2" s="530"/>
      <c r="F2" s="531"/>
      <c r="G2" s="694"/>
      <c r="H2" s="694"/>
      <c r="I2" s="694"/>
      <c r="J2" s="923"/>
    </row>
    <row r="3" spans="1:10" s="510" customFormat="1" ht="72" customHeight="1" thickTop="1" thickBot="1">
      <c r="A3" s="727" t="s">
        <v>613</v>
      </c>
      <c r="B3" s="486" t="s">
        <v>918</v>
      </c>
      <c r="C3" s="924" t="s">
        <v>919</v>
      </c>
      <c r="D3" s="486" t="s">
        <v>920</v>
      </c>
      <c r="E3" s="924" t="s">
        <v>680</v>
      </c>
      <c r="F3" s="925" t="s">
        <v>5</v>
      </c>
      <c r="G3" s="926" t="s">
        <v>856</v>
      </c>
      <c r="H3" s="927" t="s">
        <v>857</v>
      </c>
      <c r="I3" s="927" t="s">
        <v>6</v>
      </c>
      <c r="J3" s="928" t="s">
        <v>7</v>
      </c>
    </row>
    <row r="4" spans="1:10" s="510" customFormat="1" ht="10.15">
      <c r="A4" s="454" t="s">
        <v>548</v>
      </c>
      <c r="B4" s="853">
        <v>2500</v>
      </c>
      <c r="C4" s="853">
        <v>5000</v>
      </c>
      <c r="D4" s="855">
        <v>2500</v>
      </c>
      <c r="E4" s="600">
        <v>5000</v>
      </c>
      <c r="F4" s="568" t="s">
        <v>523</v>
      </c>
      <c r="G4" s="929">
        <v>2.2000000000000001E-3</v>
      </c>
      <c r="H4" s="930">
        <v>513</v>
      </c>
      <c r="I4" s="901">
        <v>0.08</v>
      </c>
      <c r="J4" s="931">
        <v>2.75E-2</v>
      </c>
    </row>
    <row r="5" spans="1:10" s="510" customFormat="1" ht="10.15">
      <c r="A5" s="458" t="s">
        <v>549</v>
      </c>
      <c r="B5" s="853">
        <v>1000</v>
      </c>
      <c r="C5" s="853">
        <v>2500</v>
      </c>
      <c r="D5" s="501">
        <v>1000</v>
      </c>
      <c r="E5" s="600">
        <v>2500</v>
      </c>
      <c r="F5" s="568" t="s">
        <v>523</v>
      </c>
      <c r="G5" s="929">
        <v>9.1200000000000005E-4</v>
      </c>
      <c r="H5" s="930" t="s">
        <v>367</v>
      </c>
      <c r="I5" s="901" t="s">
        <v>367</v>
      </c>
      <c r="J5" s="931" t="s">
        <v>367</v>
      </c>
    </row>
    <row r="6" spans="1:10" s="510" customFormat="1" ht="10.15">
      <c r="A6" s="458" t="s">
        <v>550</v>
      </c>
      <c r="B6" s="853">
        <v>1000</v>
      </c>
      <c r="C6" s="853">
        <v>2500</v>
      </c>
      <c r="D6" s="501">
        <v>1000</v>
      </c>
      <c r="E6" s="600">
        <v>2500</v>
      </c>
      <c r="F6" s="568">
        <v>114665.0314465409</v>
      </c>
      <c r="G6" s="929">
        <v>231.5</v>
      </c>
      <c r="H6" s="930">
        <v>30862</v>
      </c>
      <c r="I6" s="901">
        <v>13</v>
      </c>
      <c r="J6" s="931">
        <v>17.807692307692307</v>
      </c>
    </row>
    <row r="7" spans="1:10" s="510" customFormat="1" ht="10.15">
      <c r="A7" s="458" t="s">
        <v>551</v>
      </c>
      <c r="B7" s="853">
        <v>2500</v>
      </c>
      <c r="C7" s="853">
        <v>5000</v>
      </c>
      <c r="D7" s="501">
        <v>2500</v>
      </c>
      <c r="E7" s="600">
        <v>5000</v>
      </c>
      <c r="F7" s="568" t="s">
        <v>523</v>
      </c>
      <c r="G7" s="929">
        <v>1.2E-4</v>
      </c>
      <c r="H7" s="930">
        <v>263</v>
      </c>
      <c r="I7" s="901">
        <v>1.7000000000000001E-2</v>
      </c>
      <c r="J7" s="931">
        <v>7.0588235294117641E-3</v>
      </c>
    </row>
    <row r="8" spans="1:10" s="510" customFormat="1" ht="10.15">
      <c r="A8" s="458" t="s">
        <v>161</v>
      </c>
      <c r="B8" s="853">
        <v>1000</v>
      </c>
      <c r="C8" s="853">
        <v>2500</v>
      </c>
      <c r="D8" s="501">
        <v>1000</v>
      </c>
      <c r="E8" s="600">
        <v>2500</v>
      </c>
      <c r="F8" s="568" t="s">
        <v>523</v>
      </c>
      <c r="G8" s="929">
        <v>2.7E-6</v>
      </c>
      <c r="H8" s="930" t="s">
        <v>367</v>
      </c>
      <c r="I8" s="901" t="s">
        <v>367</v>
      </c>
      <c r="J8" s="931" t="s">
        <v>367</v>
      </c>
    </row>
    <row r="9" spans="1:10" s="510" customFormat="1" ht="10.15">
      <c r="A9" s="458" t="s">
        <v>162</v>
      </c>
      <c r="B9" s="853">
        <v>1000</v>
      </c>
      <c r="C9" s="853">
        <v>2500</v>
      </c>
      <c r="D9" s="501">
        <v>1000</v>
      </c>
      <c r="E9" s="600">
        <v>2500</v>
      </c>
      <c r="F9" s="568" t="s">
        <v>523</v>
      </c>
      <c r="G9" s="929">
        <v>1.1E-5</v>
      </c>
      <c r="H9" s="930" t="s">
        <v>367</v>
      </c>
      <c r="I9" s="901" t="s">
        <v>367</v>
      </c>
      <c r="J9" s="931" t="s">
        <v>367</v>
      </c>
    </row>
    <row r="10" spans="1:10" s="510" customFormat="1" ht="10.15">
      <c r="A10" s="458" t="s">
        <v>94</v>
      </c>
      <c r="B10" s="853">
        <v>1000</v>
      </c>
      <c r="C10" s="853">
        <v>2500</v>
      </c>
      <c r="D10" s="501">
        <v>1000</v>
      </c>
      <c r="E10" s="600">
        <v>2500</v>
      </c>
      <c r="F10" s="568" t="s">
        <v>523</v>
      </c>
      <c r="G10" s="929">
        <v>1.1E-5</v>
      </c>
      <c r="H10" s="930" t="s">
        <v>367</v>
      </c>
      <c r="I10" s="901" t="s">
        <v>367</v>
      </c>
      <c r="J10" s="931" t="s">
        <v>367</v>
      </c>
    </row>
    <row r="11" spans="1:10" s="510" customFormat="1" ht="10.15">
      <c r="A11" s="458" t="s">
        <v>552</v>
      </c>
      <c r="B11" s="853">
        <v>1000</v>
      </c>
      <c r="C11" s="853">
        <v>2500</v>
      </c>
      <c r="D11" s="501">
        <v>1000</v>
      </c>
      <c r="E11" s="600">
        <v>2500</v>
      </c>
      <c r="F11" s="568" t="s">
        <v>523</v>
      </c>
      <c r="G11" s="929">
        <v>6.4999999999999996E-6</v>
      </c>
      <c r="H11" s="930" t="s">
        <v>367</v>
      </c>
      <c r="I11" s="901" t="s">
        <v>367</v>
      </c>
      <c r="J11" s="931" t="s">
        <v>367</v>
      </c>
    </row>
    <row r="12" spans="1:10" s="510" customFormat="1" ht="10.15">
      <c r="A12" s="458" t="s">
        <v>553</v>
      </c>
      <c r="B12" s="853">
        <v>2500</v>
      </c>
      <c r="C12" s="853">
        <v>5000</v>
      </c>
      <c r="D12" s="501">
        <v>2500</v>
      </c>
      <c r="E12" s="600">
        <v>5000</v>
      </c>
      <c r="F12" s="568" t="s">
        <v>523</v>
      </c>
      <c r="G12" s="929" t="s">
        <v>367</v>
      </c>
      <c r="H12" s="930" t="s">
        <v>367</v>
      </c>
      <c r="I12" s="901" t="s">
        <v>367</v>
      </c>
      <c r="J12" s="931" t="s">
        <v>367</v>
      </c>
    </row>
    <row r="13" spans="1:10" s="510" customFormat="1" ht="10.15">
      <c r="A13" s="458" t="s">
        <v>686</v>
      </c>
      <c r="B13" s="853">
        <v>2500</v>
      </c>
      <c r="C13" s="853">
        <v>5000</v>
      </c>
      <c r="D13" s="501">
        <v>2500</v>
      </c>
      <c r="E13" s="600">
        <v>5000</v>
      </c>
      <c r="F13" s="568" t="s">
        <v>523</v>
      </c>
      <c r="G13" s="929" t="s">
        <v>367</v>
      </c>
      <c r="H13" s="930" t="s">
        <v>367</v>
      </c>
      <c r="I13" s="901" t="s">
        <v>367</v>
      </c>
      <c r="J13" s="931" t="s">
        <v>367</v>
      </c>
    </row>
    <row r="14" spans="1:10" s="510" customFormat="1" ht="10.15">
      <c r="A14" s="458" t="s">
        <v>95</v>
      </c>
      <c r="B14" s="853">
        <v>1000</v>
      </c>
      <c r="C14" s="853">
        <v>2500</v>
      </c>
      <c r="D14" s="501">
        <v>1000</v>
      </c>
      <c r="E14" s="600">
        <v>2500</v>
      </c>
      <c r="F14" s="568" t="s">
        <v>523</v>
      </c>
      <c r="G14" s="929">
        <v>2.8999999999999998E-7</v>
      </c>
      <c r="H14" s="930" t="s">
        <v>367</v>
      </c>
      <c r="I14" s="901" t="s">
        <v>367</v>
      </c>
      <c r="J14" s="931" t="s">
        <v>367</v>
      </c>
    </row>
    <row r="15" spans="1:10" s="510" customFormat="1" ht="10.15">
      <c r="A15" s="458" t="s">
        <v>687</v>
      </c>
      <c r="B15" s="853">
        <v>2500</v>
      </c>
      <c r="C15" s="853">
        <v>5000</v>
      </c>
      <c r="D15" s="501">
        <v>2500</v>
      </c>
      <c r="E15" s="600">
        <v>5000</v>
      </c>
      <c r="F15" s="568" t="s">
        <v>523</v>
      </c>
      <c r="G15" s="929" t="s">
        <v>367</v>
      </c>
      <c r="H15" s="930" t="s">
        <v>367</v>
      </c>
      <c r="I15" s="901" t="s">
        <v>367</v>
      </c>
      <c r="J15" s="931" t="s">
        <v>367</v>
      </c>
    </row>
    <row r="16" spans="1:10" s="510" customFormat="1" ht="10.15">
      <c r="A16" s="458" t="s">
        <v>1156</v>
      </c>
      <c r="B16" s="853">
        <v>2500</v>
      </c>
      <c r="C16" s="853">
        <v>5000</v>
      </c>
      <c r="D16" s="501">
        <v>2500</v>
      </c>
      <c r="E16" s="600">
        <v>5000</v>
      </c>
      <c r="F16" s="568" t="s">
        <v>523</v>
      </c>
      <c r="G16" s="929">
        <v>3.7E-9</v>
      </c>
      <c r="H16" s="930" t="s">
        <v>367</v>
      </c>
      <c r="I16" s="901" t="s">
        <v>367</v>
      </c>
      <c r="J16" s="931" t="s">
        <v>367</v>
      </c>
    </row>
    <row r="17" spans="1:10" s="510" customFormat="1" ht="10.15">
      <c r="A17" s="458" t="s">
        <v>688</v>
      </c>
      <c r="B17" s="853">
        <v>1000</v>
      </c>
      <c r="C17" s="853">
        <v>1867.9381761006287</v>
      </c>
      <c r="D17" s="501">
        <v>1000</v>
      </c>
      <c r="E17" s="600">
        <v>2500</v>
      </c>
      <c r="F17" s="568">
        <v>1867.9381761006287</v>
      </c>
      <c r="G17" s="929">
        <v>94.8</v>
      </c>
      <c r="H17" s="930">
        <v>4890</v>
      </c>
      <c r="I17" s="901">
        <v>1.5</v>
      </c>
      <c r="J17" s="931">
        <v>63.199999999999996</v>
      </c>
    </row>
    <row r="18" spans="1:10" s="510" customFormat="1" ht="10.15">
      <c r="A18" s="458" t="s">
        <v>689</v>
      </c>
      <c r="B18" s="853">
        <v>1000</v>
      </c>
      <c r="C18" s="853">
        <v>2500</v>
      </c>
      <c r="D18" s="501">
        <v>1000</v>
      </c>
      <c r="E18" s="600">
        <v>2500</v>
      </c>
      <c r="F18" s="568" t="s">
        <v>523</v>
      </c>
      <c r="G18" s="929">
        <v>2.1E-7</v>
      </c>
      <c r="H18" s="930" t="s">
        <v>367</v>
      </c>
      <c r="I18" s="901" t="s">
        <v>367</v>
      </c>
      <c r="J18" s="931" t="s">
        <v>367</v>
      </c>
    </row>
    <row r="19" spans="1:10" s="510" customFormat="1" ht="10.15">
      <c r="A19" s="458" t="s">
        <v>690</v>
      </c>
      <c r="B19" s="853">
        <v>1000</v>
      </c>
      <c r="C19" s="853">
        <v>2500</v>
      </c>
      <c r="D19" s="501">
        <v>1000</v>
      </c>
      <c r="E19" s="600">
        <v>2500</v>
      </c>
      <c r="F19" s="568" t="s">
        <v>523</v>
      </c>
      <c r="G19" s="929">
        <v>5.4999999999999996E-9</v>
      </c>
      <c r="H19" s="930" t="s">
        <v>367</v>
      </c>
      <c r="I19" s="901" t="s">
        <v>367</v>
      </c>
      <c r="J19" s="931" t="s">
        <v>367</v>
      </c>
    </row>
    <row r="20" spans="1:10" s="510" customFormat="1" ht="10.15">
      <c r="A20" s="458" t="s">
        <v>691</v>
      </c>
      <c r="B20" s="853">
        <v>1000</v>
      </c>
      <c r="C20" s="853">
        <v>2500</v>
      </c>
      <c r="D20" s="501">
        <v>1000</v>
      </c>
      <c r="E20" s="600">
        <v>2500</v>
      </c>
      <c r="F20" s="568" t="s">
        <v>523</v>
      </c>
      <c r="G20" s="929">
        <v>4.9999999999999998E-7</v>
      </c>
      <c r="H20" s="930" t="s">
        <v>367</v>
      </c>
      <c r="I20" s="901" t="s">
        <v>367</v>
      </c>
      <c r="J20" s="931" t="s">
        <v>367</v>
      </c>
    </row>
    <row r="21" spans="1:10" s="510" customFormat="1" ht="10.15">
      <c r="A21" s="458" t="s">
        <v>692</v>
      </c>
      <c r="B21" s="853">
        <v>1000</v>
      </c>
      <c r="C21" s="853">
        <v>2500</v>
      </c>
      <c r="D21" s="501">
        <v>1000</v>
      </c>
      <c r="E21" s="600">
        <v>2500</v>
      </c>
      <c r="F21" s="568" t="s">
        <v>523</v>
      </c>
      <c r="G21" s="929">
        <v>1E-10</v>
      </c>
      <c r="H21" s="930" t="s">
        <v>367</v>
      </c>
      <c r="I21" s="901" t="s">
        <v>367</v>
      </c>
      <c r="J21" s="931" t="s">
        <v>367</v>
      </c>
    </row>
    <row r="22" spans="1:10" s="510" customFormat="1" ht="10.15">
      <c r="A22" s="458" t="s">
        <v>693</v>
      </c>
      <c r="B22" s="853">
        <v>1000</v>
      </c>
      <c r="C22" s="853">
        <v>2500</v>
      </c>
      <c r="D22" s="501">
        <v>1000</v>
      </c>
      <c r="E22" s="600">
        <v>2500</v>
      </c>
      <c r="F22" s="568" t="s">
        <v>523</v>
      </c>
      <c r="G22" s="929">
        <v>9.6999999999999996E-10</v>
      </c>
      <c r="H22" s="930" t="s">
        <v>367</v>
      </c>
      <c r="I22" s="901" t="s">
        <v>367</v>
      </c>
      <c r="J22" s="931" t="s">
        <v>367</v>
      </c>
    </row>
    <row r="23" spans="1:10" s="510" customFormat="1" ht="10.15">
      <c r="A23" s="458" t="s">
        <v>126</v>
      </c>
      <c r="B23" s="853">
        <v>2500</v>
      </c>
      <c r="C23" s="853">
        <v>5000</v>
      </c>
      <c r="D23" s="501">
        <v>2500</v>
      </c>
      <c r="E23" s="600">
        <v>5000</v>
      </c>
      <c r="F23" s="568" t="s">
        <v>523</v>
      </c>
      <c r="G23" s="929" t="s">
        <v>367</v>
      </c>
      <c r="H23" s="930" t="s">
        <v>367</v>
      </c>
      <c r="I23" s="901" t="s">
        <v>367</v>
      </c>
      <c r="J23" s="931" t="s">
        <v>367</v>
      </c>
    </row>
    <row r="24" spans="1:10" s="510" customFormat="1" ht="10.15">
      <c r="A24" s="458" t="s">
        <v>233</v>
      </c>
      <c r="B24" s="853">
        <v>1000</v>
      </c>
      <c r="C24" s="853">
        <v>2500</v>
      </c>
      <c r="D24" s="501">
        <v>1000</v>
      </c>
      <c r="E24" s="600">
        <v>2500</v>
      </c>
      <c r="F24" s="568" t="s">
        <v>523</v>
      </c>
      <c r="G24" s="929">
        <v>8.8999999999999999E-3</v>
      </c>
      <c r="H24" s="930">
        <v>60</v>
      </c>
      <c r="I24" s="901">
        <v>9.4999999999999998E-3</v>
      </c>
      <c r="J24" s="931">
        <v>0.93684210526315792</v>
      </c>
    </row>
    <row r="25" spans="1:10" s="510" customFormat="1" ht="10.15">
      <c r="A25" s="458" t="s">
        <v>127</v>
      </c>
      <c r="B25" s="853">
        <v>1000</v>
      </c>
      <c r="C25" s="853">
        <v>2500</v>
      </c>
      <c r="D25" s="501">
        <v>1000</v>
      </c>
      <c r="E25" s="600">
        <v>2500</v>
      </c>
      <c r="F25" s="568">
        <v>5046.3512704402519</v>
      </c>
      <c r="G25" s="929">
        <v>1.55</v>
      </c>
      <c r="H25" s="930">
        <v>287</v>
      </c>
      <c r="I25" s="901" t="s">
        <v>437</v>
      </c>
      <c r="J25" s="931">
        <v>31.632653061224488</v>
      </c>
    </row>
    <row r="26" spans="1:10" s="510" customFormat="1" ht="10.15">
      <c r="A26" s="503" t="s">
        <v>1103</v>
      </c>
      <c r="B26" s="853">
        <v>793.69004465408796</v>
      </c>
      <c r="C26" s="853">
        <v>793.69004465408796</v>
      </c>
      <c r="D26" s="501">
        <v>1000</v>
      </c>
      <c r="E26" s="600">
        <v>2500</v>
      </c>
      <c r="F26" s="568">
        <v>793.69004465408796</v>
      </c>
      <c r="G26" s="929">
        <v>0.53</v>
      </c>
      <c r="H26" s="930">
        <v>2240</v>
      </c>
      <c r="I26" s="901">
        <v>0.32</v>
      </c>
      <c r="J26" s="931">
        <v>1.65625</v>
      </c>
    </row>
    <row r="27" spans="1:10" s="510" customFormat="1" ht="10.15">
      <c r="A27" s="458" t="s">
        <v>128</v>
      </c>
      <c r="B27" s="853">
        <v>1000</v>
      </c>
      <c r="C27" s="853">
        <v>2500</v>
      </c>
      <c r="D27" s="501">
        <v>1000</v>
      </c>
      <c r="E27" s="600">
        <v>2500</v>
      </c>
      <c r="F27" s="568" t="s">
        <v>523</v>
      </c>
      <c r="G27" s="929">
        <v>1.4000000000000001E-7</v>
      </c>
      <c r="H27" s="930" t="s">
        <v>367</v>
      </c>
      <c r="I27" s="901" t="s">
        <v>367</v>
      </c>
      <c r="J27" s="931" t="s">
        <v>367</v>
      </c>
    </row>
    <row r="28" spans="1:10" s="510" customFormat="1" ht="10.15">
      <c r="A28" s="458" t="s">
        <v>129</v>
      </c>
      <c r="B28" s="853">
        <v>2500</v>
      </c>
      <c r="C28" s="853">
        <v>5000</v>
      </c>
      <c r="D28" s="501">
        <v>2500</v>
      </c>
      <c r="E28" s="600">
        <v>5000</v>
      </c>
      <c r="F28" s="568" t="s">
        <v>523</v>
      </c>
      <c r="G28" s="929" t="s">
        <v>367</v>
      </c>
      <c r="H28" s="930" t="s">
        <v>367</v>
      </c>
      <c r="I28" s="901" t="s">
        <v>367</v>
      </c>
      <c r="J28" s="931" t="s">
        <v>367</v>
      </c>
    </row>
    <row r="29" spans="1:10" s="510" customFormat="1" ht="10.15">
      <c r="A29" s="458" t="s">
        <v>130</v>
      </c>
      <c r="B29" s="853">
        <v>932.0059079245284</v>
      </c>
      <c r="C29" s="853">
        <v>932.0059079245284</v>
      </c>
      <c r="D29" s="501">
        <v>2500</v>
      </c>
      <c r="E29" s="600">
        <v>5000</v>
      </c>
      <c r="F29" s="568">
        <v>932.0059079245284</v>
      </c>
      <c r="G29" s="929">
        <v>50</v>
      </c>
      <c r="H29" s="930">
        <v>11000000</v>
      </c>
      <c r="I29" s="901">
        <v>1680</v>
      </c>
      <c r="J29" s="931">
        <v>2.976190476190476E-2</v>
      </c>
    </row>
    <row r="30" spans="1:10" s="510" customFormat="1" ht="10.15">
      <c r="A30" s="458" t="s">
        <v>131</v>
      </c>
      <c r="B30" s="853">
        <v>1000</v>
      </c>
      <c r="C30" s="853">
        <v>2500</v>
      </c>
      <c r="D30" s="501">
        <v>1000</v>
      </c>
      <c r="E30" s="600">
        <v>2500</v>
      </c>
      <c r="F30" s="568" t="s">
        <v>523</v>
      </c>
      <c r="G30" s="929">
        <v>5.4</v>
      </c>
      <c r="H30" s="930">
        <v>13450</v>
      </c>
      <c r="I30" s="901">
        <v>1.3</v>
      </c>
      <c r="J30" s="931">
        <v>4.1538461538461542</v>
      </c>
    </row>
    <row r="31" spans="1:10" s="510" customFormat="1" ht="10.15">
      <c r="A31" s="458" t="s">
        <v>132</v>
      </c>
      <c r="B31" s="853">
        <v>1000</v>
      </c>
      <c r="C31" s="853">
        <v>2500</v>
      </c>
      <c r="D31" s="501">
        <v>1000</v>
      </c>
      <c r="E31" s="600">
        <v>2500</v>
      </c>
      <c r="F31" s="568">
        <v>3588.9092830188679</v>
      </c>
      <c r="G31" s="929">
        <v>1616</v>
      </c>
      <c r="H31" s="930">
        <v>80000</v>
      </c>
      <c r="I31" s="901">
        <v>20</v>
      </c>
      <c r="J31" s="931">
        <v>80.8</v>
      </c>
    </row>
    <row r="32" spans="1:10" s="510" customFormat="1" ht="10.15">
      <c r="A32" s="458" t="s">
        <v>133</v>
      </c>
      <c r="B32" s="853">
        <v>2500</v>
      </c>
      <c r="C32" s="853">
        <v>5000</v>
      </c>
      <c r="D32" s="501">
        <v>2500</v>
      </c>
      <c r="E32" s="600">
        <v>5000</v>
      </c>
      <c r="F32" s="568" t="s">
        <v>523</v>
      </c>
      <c r="G32" s="929" t="s">
        <v>367</v>
      </c>
      <c r="H32" s="930" t="s">
        <v>367</v>
      </c>
      <c r="I32" s="901" t="s">
        <v>367</v>
      </c>
      <c r="J32" s="931" t="s">
        <v>367</v>
      </c>
    </row>
    <row r="33" spans="1:10" s="510" customFormat="1" ht="10.15">
      <c r="A33" s="458" t="s">
        <v>134</v>
      </c>
      <c r="B33" s="853">
        <v>453.26214201257858</v>
      </c>
      <c r="C33" s="853">
        <v>453.26214201257858</v>
      </c>
      <c r="D33" s="501">
        <v>1000</v>
      </c>
      <c r="E33" s="600">
        <v>2500</v>
      </c>
      <c r="F33" s="568">
        <v>453.26214201257858</v>
      </c>
      <c r="G33" s="929">
        <v>115</v>
      </c>
      <c r="H33" s="930">
        <v>63000</v>
      </c>
      <c r="I33" s="901">
        <v>10</v>
      </c>
      <c r="J33" s="931">
        <v>11.5</v>
      </c>
    </row>
    <row r="34" spans="1:10" s="510" customFormat="1" ht="10.15">
      <c r="A34" s="458" t="s">
        <v>614</v>
      </c>
      <c r="B34" s="853">
        <v>2500</v>
      </c>
      <c r="C34" s="853">
        <v>5000</v>
      </c>
      <c r="D34" s="501">
        <v>2500</v>
      </c>
      <c r="E34" s="600">
        <v>5000</v>
      </c>
      <c r="F34" s="568" t="s">
        <v>523</v>
      </c>
      <c r="G34" s="929">
        <v>1.0000000000000001E-5</v>
      </c>
      <c r="H34" s="930">
        <v>8.4</v>
      </c>
      <c r="I34" s="901">
        <v>4.9200000000000003E-4</v>
      </c>
      <c r="J34" s="931">
        <v>2.032520325203252E-2</v>
      </c>
    </row>
    <row r="35" spans="1:10" s="510" customFormat="1" ht="10.15">
      <c r="A35" s="458" t="s">
        <v>135</v>
      </c>
      <c r="B35" s="853">
        <v>2500</v>
      </c>
      <c r="C35" s="853">
        <v>5000</v>
      </c>
      <c r="D35" s="501">
        <v>2500</v>
      </c>
      <c r="E35" s="600">
        <v>5000</v>
      </c>
      <c r="F35" s="568" t="s">
        <v>523</v>
      </c>
      <c r="G35" s="929">
        <v>2.7E-2</v>
      </c>
      <c r="H35" s="930" t="s">
        <v>367</v>
      </c>
      <c r="I35" s="901" t="s">
        <v>367</v>
      </c>
      <c r="J35" s="931" t="s">
        <v>367</v>
      </c>
    </row>
    <row r="36" spans="1:10" s="510" customFormat="1" ht="10.15">
      <c r="A36" s="458" t="s">
        <v>136</v>
      </c>
      <c r="B36" s="853">
        <v>760.94901132075483</v>
      </c>
      <c r="C36" s="853">
        <v>760.94901132075483</v>
      </c>
      <c r="D36" s="501">
        <v>1000</v>
      </c>
      <c r="E36" s="600">
        <v>2500</v>
      </c>
      <c r="F36" s="568">
        <v>760.94901132075483</v>
      </c>
      <c r="G36" s="929">
        <v>11.97</v>
      </c>
      <c r="H36" s="930">
        <v>1000</v>
      </c>
      <c r="I36" s="901">
        <v>0.22</v>
      </c>
      <c r="J36" s="931">
        <v>54.409090909090914</v>
      </c>
    </row>
    <row r="37" spans="1:10" ht="11.25" customHeight="1">
      <c r="A37" s="458" t="s">
        <v>781</v>
      </c>
      <c r="B37" s="853">
        <v>1000</v>
      </c>
      <c r="C37" s="853">
        <v>2117.4658377358492</v>
      </c>
      <c r="D37" s="855">
        <v>1000</v>
      </c>
      <c r="E37" s="600">
        <v>2500</v>
      </c>
      <c r="F37" s="568">
        <v>2117.4658377358492</v>
      </c>
      <c r="G37" s="942">
        <v>1008</v>
      </c>
      <c r="H37" s="943">
        <v>380000</v>
      </c>
      <c r="I37" s="944">
        <v>140</v>
      </c>
      <c r="J37" s="931">
        <v>7.2</v>
      </c>
    </row>
    <row r="38" spans="1:10" ht="11.25" customHeight="1">
      <c r="A38" s="458" t="s">
        <v>137</v>
      </c>
      <c r="B38" s="853">
        <v>1000</v>
      </c>
      <c r="C38" s="853">
        <v>2500</v>
      </c>
      <c r="D38" s="501">
        <v>1000</v>
      </c>
      <c r="E38" s="600">
        <v>2500</v>
      </c>
      <c r="F38" s="568">
        <v>2538.5640000000003</v>
      </c>
      <c r="G38" s="929">
        <v>197</v>
      </c>
      <c r="H38" s="930">
        <v>421600</v>
      </c>
      <c r="I38" s="901">
        <v>85</v>
      </c>
      <c r="J38" s="931">
        <v>2.3176470588235296</v>
      </c>
    </row>
    <row r="39" spans="1:10" ht="11.25" customHeight="1">
      <c r="A39" s="458" t="s">
        <v>782</v>
      </c>
      <c r="B39" s="853">
        <v>500</v>
      </c>
      <c r="C39" s="853">
        <v>1000</v>
      </c>
      <c r="D39" s="501">
        <v>500</v>
      </c>
      <c r="E39" s="566">
        <v>1000</v>
      </c>
      <c r="F39" s="568">
        <v>1316.5454188679244</v>
      </c>
      <c r="G39" s="929">
        <v>4300</v>
      </c>
      <c r="H39" s="930" t="s">
        <v>367</v>
      </c>
      <c r="I39" s="901" t="s">
        <v>367</v>
      </c>
      <c r="J39" s="931" t="s">
        <v>367</v>
      </c>
    </row>
    <row r="40" spans="1:10" ht="11.25" customHeight="1">
      <c r="A40" s="458" t="s">
        <v>138</v>
      </c>
      <c r="B40" s="853">
        <v>500</v>
      </c>
      <c r="C40" s="853">
        <v>1000</v>
      </c>
      <c r="D40" s="501">
        <v>500</v>
      </c>
      <c r="E40" s="566">
        <v>1000</v>
      </c>
      <c r="F40" s="568">
        <v>27437.384023899369</v>
      </c>
      <c r="G40" s="929">
        <v>2.5</v>
      </c>
      <c r="H40" s="930">
        <v>19</v>
      </c>
      <c r="I40" s="901">
        <v>3.5999999999999999E-3</v>
      </c>
      <c r="J40" s="931">
        <v>694.44444444444446</v>
      </c>
    </row>
    <row r="41" spans="1:10" ht="11.25" customHeight="1">
      <c r="A41" s="458" t="s">
        <v>612</v>
      </c>
      <c r="B41" s="853" t="s">
        <v>367</v>
      </c>
      <c r="C41" s="853" t="s">
        <v>367</v>
      </c>
      <c r="D41" s="501" t="s">
        <v>367</v>
      </c>
      <c r="E41" s="566" t="s">
        <v>367</v>
      </c>
      <c r="F41" s="568" t="s">
        <v>367</v>
      </c>
      <c r="G41" s="929" t="s">
        <v>367</v>
      </c>
      <c r="H41" s="930" t="s">
        <v>367</v>
      </c>
      <c r="I41" s="901" t="s">
        <v>367</v>
      </c>
      <c r="J41" s="931" t="s">
        <v>367</v>
      </c>
    </row>
    <row r="42" spans="1:10" ht="11.25" customHeight="1">
      <c r="A42" s="458" t="s">
        <v>779</v>
      </c>
      <c r="B42" s="853">
        <v>2500</v>
      </c>
      <c r="C42" s="853">
        <v>5000</v>
      </c>
      <c r="D42" s="501">
        <v>2500</v>
      </c>
      <c r="E42" s="566">
        <v>5000</v>
      </c>
      <c r="F42" s="568" t="s">
        <v>523</v>
      </c>
      <c r="G42" s="929" t="s">
        <v>367</v>
      </c>
      <c r="H42" s="901" t="s">
        <v>367</v>
      </c>
      <c r="I42" s="901" t="s">
        <v>367</v>
      </c>
      <c r="J42" s="931" t="s">
        <v>367</v>
      </c>
    </row>
    <row r="43" spans="1:10" ht="11.25" customHeight="1">
      <c r="A43" s="458" t="s">
        <v>780</v>
      </c>
      <c r="B43" s="853">
        <v>2500</v>
      </c>
      <c r="C43" s="853">
        <v>5000</v>
      </c>
      <c r="D43" s="501">
        <v>2500</v>
      </c>
      <c r="E43" s="566">
        <v>5000</v>
      </c>
      <c r="F43" s="568" t="s">
        <v>523</v>
      </c>
      <c r="G43" s="929" t="s">
        <v>367</v>
      </c>
      <c r="H43" s="901" t="s">
        <v>367</v>
      </c>
      <c r="I43" s="901" t="s">
        <v>367</v>
      </c>
      <c r="J43" s="931" t="s">
        <v>367</v>
      </c>
    </row>
    <row r="44" spans="1:10" ht="11.25" customHeight="1">
      <c r="A44" s="458" t="s">
        <v>139</v>
      </c>
      <c r="B44" s="853">
        <v>2500</v>
      </c>
      <c r="C44" s="853">
        <v>5000</v>
      </c>
      <c r="D44" s="501">
        <v>2500</v>
      </c>
      <c r="E44" s="566">
        <v>5000</v>
      </c>
      <c r="F44" s="568" t="s">
        <v>523</v>
      </c>
      <c r="G44" s="929">
        <v>6.2000000000000001E-9</v>
      </c>
      <c r="H44" s="901" t="s">
        <v>367</v>
      </c>
      <c r="I44" s="901" t="s">
        <v>367</v>
      </c>
      <c r="J44" s="931" t="s">
        <v>367</v>
      </c>
    </row>
    <row r="45" spans="1:10" ht="11.25" customHeight="1">
      <c r="A45" s="458" t="s">
        <v>140</v>
      </c>
      <c r="B45" s="853">
        <v>2500</v>
      </c>
      <c r="C45" s="853">
        <v>5000</v>
      </c>
      <c r="D45" s="501">
        <v>2500</v>
      </c>
      <c r="E45" s="566">
        <v>5000</v>
      </c>
      <c r="F45" s="568" t="s">
        <v>523</v>
      </c>
      <c r="G45" s="929" t="s">
        <v>367</v>
      </c>
      <c r="H45" s="930" t="s">
        <v>367</v>
      </c>
      <c r="I45" s="901" t="s">
        <v>367</v>
      </c>
      <c r="J45" s="931" t="s">
        <v>367</v>
      </c>
    </row>
    <row r="46" spans="1:10" ht="11.25" customHeight="1">
      <c r="A46" s="458" t="s">
        <v>141</v>
      </c>
      <c r="B46" s="853">
        <v>2500</v>
      </c>
      <c r="C46" s="853">
        <v>5000</v>
      </c>
      <c r="D46" s="501">
        <v>2500</v>
      </c>
      <c r="E46" s="566">
        <v>5000</v>
      </c>
      <c r="F46" s="568" t="s">
        <v>523</v>
      </c>
      <c r="G46" s="929" t="s">
        <v>367</v>
      </c>
      <c r="H46" s="930" t="s">
        <v>367</v>
      </c>
      <c r="I46" s="901" t="s">
        <v>367</v>
      </c>
      <c r="J46" s="931" t="s">
        <v>367</v>
      </c>
    </row>
    <row r="47" spans="1:10" ht="11.25" customHeight="1">
      <c r="A47" s="458" t="s">
        <v>142</v>
      </c>
      <c r="B47" s="853">
        <v>500</v>
      </c>
      <c r="C47" s="853">
        <v>1000</v>
      </c>
      <c r="D47" s="501">
        <v>500</v>
      </c>
      <c r="E47" s="566">
        <v>1000</v>
      </c>
      <c r="F47" s="568" t="s">
        <v>523</v>
      </c>
      <c r="G47" s="929">
        <v>308</v>
      </c>
      <c r="H47" s="930">
        <v>652</v>
      </c>
      <c r="I47" s="901">
        <v>0.57999999999999996</v>
      </c>
      <c r="J47" s="931">
        <v>531.0344827586207</v>
      </c>
    </row>
    <row r="48" spans="1:10" ht="11.25" customHeight="1">
      <c r="A48" s="458" t="s">
        <v>96</v>
      </c>
      <c r="B48" s="853">
        <v>1000</v>
      </c>
      <c r="C48" s="853">
        <v>2500</v>
      </c>
      <c r="D48" s="501">
        <v>1000</v>
      </c>
      <c r="E48" s="566">
        <v>2500</v>
      </c>
      <c r="F48" s="568" t="s">
        <v>523</v>
      </c>
      <c r="G48" s="929">
        <v>4.1000000000000003E-9</v>
      </c>
      <c r="H48" s="930" t="s">
        <v>367</v>
      </c>
      <c r="I48" s="901" t="s">
        <v>367</v>
      </c>
      <c r="J48" s="931" t="s">
        <v>367</v>
      </c>
    </row>
    <row r="49" spans="1:10" ht="11.25" customHeight="1">
      <c r="A49" s="458" t="s">
        <v>97</v>
      </c>
      <c r="B49" s="853">
        <v>1000</v>
      </c>
      <c r="C49" s="853">
        <v>2500</v>
      </c>
      <c r="D49" s="501">
        <v>1000</v>
      </c>
      <c r="E49" s="566">
        <v>2500</v>
      </c>
      <c r="F49" s="568" t="s">
        <v>523</v>
      </c>
      <c r="G49" s="929">
        <v>0.15</v>
      </c>
      <c r="H49" s="930" t="s">
        <v>367</v>
      </c>
      <c r="I49" s="901" t="s">
        <v>367</v>
      </c>
      <c r="J49" s="931" t="s">
        <v>367</v>
      </c>
    </row>
    <row r="50" spans="1:10" ht="11.25" customHeight="1">
      <c r="A50" s="458" t="s">
        <v>143</v>
      </c>
      <c r="B50" s="853">
        <v>1000</v>
      </c>
      <c r="C50" s="853">
        <v>2500</v>
      </c>
      <c r="D50" s="501">
        <v>1000</v>
      </c>
      <c r="E50" s="566">
        <v>2500</v>
      </c>
      <c r="F50" s="568" t="s">
        <v>523</v>
      </c>
      <c r="G50" s="929">
        <v>9.5999999999999999E-10</v>
      </c>
      <c r="H50" s="930" t="s">
        <v>367</v>
      </c>
      <c r="I50" s="901" t="s">
        <v>367</v>
      </c>
      <c r="J50" s="931" t="s">
        <v>367</v>
      </c>
    </row>
    <row r="51" spans="1:10" ht="11.25" customHeight="1">
      <c r="A51" s="458" t="s">
        <v>381</v>
      </c>
      <c r="B51" s="853">
        <v>979.0010943396228</v>
      </c>
      <c r="C51" s="853">
        <v>979.0010943396228</v>
      </c>
      <c r="D51" s="501">
        <v>1000</v>
      </c>
      <c r="E51" s="566">
        <v>2500</v>
      </c>
      <c r="F51" s="568">
        <v>979.0010943396228</v>
      </c>
      <c r="G51" s="929">
        <v>0.57999999999999996</v>
      </c>
      <c r="H51" s="930" t="s">
        <v>367</v>
      </c>
      <c r="I51" s="901" t="s">
        <v>367</v>
      </c>
      <c r="J51" s="931" t="s">
        <v>367</v>
      </c>
    </row>
    <row r="52" spans="1:10" ht="11.25" customHeight="1">
      <c r="A52" s="458" t="s">
        <v>144</v>
      </c>
      <c r="B52" s="853">
        <v>500</v>
      </c>
      <c r="C52" s="853">
        <v>1000</v>
      </c>
      <c r="D52" s="501">
        <v>500</v>
      </c>
      <c r="E52" s="566">
        <v>1000</v>
      </c>
      <c r="F52" s="568" t="s">
        <v>523</v>
      </c>
      <c r="G52" s="929">
        <v>5.54</v>
      </c>
      <c r="H52" s="930" t="s">
        <v>367</v>
      </c>
      <c r="I52" s="901" t="s">
        <v>367</v>
      </c>
      <c r="J52" s="931" t="s">
        <v>367</v>
      </c>
    </row>
    <row r="53" spans="1:10" ht="11.25" customHeight="1">
      <c r="A53" s="458" t="s">
        <v>487</v>
      </c>
      <c r="B53" s="853">
        <v>1000</v>
      </c>
      <c r="C53" s="853">
        <v>2500</v>
      </c>
      <c r="D53" s="501">
        <v>1000</v>
      </c>
      <c r="E53" s="566">
        <v>2500</v>
      </c>
      <c r="F53" s="568" t="s">
        <v>523</v>
      </c>
      <c r="G53" s="929">
        <v>11.2</v>
      </c>
      <c r="H53" s="930">
        <v>200000</v>
      </c>
      <c r="I53" s="901">
        <v>26</v>
      </c>
      <c r="J53" s="931">
        <v>0.43076923076923074</v>
      </c>
    </row>
    <row r="54" spans="1:10" ht="11.25" customHeight="1">
      <c r="A54" s="458" t="s">
        <v>145</v>
      </c>
      <c r="B54" s="853">
        <v>376.29790188679249</v>
      </c>
      <c r="C54" s="853">
        <v>376.29790188679249</v>
      </c>
      <c r="D54" s="501">
        <v>2500</v>
      </c>
      <c r="E54" s="566">
        <v>5000</v>
      </c>
      <c r="F54" s="568">
        <v>376.29790188679249</v>
      </c>
      <c r="G54" s="929">
        <v>1.36</v>
      </c>
      <c r="H54" s="930">
        <v>305000</v>
      </c>
      <c r="I54" s="901">
        <v>50</v>
      </c>
      <c r="J54" s="931">
        <v>2.7200000000000002E-2</v>
      </c>
    </row>
    <row r="55" spans="1:10" ht="11.25" customHeight="1">
      <c r="A55" s="458" t="s">
        <v>225</v>
      </c>
      <c r="B55" s="853">
        <v>500</v>
      </c>
      <c r="C55" s="853">
        <v>595.41254867924533</v>
      </c>
      <c r="D55" s="501">
        <v>500</v>
      </c>
      <c r="E55" s="566">
        <v>1000</v>
      </c>
      <c r="F55" s="568">
        <v>595.41254867924533</v>
      </c>
      <c r="G55" s="929">
        <v>2.15</v>
      </c>
      <c r="H55" s="930" t="s">
        <v>367</v>
      </c>
      <c r="I55" s="901" t="s">
        <v>367</v>
      </c>
      <c r="J55" s="931" t="s">
        <v>367</v>
      </c>
    </row>
    <row r="56" spans="1:10" ht="11.25" customHeight="1">
      <c r="A56" s="458" t="s">
        <v>226</v>
      </c>
      <c r="B56" s="853">
        <v>1000</v>
      </c>
      <c r="C56" s="853">
        <v>2500</v>
      </c>
      <c r="D56" s="501">
        <v>1000</v>
      </c>
      <c r="E56" s="566">
        <v>2500</v>
      </c>
      <c r="F56" s="568" t="s">
        <v>523</v>
      </c>
      <c r="G56" s="929">
        <v>1.74</v>
      </c>
      <c r="H56" s="930">
        <v>1100</v>
      </c>
      <c r="I56" s="901">
        <v>0.18</v>
      </c>
      <c r="J56" s="931">
        <v>9.6666666666666679</v>
      </c>
    </row>
    <row r="57" spans="1:10" ht="11.25" customHeight="1">
      <c r="A57" s="458" t="s">
        <v>227</v>
      </c>
      <c r="B57" s="853">
        <v>1000</v>
      </c>
      <c r="C57" s="853">
        <v>2500</v>
      </c>
      <c r="D57" s="501">
        <v>1000</v>
      </c>
      <c r="E57" s="566">
        <v>2500</v>
      </c>
      <c r="F57" s="568" t="s">
        <v>523</v>
      </c>
      <c r="G57" s="929">
        <v>2.6E-7</v>
      </c>
      <c r="H57" s="930" t="s">
        <v>367</v>
      </c>
      <c r="I57" s="901" t="s">
        <v>367</v>
      </c>
      <c r="J57" s="931" t="s">
        <v>367</v>
      </c>
    </row>
    <row r="58" spans="1:10" ht="11.25" customHeight="1">
      <c r="A58" s="458" t="s">
        <v>361</v>
      </c>
      <c r="B58" s="853">
        <v>1000</v>
      </c>
      <c r="C58" s="853">
        <v>2500</v>
      </c>
      <c r="D58" s="501">
        <v>1000</v>
      </c>
      <c r="E58" s="566">
        <v>2500</v>
      </c>
      <c r="F58" s="568" t="s">
        <v>523</v>
      </c>
      <c r="G58" s="929">
        <v>1.3999999999999999E-6</v>
      </c>
      <c r="H58" s="930" t="s">
        <v>367</v>
      </c>
      <c r="I58" s="901" t="s">
        <v>367</v>
      </c>
      <c r="J58" s="931" t="s">
        <v>367</v>
      </c>
    </row>
    <row r="59" spans="1:10" ht="11.25" customHeight="1">
      <c r="A59" s="458" t="s">
        <v>362</v>
      </c>
      <c r="B59" s="853">
        <v>1000</v>
      </c>
      <c r="C59" s="853">
        <v>2500</v>
      </c>
      <c r="D59" s="501">
        <v>1000</v>
      </c>
      <c r="E59" s="566">
        <v>2500</v>
      </c>
      <c r="F59" s="568" t="s">
        <v>523</v>
      </c>
      <c r="G59" s="929">
        <v>6.0000000000000002E-6</v>
      </c>
      <c r="H59" s="930" t="s">
        <v>367</v>
      </c>
      <c r="I59" s="901" t="s">
        <v>367</v>
      </c>
      <c r="J59" s="931" t="s">
        <v>367</v>
      </c>
    </row>
    <row r="60" spans="1:10" ht="11.25" customHeight="1">
      <c r="A60" s="458" t="s">
        <v>363</v>
      </c>
      <c r="B60" s="853">
        <v>2500</v>
      </c>
      <c r="C60" s="853">
        <v>5000</v>
      </c>
      <c r="D60" s="501">
        <v>2500</v>
      </c>
      <c r="E60" s="566">
        <v>5000</v>
      </c>
      <c r="F60" s="568" t="s">
        <v>523</v>
      </c>
      <c r="G60" s="929">
        <v>1.6E-7</v>
      </c>
      <c r="H60" s="930" t="s">
        <v>367</v>
      </c>
      <c r="I60" s="901" t="s">
        <v>367</v>
      </c>
      <c r="J60" s="931" t="s">
        <v>367</v>
      </c>
    </row>
    <row r="61" spans="1:10" ht="11.25" customHeight="1">
      <c r="A61" s="458" t="s">
        <v>234</v>
      </c>
      <c r="B61" s="853">
        <v>1000</v>
      </c>
      <c r="C61" s="853">
        <v>1685.682837735849</v>
      </c>
      <c r="D61" s="501">
        <v>1000</v>
      </c>
      <c r="E61" s="566">
        <v>2500</v>
      </c>
      <c r="F61" s="568">
        <v>1685.682837735849</v>
      </c>
      <c r="G61" s="929">
        <v>227.3</v>
      </c>
      <c r="H61" s="930">
        <v>125000</v>
      </c>
      <c r="I61" s="901">
        <v>30</v>
      </c>
      <c r="J61" s="931">
        <v>7.5766666666666671</v>
      </c>
    </row>
    <row r="62" spans="1:10" ht="11.25" customHeight="1">
      <c r="A62" s="458" t="s">
        <v>235</v>
      </c>
      <c r="B62" s="853">
        <v>1000</v>
      </c>
      <c r="C62" s="853">
        <v>2500</v>
      </c>
      <c r="D62" s="501">
        <v>1000</v>
      </c>
      <c r="E62" s="566">
        <v>2500</v>
      </c>
      <c r="F62" s="568">
        <v>2981.506415094339</v>
      </c>
      <c r="G62" s="929">
        <v>79</v>
      </c>
      <c r="H62" s="930">
        <v>2424</v>
      </c>
      <c r="I62" s="901">
        <v>0.59</v>
      </c>
      <c r="J62" s="931">
        <v>133.89830508474577</v>
      </c>
    </row>
    <row r="63" spans="1:10" ht="11.25" customHeight="1">
      <c r="A63" s="458" t="s">
        <v>294</v>
      </c>
      <c r="B63" s="853">
        <v>1000</v>
      </c>
      <c r="C63" s="853">
        <v>1207.9647647798743</v>
      </c>
      <c r="D63" s="501">
        <v>1000</v>
      </c>
      <c r="E63" s="566">
        <v>2500</v>
      </c>
      <c r="F63" s="568">
        <v>1207.9647647798743</v>
      </c>
      <c r="G63" s="929">
        <v>600</v>
      </c>
      <c r="H63" s="930">
        <v>2000000</v>
      </c>
      <c r="I63" s="901">
        <v>500</v>
      </c>
      <c r="J63" s="931">
        <v>1.2</v>
      </c>
    </row>
    <row r="64" spans="1:10" ht="11.25" customHeight="1">
      <c r="A64" s="458" t="s">
        <v>295</v>
      </c>
      <c r="B64" s="853">
        <v>500</v>
      </c>
      <c r="C64" s="853">
        <v>1000</v>
      </c>
      <c r="D64" s="501">
        <v>500</v>
      </c>
      <c r="E64" s="566">
        <v>1000</v>
      </c>
      <c r="F64" s="568">
        <v>2370.3051194968548</v>
      </c>
      <c r="G64" s="929">
        <v>200</v>
      </c>
      <c r="H64" s="930" t="s">
        <v>367</v>
      </c>
      <c r="I64" s="901" t="s">
        <v>367</v>
      </c>
      <c r="J64" s="931" t="s">
        <v>367</v>
      </c>
    </row>
    <row r="65" spans="1:10" ht="11.25" customHeight="1">
      <c r="A65" s="458" t="s">
        <v>228</v>
      </c>
      <c r="B65" s="853">
        <v>1000</v>
      </c>
      <c r="C65" s="853">
        <v>1851.1077232704401</v>
      </c>
      <c r="D65" s="501">
        <v>1000</v>
      </c>
      <c r="E65" s="566">
        <v>2500</v>
      </c>
      <c r="F65" s="568">
        <v>1851.1077232704401</v>
      </c>
      <c r="G65" s="929">
        <v>331</v>
      </c>
      <c r="H65" s="930">
        <v>67320</v>
      </c>
      <c r="I65" s="901">
        <v>17</v>
      </c>
      <c r="J65" s="931">
        <v>19.470588235294116</v>
      </c>
    </row>
    <row r="66" spans="1:10" ht="11.25" customHeight="1">
      <c r="A66" s="458" t="s">
        <v>942</v>
      </c>
      <c r="B66" s="853">
        <v>1000</v>
      </c>
      <c r="C66" s="853">
        <v>2500</v>
      </c>
      <c r="D66" s="501">
        <v>1000</v>
      </c>
      <c r="E66" s="566">
        <v>2500</v>
      </c>
      <c r="F66" s="568" t="s">
        <v>523</v>
      </c>
      <c r="G66" s="929">
        <v>0.09</v>
      </c>
      <c r="H66" s="930">
        <v>1400</v>
      </c>
      <c r="I66" s="901">
        <v>0.21</v>
      </c>
      <c r="J66" s="931">
        <v>0.42857142857142855</v>
      </c>
    </row>
    <row r="67" spans="1:10" ht="11.25" customHeight="1">
      <c r="A67" s="458" t="s">
        <v>98</v>
      </c>
      <c r="B67" s="853">
        <v>1000</v>
      </c>
      <c r="C67" s="853">
        <v>2500</v>
      </c>
      <c r="D67" s="501">
        <v>1000</v>
      </c>
      <c r="E67" s="566">
        <v>2500</v>
      </c>
      <c r="F67" s="568" t="s">
        <v>523</v>
      </c>
      <c r="G67" s="929">
        <v>8.2999999999999998E-5</v>
      </c>
      <c r="H67" s="930" t="s">
        <v>367</v>
      </c>
      <c r="I67" s="901" t="s">
        <v>367</v>
      </c>
      <c r="J67" s="931" t="s">
        <v>367</v>
      </c>
    </row>
    <row r="68" spans="1:10" ht="11.25" customHeight="1">
      <c r="A68" s="458" t="s">
        <v>943</v>
      </c>
      <c r="B68" s="853">
        <v>500</v>
      </c>
      <c r="C68" s="853">
        <v>1000</v>
      </c>
      <c r="D68" s="501">
        <v>500</v>
      </c>
      <c r="E68" s="566">
        <v>1000</v>
      </c>
      <c r="F68" s="568">
        <v>1363.3675471698114</v>
      </c>
      <c r="G68" s="929">
        <v>53.3</v>
      </c>
      <c r="H68" s="930">
        <v>1190</v>
      </c>
      <c r="I68" s="901">
        <v>0.25</v>
      </c>
      <c r="J68" s="931">
        <v>213.2</v>
      </c>
    </row>
    <row r="69" spans="1:10" ht="11.25" customHeight="1">
      <c r="A69" s="458" t="s">
        <v>296</v>
      </c>
      <c r="B69" s="853">
        <v>1000</v>
      </c>
      <c r="C69" s="853">
        <v>1571.9654339622643</v>
      </c>
      <c r="D69" s="501">
        <v>1000</v>
      </c>
      <c r="E69" s="566">
        <v>2500</v>
      </c>
      <c r="F69" s="568">
        <v>1571.9654339622643</v>
      </c>
      <c r="G69" s="929">
        <v>34</v>
      </c>
      <c r="H69" s="930">
        <v>4160</v>
      </c>
      <c r="I69" s="901">
        <v>1</v>
      </c>
      <c r="J69" s="931">
        <v>34</v>
      </c>
    </row>
    <row r="70" spans="1:10" ht="11.25" customHeight="1">
      <c r="A70" s="458" t="s">
        <v>944</v>
      </c>
      <c r="B70" s="853">
        <v>2500</v>
      </c>
      <c r="C70" s="853">
        <v>5000</v>
      </c>
      <c r="D70" s="501">
        <v>2500</v>
      </c>
      <c r="E70" s="566">
        <v>5000</v>
      </c>
      <c r="F70" s="568" t="s">
        <v>523</v>
      </c>
      <c r="G70" s="929">
        <v>5.9000000000000003E-6</v>
      </c>
      <c r="H70" s="930" t="s">
        <v>367</v>
      </c>
      <c r="I70" s="901" t="s">
        <v>367</v>
      </c>
      <c r="J70" s="931" t="s">
        <v>367</v>
      </c>
    </row>
    <row r="71" spans="1:10" ht="11.25" customHeight="1">
      <c r="A71" s="458" t="s">
        <v>945</v>
      </c>
      <c r="B71" s="853">
        <v>1000</v>
      </c>
      <c r="C71" s="853">
        <v>2500</v>
      </c>
      <c r="D71" s="501">
        <v>1000</v>
      </c>
      <c r="E71" s="566">
        <v>2500</v>
      </c>
      <c r="F71" s="568" t="s">
        <v>523</v>
      </c>
      <c r="G71" s="929">
        <v>2.0999999999999999E-3</v>
      </c>
      <c r="H71" s="930" t="s">
        <v>367</v>
      </c>
      <c r="I71" s="901" t="s">
        <v>367</v>
      </c>
      <c r="J71" s="931" t="s">
        <v>367</v>
      </c>
    </row>
    <row r="72" spans="1:10" ht="11.25" customHeight="1">
      <c r="A72" s="458" t="s">
        <v>947</v>
      </c>
      <c r="B72" s="853">
        <v>500</v>
      </c>
      <c r="C72" s="853">
        <v>1000</v>
      </c>
      <c r="D72" s="501">
        <v>500</v>
      </c>
      <c r="E72" s="566">
        <v>1000</v>
      </c>
      <c r="F72" s="568" t="s">
        <v>523</v>
      </c>
      <c r="G72" s="929">
        <v>0.1</v>
      </c>
      <c r="H72" s="930">
        <v>1</v>
      </c>
      <c r="I72" s="901">
        <v>1.9699999999999999E-4</v>
      </c>
      <c r="J72" s="931">
        <v>507.6142131979696</v>
      </c>
    </row>
    <row r="73" spans="1:10" ht="11.25" customHeight="1">
      <c r="A73" s="458" t="s">
        <v>946</v>
      </c>
      <c r="B73" s="853">
        <v>1000</v>
      </c>
      <c r="C73" s="853">
        <v>2500</v>
      </c>
      <c r="D73" s="501">
        <v>1000</v>
      </c>
      <c r="E73" s="566">
        <v>2500</v>
      </c>
      <c r="F73" s="568" t="s">
        <v>523</v>
      </c>
      <c r="G73" s="929">
        <v>0.308</v>
      </c>
      <c r="H73" s="930" t="s">
        <v>367</v>
      </c>
      <c r="I73" s="901" t="s">
        <v>367</v>
      </c>
      <c r="J73" s="931" t="s">
        <v>367</v>
      </c>
    </row>
    <row r="74" spans="1:10" ht="11.25" customHeight="1">
      <c r="A74" s="458" t="s">
        <v>99</v>
      </c>
      <c r="B74" s="853">
        <v>1000</v>
      </c>
      <c r="C74" s="853">
        <v>2500</v>
      </c>
      <c r="D74" s="501">
        <v>1000</v>
      </c>
      <c r="E74" s="566">
        <v>2500</v>
      </c>
      <c r="F74" s="568" t="s">
        <v>523</v>
      </c>
      <c r="G74" s="929">
        <v>8.9999999999999998E-4</v>
      </c>
      <c r="H74" s="930" t="s">
        <v>367</v>
      </c>
      <c r="I74" s="901" t="s">
        <v>367</v>
      </c>
      <c r="J74" s="931" t="s">
        <v>367</v>
      </c>
    </row>
    <row r="75" spans="1:10" ht="11.25" customHeight="1">
      <c r="A75" s="458" t="s">
        <v>297</v>
      </c>
      <c r="B75" s="853">
        <v>1000</v>
      </c>
      <c r="C75" s="853">
        <v>2500</v>
      </c>
      <c r="D75" s="501">
        <v>1000</v>
      </c>
      <c r="E75" s="566">
        <v>2500</v>
      </c>
      <c r="F75" s="568" t="s">
        <v>523</v>
      </c>
      <c r="G75" s="929">
        <v>3.8999999999999999E-4</v>
      </c>
      <c r="H75" s="930" t="s">
        <v>367</v>
      </c>
      <c r="I75" s="901" t="s">
        <v>367</v>
      </c>
      <c r="J75" s="931" t="s">
        <v>367</v>
      </c>
    </row>
    <row r="76" spans="1:10" ht="11.25" customHeight="1">
      <c r="A76" s="458" t="s">
        <v>100</v>
      </c>
      <c r="B76" s="853">
        <v>1000</v>
      </c>
      <c r="C76" s="853">
        <v>2500</v>
      </c>
      <c r="D76" s="501">
        <v>1000</v>
      </c>
      <c r="E76" s="566">
        <v>2500</v>
      </c>
      <c r="F76" s="568" t="s">
        <v>523</v>
      </c>
      <c r="G76" s="929">
        <v>1.4999999999999999E-4</v>
      </c>
      <c r="H76" s="930" t="s">
        <v>367</v>
      </c>
      <c r="I76" s="901" t="s">
        <v>367</v>
      </c>
      <c r="J76" s="931" t="s">
        <v>367</v>
      </c>
    </row>
    <row r="77" spans="1:10" ht="11.25" customHeight="1">
      <c r="A77" s="458" t="s">
        <v>101</v>
      </c>
      <c r="B77" s="853">
        <v>1000</v>
      </c>
      <c r="C77" s="853">
        <v>2500</v>
      </c>
      <c r="D77" s="501">
        <v>1000</v>
      </c>
      <c r="E77" s="566">
        <v>2500</v>
      </c>
      <c r="F77" s="568" t="s">
        <v>523</v>
      </c>
      <c r="G77" s="929">
        <v>5.6999999999999998E-4</v>
      </c>
      <c r="H77" s="930" t="s">
        <v>367</v>
      </c>
      <c r="I77" s="901" t="s">
        <v>367</v>
      </c>
      <c r="J77" s="931" t="s">
        <v>367</v>
      </c>
    </row>
    <row r="78" spans="1:10" ht="11.25" customHeight="1">
      <c r="A78" s="458" t="s">
        <v>382</v>
      </c>
      <c r="B78" s="853">
        <v>1000</v>
      </c>
      <c r="C78" s="853">
        <v>2500</v>
      </c>
      <c r="D78" s="501">
        <v>1000</v>
      </c>
      <c r="E78" s="566">
        <v>2500</v>
      </c>
      <c r="F78" s="568">
        <v>115637.86163522014</v>
      </c>
      <c r="G78" s="929">
        <v>38</v>
      </c>
      <c r="H78" s="930">
        <v>612000</v>
      </c>
      <c r="I78" s="901">
        <v>170</v>
      </c>
      <c r="J78" s="931">
        <v>0.22352941176470589</v>
      </c>
    </row>
    <row r="79" spans="1:10" ht="11.25" customHeight="1">
      <c r="A79" s="458" t="s">
        <v>594</v>
      </c>
      <c r="B79" s="853">
        <v>2500</v>
      </c>
      <c r="C79" s="853">
        <v>5000</v>
      </c>
      <c r="D79" s="501">
        <v>2500</v>
      </c>
      <c r="E79" s="566">
        <v>5000</v>
      </c>
      <c r="F79" s="568" t="s">
        <v>523</v>
      </c>
      <c r="G79" s="929">
        <v>1.5E-9</v>
      </c>
      <c r="H79" s="930" t="s">
        <v>367</v>
      </c>
      <c r="I79" s="901" t="s">
        <v>367</v>
      </c>
      <c r="J79" s="931" t="s">
        <v>367</v>
      </c>
    </row>
    <row r="80" spans="1:10" ht="11.25" customHeight="1">
      <c r="A80" s="458" t="s">
        <v>102</v>
      </c>
      <c r="B80" s="853">
        <v>1000</v>
      </c>
      <c r="C80" s="853">
        <v>2500</v>
      </c>
      <c r="D80" s="501">
        <v>1000</v>
      </c>
      <c r="E80" s="566">
        <v>2500</v>
      </c>
      <c r="F80" s="568" t="s">
        <v>523</v>
      </c>
      <c r="G80" s="929">
        <v>6.8999999999999996E-8</v>
      </c>
      <c r="H80" s="930" t="s">
        <v>367</v>
      </c>
      <c r="I80" s="901" t="s">
        <v>367</v>
      </c>
      <c r="J80" s="931" t="s">
        <v>367</v>
      </c>
    </row>
    <row r="81" spans="1:10" ht="11.25" customHeight="1">
      <c r="A81" s="458" t="s">
        <v>370</v>
      </c>
      <c r="B81" s="853">
        <v>1000</v>
      </c>
      <c r="C81" s="853">
        <v>2500</v>
      </c>
      <c r="D81" s="501">
        <v>1000</v>
      </c>
      <c r="E81" s="566">
        <v>2500</v>
      </c>
      <c r="F81" s="568" t="s">
        <v>523</v>
      </c>
      <c r="G81" s="929">
        <v>1.6999999999999999E-7</v>
      </c>
      <c r="H81" s="930" t="s">
        <v>367</v>
      </c>
      <c r="I81" s="901" t="s">
        <v>367</v>
      </c>
      <c r="J81" s="931" t="s">
        <v>367</v>
      </c>
    </row>
    <row r="82" spans="1:10" ht="11.25" customHeight="1">
      <c r="A82" s="458" t="s">
        <v>337</v>
      </c>
      <c r="B82" s="853">
        <v>1000</v>
      </c>
      <c r="C82" s="853">
        <v>2500</v>
      </c>
      <c r="D82" s="501">
        <v>1000</v>
      </c>
      <c r="E82" s="566">
        <v>2500</v>
      </c>
      <c r="F82" s="568" t="s">
        <v>523</v>
      </c>
      <c r="G82" s="929">
        <v>3.0000000000000001E-6</v>
      </c>
      <c r="H82" s="930" t="s">
        <v>367</v>
      </c>
      <c r="I82" s="901" t="s">
        <v>367</v>
      </c>
      <c r="J82" s="931" t="s">
        <v>367</v>
      </c>
    </row>
    <row r="83" spans="1:10" ht="11.25" customHeight="1">
      <c r="A83" s="458" t="s">
        <v>28</v>
      </c>
      <c r="B83" s="853">
        <v>1000</v>
      </c>
      <c r="C83" s="853">
        <v>2500</v>
      </c>
      <c r="D83" s="501">
        <v>1000</v>
      </c>
      <c r="E83" s="566">
        <v>2500</v>
      </c>
      <c r="F83" s="568">
        <v>101902.84150943397</v>
      </c>
      <c r="G83" s="929">
        <v>53</v>
      </c>
      <c r="H83" s="930">
        <v>19200</v>
      </c>
      <c r="I83" s="901">
        <v>10</v>
      </c>
      <c r="J83" s="931">
        <v>5.3</v>
      </c>
    </row>
    <row r="84" spans="1:10" ht="11.25" customHeight="1">
      <c r="A84" s="458" t="s">
        <v>338</v>
      </c>
      <c r="B84" s="853">
        <v>479.48318616352208</v>
      </c>
      <c r="C84" s="853">
        <v>479.48318616352208</v>
      </c>
      <c r="D84" s="501">
        <v>1000</v>
      </c>
      <c r="E84" s="566">
        <v>2500</v>
      </c>
      <c r="F84" s="568">
        <v>479.48318616352208</v>
      </c>
      <c r="G84" s="929">
        <v>9.6</v>
      </c>
      <c r="H84" s="930">
        <v>2000</v>
      </c>
      <c r="I84" s="901">
        <v>0.45</v>
      </c>
      <c r="J84" s="931">
        <v>21.333333333333332</v>
      </c>
    </row>
    <row r="85" spans="1:10" ht="11.25" customHeight="1">
      <c r="A85" s="458" t="s">
        <v>339</v>
      </c>
      <c r="B85" s="853">
        <v>1000</v>
      </c>
      <c r="C85" s="853">
        <v>2500</v>
      </c>
      <c r="D85" s="501">
        <v>1000</v>
      </c>
      <c r="E85" s="566">
        <v>2500</v>
      </c>
      <c r="F85" s="568" t="s">
        <v>523</v>
      </c>
      <c r="G85" s="929">
        <v>9.2E-6</v>
      </c>
      <c r="H85" s="930" t="s">
        <v>367</v>
      </c>
      <c r="I85" s="901" t="s">
        <v>367</v>
      </c>
      <c r="J85" s="931" t="s">
        <v>367</v>
      </c>
    </row>
    <row r="86" spans="1:10" ht="11.25" customHeight="1">
      <c r="A86" s="458" t="s">
        <v>340</v>
      </c>
      <c r="B86" s="853">
        <v>1000</v>
      </c>
      <c r="C86" s="853">
        <v>2500</v>
      </c>
      <c r="D86" s="501">
        <v>1000</v>
      </c>
      <c r="E86" s="566">
        <v>2500</v>
      </c>
      <c r="F86" s="568" t="s">
        <v>523</v>
      </c>
      <c r="G86" s="929">
        <v>5.9999999999999995E-4</v>
      </c>
      <c r="H86" s="930" t="s">
        <v>367</v>
      </c>
      <c r="I86" s="901" t="s">
        <v>367</v>
      </c>
      <c r="J86" s="931" t="s">
        <v>367</v>
      </c>
    </row>
    <row r="87" spans="1:10" ht="11.25" customHeight="1">
      <c r="A87" s="458" t="s">
        <v>103</v>
      </c>
      <c r="B87" s="853">
        <v>1000</v>
      </c>
      <c r="C87" s="853">
        <v>2500</v>
      </c>
      <c r="D87" s="501">
        <v>1000</v>
      </c>
      <c r="E87" s="566">
        <v>2500</v>
      </c>
      <c r="F87" s="568" t="s">
        <v>523</v>
      </c>
      <c r="G87" s="929">
        <v>9.8000000000000004E-8</v>
      </c>
      <c r="H87" s="930" t="s">
        <v>367</v>
      </c>
      <c r="I87" s="901" t="s">
        <v>367</v>
      </c>
      <c r="J87" s="931" t="s">
        <v>367</v>
      </c>
    </row>
    <row r="88" spans="1:10" ht="11.25" customHeight="1">
      <c r="A88" s="458" t="s">
        <v>341</v>
      </c>
      <c r="B88" s="853">
        <v>2500</v>
      </c>
      <c r="C88" s="853">
        <v>5000</v>
      </c>
      <c r="D88" s="501">
        <v>2500</v>
      </c>
      <c r="E88" s="566">
        <v>5000</v>
      </c>
      <c r="F88" s="568" t="s">
        <v>523</v>
      </c>
      <c r="G88" s="929">
        <v>4.0000000000000002E-4</v>
      </c>
      <c r="H88" s="930">
        <v>300</v>
      </c>
      <c r="I88" s="901">
        <v>0.02</v>
      </c>
      <c r="J88" s="931">
        <v>0.02</v>
      </c>
    </row>
    <row r="89" spans="1:10" ht="11.25" customHeight="1">
      <c r="A89" s="458" t="s">
        <v>342</v>
      </c>
      <c r="B89" s="853">
        <v>2500</v>
      </c>
      <c r="C89" s="853">
        <v>5000</v>
      </c>
      <c r="D89" s="501">
        <v>2500</v>
      </c>
      <c r="E89" s="566">
        <v>5000</v>
      </c>
      <c r="F89" s="568" t="s">
        <v>523</v>
      </c>
      <c r="G89" s="929">
        <v>2.0000000000000002E-5</v>
      </c>
      <c r="H89" s="930">
        <v>300</v>
      </c>
      <c r="I89" s="901">
        <v>1.9E-2</v>
      </c>
      <c r="J89" s="931">
        <v>1.0526315789473686E-3</v>
      </c>
    </row>
    <row r="90" spans="1:10" ht="11.25" customHeight="1">
      <c r="A90" s="458" t="s">
        <v>371</v>
      </c>
      <c r="B90" s="853">
        <v>1000</v>
      </c>
      <c r="C90" s="853">
        <v>2500</v>
      </c>
      <c r="D90" s="501">
        <v>1000</v>
      </c>
      <c r="E90" s="566">
        <v>2500</v>
      </c>
      <c r="F90" s="568" t="s">
        <v>523</v>
      </c>
      <c r="G90" s="929">
        <v>1.8E-5</v>
      </c>
      <c r="H90" s="930" t="s">
        <v>367</v>
      </c>
      <c r="I90" s="901" t="s">
        <v>367</v>
      </c>
      <c r="J90" s="931" t="s">
        <v>367</v>
      </c>
    </row>
    <row r="91" spans="1:10" ht="11.25" customHeight="1">
      <c r="A91" s="458" t="s">
        <v>343</v>
      </c>
      <c r="B91" s="853">
        <v>1000</v>
      </c>
      <c r="C91" s="853">
        <v>2500</v>
      </c>
      <c r="D91" s="501">
        <v>1000</v>
      </c>
      <c r="E91" s="566">
        <v>2500</v>
      </c>
      <c r="F91" s="568" t="s">
        <v>523</v>
      </c>
      <c r="G91" s="929">
        <v>0.22</v>
      </c>
      <c r="H91" s="930">
        <v>12000</v>
      </c>
      <c r="I91" s="901">
        <v>1.1000000000000001</v>
      </c>
      <c r="J91" s="931">
        <v>0.19999999999999998</v>
      </c>
    </row>
    <row r="92" spans="1:10" ht="11.25" customHeight="1">
      <c r="A92" s="458" t="s">
        <v>364</v>
      </c>
      <c r="B92" s="853">
        <v>1000</v>
      </c>
      <c r="C92" s="853">
        <v>2500</v>
      </c>
      <c r="D92" s="501">
        <v>1000</v>
      </c>
      <c r="E92" s="566">
        <v>2500</v>
      </c>
      <c r="F92" s="568" t="s">
        <v>523</v>
      </c>
      <c r="G92" s="929">
        <v>4.1999999999999998E-5</v>
      </c>
      <c r="H92" s="930" t="s">
        <v>367</v>
      </c>
      <c r="I92" s="901" t="s">
        <v>367</v>
      </c>
      <c r="J92" s="931" t="s">
        <v>367</v>
      </c>
    </row>
    <row r="93" spans="1:10" ht="11.25" customHeight="1">
      <c r="A93" s="458" t="s">
        <v>344</v>
      </c>
      <c r="B93" s="853">
        <v>1000</v>
      </c>
      <c r="C93" s="853">
        <v>2500</v>
      </c>
      <c r="D93" s="501">
        <v>1000</v>
      </c>
      <c r="E93" s="566">
        <v>2500</v>
      </c>
      <c r="F93" s="568" t="s">
        <v>523</v>
      </c>
      <c r="G93" s="929">
        <v>0.21</v>
      </c>
      <c r="H93" s="930" t="s">
        <v>367</v>
      </c>
      <c r="I93" s="901" t="s">
        <v>367</v>
      </c>
      <c r="J93" s="931" t="s">
        <v>367</v>
      </c>
    </row>
    <row r="94" spans="1:10" ht="11.25" customHeight="1">
      <c r="A94" s="458" t="s">
        <v>104</v>
      </c>
      <c r="B94" s="853">
        <v>1000</v>
      </c>
      <c r="C94" s="853">
        <v>2500</v>
      </c>
      <c r="D94" s="501">
        <v>1000</v>
      </c>
      <c r="E94" s="566">
        <v>2500</v>
      </c>
      <c r="F94" s="568" t="s">
        <v>523</v>
      </c>
      <c r="G94" s="929">
        <v>2.2999999999999999E-7</v>
      </c>
      <c r="H94" s="930" t="s">
        <v>367</v>
      </c>
      <c r="I94" s="901" t="s">
        <v>367</v>
      </c>
      <c r="J94" s="931" t="s">
        <v>367</v>
      </c>
    </row>
    <row r="95" spans="1:10" ht="11.25" customHeight="1">
      <c r="A95" s="458" t="s">
        <v>345</v>
      </c>
      <c r="B95" s="853">
        <v>1000</v>
      </c>
      <c r="C95" s="853">
        <v>2500</v>
      </c>
      <c r="D95" s="501">
        <v>1000</v>
      </c>
      <c r="E95" s="566">
        <v>2500</v>
      </c>
      <c r="F95" s="568" t="s">
        <v>523</v>
      </c>
      <c r="G95" s="929">
        <v>1.2999999999999999E-10</v>
      </c>
      <c r="H95" s="930" t="s">
        <v>367</v>
      </c>
      <c r="I95" s="901" t="s">
        <v>367</v>
      </c>
      <c r="J95" s="931" t="s">
        <v>367</v>
      </c>
    </row>
    <row r="96" spans="1:10" ht="11.25" customHeight="1">
      <c r="A96" s="458" t="s">
        <v>105</v>
      </c>
      <c r="B96" s="853">
        <v>1000</v>
      </c>
      <c r="C96" s="853">
        <v>2500</v>
      </c>
      <c r="D96" s="501">
        <v>1000</v>
      </c>
      <c r="E96" s="566">
        <v>2500</v>
      </c>
      <c r="F96" s="568" t="s">
        <v>523</v>
      </c>
      <c r="G96" s="929">
        <v>0.44</v>
      </c>
      <c r="H96" s="930" t="s">
        <v>367</v>
      </c>
      <c r="I96" s="901" t="s">
        <v>367</v>
      </c>
      <c r="J96" s="931" t="s">
        <v>367</v>
      </c>
    </row>
    <row r="97" spans="1:10" ht="11.25" customHeight="1">
      <c r="A97" s="458" t="s">
        <v>346</v>
      </c>
      <c r="B97" s="853">
        <v>2500</v>
      </c>
      <c r="C97" s="853">
        <v>5000</v>
      </c>
      <c r="D97" s="501">
        <v>2500</v>
      </c>
      <c r="E97" s="566">
        <v>5000</v>
      </c>
      <c r="F97" s="568" t="s">
        <v>523</v>
      </c>
      <c r="G97" s="929" t="s">
        <v>367</v>
      </c>
      <c r="H97" s="930" t="s">
        <v>367</v>
      </c>
      <c r="I97" s="901" t="s">
        <v>367</v>
      </c>
      <c r="J97" s="931" t="s">
        <v>367</v>
      </c>
    </row>
    <row r="98" spans="1:10" ht="11.25" customHeight="1">
      <c r="A98" s="458" t="s">
        <v>347</v>
      </c>
      <c r="B98" s="853">
        <v>1000</v>
      </c>
      <c r="C98" s="853">
        <v>2500</v>
      </c>
      <c r="D98" s="501">
        <v>1000</v>
      </c>
      <c r="E98" s="566">
        <v>2500</v>
      </c>
      <c r="F98" s="568" t="s">
        <v>523</v>
      </c>
      <c r="G98" s="929" t="s">
        <v>367</v>
      </c>
      <c r="H98" s="930" t="s">
        <v>367</v>
      </c>
      <c r="I98" s="901" t="s">
        <v>367</v>
      </c>
      <c r="J98" s="931" t="s">
        <v>367</v>
      </c>
    </row>
    <row r="99" spans="1:10" ht="11.25" customHeight="1">
      <c r="A99" s="458" t="s">
        <v>348</v>
      </c>
      <c r="B99" s="853">
        <v>1000</v>
      </c>
      <c r="C99" s="853">
        <v>2500</v>
      </c>
      <c r="D99" s="501">
        <v>1000</v>
      </c>
      <c r="E99" s="566">
        <v>2500</v>
      </c>
      <c r="F99" s="568" t="s">
        <v>523</v>
      </c>
      <c r="G99" s="929">
        <v>2.6000000000000001E-6</v>
      </c>
      <c r="H99" s="930" t="s">
        <v>367</v>
      </c>
      <c r="I99" s="901" t="s">
        <v>367</v>
      </c>
      <c r="J99" s="931" t="s">
        <v>367</v>
      </c>
    </row>
    <row r="100" spans="1:10" ht="11.25" customHeight="1">
      <c r="A100" s="458" t="s">
        <v>350</v>
      </c>
      <c r="B100" s="853">
        <v>1000</v>
      </c>
      <c r="C100" s="853">
        <v>2500</v>
      </c>
      <c r="D100" s="501">
        <v>1000</v>
      </c>
      <c r="E100" s="566">
        <v>2500</v>
      </c>
      <c r="F100" s="568">
        <v>28431.476163522013</v>
      </c>
      <c r="G100" s="929">
        <v>90.6</v>
      </c>
      <c r="H100" s="930">
        <v>32000</v>
      </c>
      <c r="I100" s="901">
        <v>11</v>
      </c>
      <c r="J100" s="931">
        <v>8.2363636363636363</v>
      </c>
    </row>
    <row r="101" spans="1:10" ht="11.25" customHeight="1">
      <c r="A101" s="458" t="s">
        <v>351</v>
      </c>
      <c r="B101" s="853">
        <v>500</v>
      </c>
      <c r="C101" s="853">
        <v>1000</v>
      </c>
      <c r="D101" s="501">
        <v>500</v>
      </c>
      <c r="E101" s="566">
        <v>1000</v>
      </c>
      <c r="F101" s="568">
        <v>3356.5423899371067</v>
      </c>
      <c r="G101" s="929">
        <v>19.86</v>
      </c>
      <c r="H101" s="930">
        <v>420</v>
      </c>
      <c r="I101" s="901">
        <v>0.1</v>
      </c>
      <c r="J101" s="931">
        <v>198.6</v>
      </c>
    </row>
    <row r="102" spans="1:10" ht="11.25" customHeight="1">
      <c r="A102" s="458" t="s">
        <v>352</v>
      </c>
      <c r="B102" s="853">
        <v>500</v>
      </c>
      <c r="C102" s="853">
        <v>1000</v>
      </c>
      <c r="D102" s="501">
        <v>500</v>
      </c>
      <c r="E102" s="566">
        <v>1000</v>
      </c>
      <c r="F102" s="568" t="s">
        <v>523</v>
      </c>
      <c r="G102" s="929" t="s">
        <v>367</v>
      </c>
      <c r="H102" s="930" t="s">
        <v>367</v>
      </c>
      <c r="I102" s="901" t="s">
        <v>367</v>
      </c>
      <c r="J102" s="931" t="s">
        <v>367</v>
      </c>
    </row>
    <row r="103" spans="1:10" ht="11.25" customHeight="1">
      <c r="A103" s="458" t="s">
        <v>353</v>
      </c>
      <c r="B103" s="853">
        <v>500</v>
      </c>
      <c r="C103" s="853">
        <v>1000</v>
      </c>
      <c r="D103" s="501">
        <v>500</v>
      </c>
      <c r="E103" s="566">
        <v>1000</v>
      </c>
      <c r="F103" s="568">
        <v>8869.0732075471715</v>
      </c>
      <c r="G103" s="929">
        <v>250</v>
      </c>
      <c r="H103" s="930">
        <v>530</v>
      </c>
      <c r="I103" s="901">
        <v>0.13</v>
      </c>
      <c r="J103" s="931">
        <v>1923.0769230769231</v>
      </c>
    </row>
    <row r="104" spans="1:10" ht="11.25" customHeight="1">
      <c r="A104" s="458" t="s">
        <v>349</v>
      </c>
      <c r="B104" s="853">
        <v>1000</v>
      </c>
      <c r="C104" s="853">
        <v>2500</v>
      </c>
      <c r="D104" s="501">
        <v>1000</v>
      </c>
      <c r="E104" s="566">
        <v>2500</v>
      </c>
      <c r="F104" s="568">
        <v>3314.8708176100631</v>
      </c>
      <c r="G104" s="929">
        <v>435</v>
      </c>
      <c r="H104" s="930">
        <v>560000</v>
      </c>
      <c r="I104" s="901">
        <v>160</v>
      </c>
      <c r="J104" s="931">
        <v>2.71875</v>
      </c>
    </row>
    <row r="105" spans="1:10" ht="11.25" customHeight="1">
      <c r="A105" s="458" t="s">
        <v>590</v>
      </c>
      <c r="B105" s="853">
        <v>1000</v>
      </c>
      <c r="C105" s="853">
        <v>2500</v>
      </c>
      <c r="D105" s="501">
        <v>1000</v>
      </c>
      <c r="E105" s="566">
        <v>2500</v>
      </c>
      <c r="F105" s="568" t="s">
        <v>523</v>
      </c>
      <c r="G105" s="929">
        <v>6.7000000000000004E-2</v>
      </c>
      <c r="H105" s="930">
        <v>68</v>
      </c>
      <c r="I105" s="901">
        <v>1.15E-2</v>
      </c>
      <c r="J105" s="931">
        <v>5.8260869565217392</v>
      </c>
    </row>
    <row r="106" spans="1:10" ht="11.25" customHeight="1">
      <c r="A106" s="458" t="s">
        <v>591</v>
      </c>
      <c r="B106" s="853">
        <v>1000</v>
      </c>
      <c r="C106" s="853">
        <v>2500</v>
      </c>
      <c r="D106" s="501">
        <v>1000</v>
      </c>
      <c r="E106" s="566">
        <v>2500</v>
      </c>
      <c r="F106" s="568" t="s">
        <v>523</v>
      </c>
      <c r="G106" s="929">
        <v>5.5E-2</v>
      </c>
      <c r="H106" s="930">
        <v>68</v>
      </c>
      <c r="I106" s="901">
        <v>1.15E-2</v>
      </c>
      <c r="J106" s="931">
        <v>4.7826086956521738</v>
      </c>
    </row>
    <row r="107" spans="1:10" ht="11.25" customHeight="1">
      <c r="A107" s="458" t="s">
        <v>465</v>
      </c>
      <c r="B107" s="853">
        <v>2500</v>
      </c>
      <c r="C107" s="853">
        <v>5000</v>
      </c>
      <c r="D107" s="501">
        <v>2500</v>
      </c>
      <c r="E107" s="566">
        <v>5000</v>
      </c>
      <c r="F107" s="568" t="s">
        <v>523</v>
      </c>
      <c r="G107" s="929" t="s">
        <v>367</v>
      </c>
      <c r="H107" s="930" t="s">
        <v>367</v>
      </c>
      <c r="I107" s="901" t="s">
        <v>367</v>
      </c>
      <c r="J107" s="931" t="s">
        <v>367</v>
      </c>
    </row>
    <row r="108" spans="1:10" ht="11.25" customHeight="1">
      <c r="A108" s="458" t="s">
        <v>466</v>
      </c>
      <c r="B108" s="853">
        <v>1000</v>
      </c>
      <c r="C108" s="853">
        <v>2500</v>
      </c>
      <c r="D108" s="501">
        <v>1000</v>
      </c>
      <c r="E108" s="566">
        <v>2500</v>
      </c>
      <c r="F108" s="568" t="s">
        <v>523</v>
      </c>
      <c r="G108" s="929">
        <v>8.5000000000000006E-2</v>
      </c>
      <c r="H108" s="930">
        <v>440</v>
      </c>
      <c r="I108" s="901">
        <v>8.4000000000000005E-2</v>
      </c>
      <c r="J108" s="931">
        <v>1.0119047619047619</v>
      </c>
    </row>
    <row r="109" spans="1:10" ht="11.25" customHeight="1">
      <c r="A109" s="458" t="s">
        <v>812</v>
      </c>
      <c r="B109" s="853">
        <v>2500</v>
      </c>
      <c r="C109" s="853">
        <v>5000</v>
      </c>
      <c r="D109" s="501">
        <v>2500</v>
      </c>
      <c r="E109" s="566">
        <v>5000</v>
      </c>
      <c r="F109" s="568" t="s">
        <v>523</v>
      </c>
      <c r="G109" s="929" t="s">
        <v>367</v>
      </c>
      <c r="H109" s="930" t="s">
        <v>367</v>
      </c>
      <c r="I109" s="901" t="s">
        <v>367</v>
      </c>
      <c r="J109" s="931" t="s">
        <v>367</v>
      </c>
    </row>
    <row r="110" spans="1:10" ht="11.25" customHeight="1">
      <c r="A110" s="458" t="s">
        <v>106</v>
      </c>
      <c r="B110" s="853">
        <v>1000</v>
      </c>
      <c r="C110" s="853">
        <v>2500</v>
      </c>
      <c r="D110" s="501">
        <v>1000</v>
      </c>
      <c r="E110" s="566">
        <v>2500</v>
      </c>
      <c r="F110" s="568">
        <v>3048.4437410062897</v>
      </c>
      <c r="G110" s="929">
        <v>0.245</v>
      </c>
      <c r="H110" s="930" t="s">
        <v>367</v>
      </c>
      <c r="I110" s="901" t="s">
        <v>367</v>
      </c>
      <c r="J110" s="931" t="s">
        <v>367</v>
      </c>
    </row>
    <row r="111" spans="1:10" ht="11.25" customHeight="1">
      <c r="A111" s="458" t="s">
        <v>107</v>
      </c>
      <c r="B111" s="853">
        <v>1000</v>
      </c>
      <c r="C111" s="853">
        <v>2500</v>
      </c>
      <c r="D111" s="501">
        <v>1000</v>
      </c>
      <c r="E111" s="566">
        <v>2500</v>
      </c>
      <c r="F111" s="568" t="s">
        <v>523</v>
      </c>
      <c r="G111" s="929">
        <v>4.0000000000000002E-4</v>
      </c>
      <c r="H111" s="930" t="s">
        <v>367</v>
      </c>
      <c r="I111" s="901" t="s">
        <v>367</v>
      </c>
      <c r="J111" s="931" t="s">
        <v>367</v>
      </c>
    </row>
    <row r="112" spans="1:10" ht="11.25" customHeight="1">
      <c r="A112" s="458" t="s">
        <v>108</v>
      </c>
      <c r="B112" s="853">
        <v>1000</v>
      </c>
      <c r="C112" s="853">
        <v>2500</v>
      </c>
      <c r="D112" s="501">
        <v>1000</v>
      </c>
      <c r="E112" s="566">
        <v>2500</v>
      </c>
      <c r="F112" s="568" t="s">
        <v>523</v>
      </c>
      <c r="G112" s="929">
        <v>0.19</v>
      </c>
      <c r="H112" s="930" t="s">
        <v>367</v>
      </c>
      <c r="I112" s="901" t="s">
        <v>367</v>
      </c>
      <c r="J112" s="931" t="s">
        <v>367</v>
      </c>
    </row>
    <row r="113" spans="1:10" ht="11.25" customHeight="1">
      <c r="A113" s="458" t="s">
        <v>109</v>
      </c>
      <c r="B113" s="853">
        <v>1000</v>
      </c>
      <c r="C113" s="853">
        <v>2500</v>
      </c>
      <c r="D113" s="501">
        <v>1000</v>
      </c>
      <c r="E113" s="566">
        <v>2500</v>
      </c>
      <c r="F113" s="568" t="s">
        <v>523</v>
      </c>
      <c r="G113" s="929">
        <v>0.20499999999999999</v>
      </c>
      <c r="H113" s="930" t="s">
        <v>367</v>
      </c>
      <c r="I113" s="901" t="s">
        <v>367</v>
      </c>
      <c r="J113" s="931" t="s">
        <v>367</v>
      </c>
    </row>
    <row r="114" spans="1:10" ht="11.25" customHeight="1">
      <c r="A114" s="458" t="s">
        <v>110</v>
      </c>
      <c r="B114" s="853">
        <v>1000</v>
      </c>
      <c r="C114" s="853">
        <v>2500</v>
      </c>
      <c r="D114" s="501">
        <v>1000</v>
      </c>
      <c r="E114" s="566">
        <v>2500</v>
      </c>
      <c r="F114" s="568" t="s">
        <v>523</v>
      </c>
      <c r="G114" s="929">
        <v>1.6E-2</v>
      </c>
      <c r="H114" s="930" t="s">
        <v>367</v>
      </c>
      <c r="I114" s="901" t="s">
        <v>367</v>
      </c>
      <c r="J114" s="931" t="s">
        <v>367</v>
      </c>
    </row>
    <row r="115" spans="1:10" ht="11.25" customHeight="1">
      <c r="A115" s="458" t="s">
        <v>467</v>
      </c>
      <c r="B115" s="853">
        <v>1000</v>
      </c>
      <c r="C115" s="853">
        <v>2500</v>
      </c>
      <c r="D115" s="501">
        <v>1000</v>
      </c>
      <c r="E115" s="566">
        <v>2500</v>
      </c>
      <c r="F115" s="568" t="s">
        <v>523</v>
      </c>
      <c r="G115" s="929">
        <v>1.1E-4</v>
      </c>
      <c r="H115" s="930" t="s">
        <v>367</v>
      </c>
      <c r="I115" s="901" t="s">
        <v>367</v>
      </c>
      <c r="J115" s="931" t="s">
        <v>367</v>
      </c>
    </row>
    <row r="116" spans="1:10" ht="11.25" customHeight="1">
      <c r="A116" s="458" t="s">
        <v>111</v>
      </c>
      <c r="B116" s="853">
        <v>1000</v>
      </c>
      <c r="C116" s="853">
        <v>2500</v>
      </c>
      <c r="D116" s="501">
        <v>1000</v>
      </c>
      <c r="E116" s="566">
        <v>2500</v>
      </c>
      <c r="F116" s="568" t="s">
        <v>523</v>
      </c>
      <c r="G116" s="929">
        <v>5.4999999999999996E-9</v>
      </c>
      <c r="H116" s="930" t="s">
        <v>367</v>
      </c>
      <c r="I116" s="901" t="s">
        <v>367</v>
      </c>
      <c r="J116" s="931" t="s">
        <v>367</v>
      </c>
    </row>
    <row r="117" spans="1:10" ht="11.25" customHeight="1">
      <c r="A117" s="458" t="s">
        <v>231</v>
      </c>
      <c r="B117" s="853">
        <v>2500</v>
      </c>
      <c r="C117" s="853">
        <v>5000</v>
      </c>
      <c r="D117" s="501">
        <v>2500</v>
      </c>
      <c r="E117" s="566">
        <v>5000</v>
      </c>
      <c r="F117" s="568" t="s">
        <v>523</v>
      </c>
      <c r="G117" s="929" t="s">
        <v>367</v>
      </c>
      <c r="H117" s="930" t="s">
        <v>367</v>
      </c>
      <c r="I117" s="901" t="s">
        <v>367</v>
      </c>
      <c r="J117" s="931" t="s">
        <v>367</v>
      </c>
    </row>
    <row r="118" spans="1:10" ht="11.25" customHeight="1">
      <c r="A118" s="458" t="s">
        <v>468</v>
      </c>
      <c r="B118" s="853">
        <v>1000</v>
      </c>
      <c r="C118" s="853">
        <v>2500</v>
      </c>
      <c r="D118" s="501">
        <v>1000</v>
      </c>
      <c r="E118" s="566">
        <v>2500</v>
      </c>
      <c r="F118" s="568" t="s">
        <v>523</v>
      </c>
      <c r="G118" s="929" t="s">
        <v>367</v>
      </c>
      <c r="H118" s="930">
        <v>55</v>
      </c>
      <c r="I118" s="901">
        <v>7.4200000000000004E-3</v>
      </c>
      <c r="J118" s="931" t="e">
        <v>#VALUE!</v>
      </c>
    </row>
    <row r="119" spans="1:10" ht="11.25" customHeight="1">
      <c r="A119" s="458" t="s">
        <v>469</v>
      </c>
      <c r="B119" s="853">
        <v>1000</v>
      </c>
      <c r="C119" s="853">
        <v>2500</v>
      </c>
      <c r="D119" s="501">
        <v>1000</v>
      </c>
      <c r="E119" s="566">
        <v>2500</v>
      </c>
      <c r="F119" s="568" t="s">
        <v>523</v>
      </c>
      <c r="G119" s="929">
        <v>0.35</v>
      </c>
      <c r="H119" s="930">
        <v>156</v>
      </c>
      <c r="I119" s="901">
        <v>0.04</v>
      </c>
      <c r="J119" s="931">
        <v>8.75</v>
      </c>
    </row>
    <row r="120" spans="1:10" ht="11.25" customHeight="1">
      <c r="A120" s="458" t="s">
        <v>365</v>
      </c>
      <c r="B120" s="853">
        <v>1000</v>
      </c>
      <c r="C120" s="853">
        <v>2500</v>
      </c>
      <c r="D120" s="501">
        <v>1000</v>
      </c>
      <c r="E120" s="566">
        <v>2500</v>
      </c>
      <c r="F120" s="568" t="s">
        <v>523</v>
      </c>
      <c r="G120" s="929">
        <v>7.7000000000000001E-5</v>
      </c>
      <c r="H120" s="930" t="s">
        <v>367</v>
      </c>
      <c r="I120" s="901" t="s">
        <v>367</v>
      </c>
      <c r="J120" s="931" t="s">
        <v>367</v>
      </c>
    </row>
    <row r="121" spans="1:10" ht="11.25" customHeight="1">
      <c r="A121" s="458" t="s">
        <v>112</v>
      </c>
      <c r="B121" s="853">
        <v>1000</v>
      </c>
      <c r="C121" s="853">
        <v>2500</v>
      </c>
      <c r="D121" s="501">
        <v>1000</v>
      </c>
      <c r="E121" s="566">
        <v>2500</v>
      </c>
      <c r="F121" s="568" t="s">
        <v>523</v>
      </c>
      <c r="G121" s="929">
        <v>4.2E-7</v>
      </c>
      <c r="H121" s="930" t="s">
        <v>367</v>
      </c>
      <c r="I121" s="901" t="s">
        <v>367</v>
      </c>
      <c r="J121" s="931" t="s">
        <v>367</v>
      </c>
    </row>
    <row r="122" spans="1:10" ht="11.25" customHeight="1">
      <c r="A122" s="458" t="s">
        <v>470</v>
      </c>
      <c r="B122" s="853">
        <v>1000</v>
      </c>
      <c r="C122" s="853">
        <v>2500</v>
      </c>
      <c r="D122" s="501">
        <v>1000</v>
      </c>
      <c r="E122" s="566">
        <v>2500</v>
      </c>
      <c r="F122" s="568" t="s">
        <v>523</v>
      </c>
      <c r="G122" s="929">
        <v>4.5000000000000001E-6</v>
      </c>
      <c r="H122" s="930" t="s">
        <v>367</v>
      </c>
      <c r="I122" s="901" t="s">
        <v>367</v>
      </c>
      <c r="J122" s="931" t="s">
        <v>367</v>
      </c>
    </row>
    <row r="123" spans="1:10" ht="11.25" customHeight="1">
      <c r="A123" s="458" t="s">
        <v>471</v>
      </c>
      <c r="B123" s="853">
        <v>2500</v>
      </c>
      <c r="C123" s="853">
        <v>5000</v>
      </c>
      <c r="D123" s="501">
        <v>2500</v>
      </c>
      <c r="E123" s="566">
        <v>5000</v>
      </c>
      <c r="F123" s="568" t="s">
        <v>523</v>
      </c>
      <c r="G123" s="929">
        <v>1.4000000000000001E-10</v>
      </c>
      <c r="H123" s="930" t="s">
        <v>367</v>
      </c>
      <c r="I123" s="901" t="s">
        <v>367</v>
      </c>
      <c r="J123" s="931" t="s">
        <v>367</v>
      </c>
    </row>
    <row r="124" spans="1:10" ht="11.25" customHeight="1">
      <c r="A124" s="458" t="s">
        <v>813</v>
      </c>
      <c r="B124" s="853">
        <v>2500</v>
      </c>
      <c r="C124" s="853">
        <v>5000</v>
      </c>
      <c r="D124" s="501">
        <v>2500</v>
      </c>
      <c r="E124" s="566">
        <v>5000</v>
      </c>
      <c r="F124" s="568" t="s">
        <v>523</v>
      </c>
      <c r="G124" s="929" t="s">
        <v>367</v>
      </c>
      <c r="H124" s="930" t="s">
        <v>367</v>
      </c>
      <c r="I124" s="901" t="s">
        <v>367</v>
      </c>
      <c r="J124" s="931" t="s">
        <v>367</v>
      </c>
    </row>
    <row r="125" spans="1:10" ht="11.25" customHeight="1">
      <c r="A125" s="458" t="s">
        <v>113</v>
      </c>
      <c r="B125" s="853">
        <v>1000</v>
      </c>
      <c r="C125" s="853">
        <v>2500</v>
      </c>
      <c r="D125" s="501">
        <v>1000</v>
      </c>
      <c r="E125" s="566">
        <v>2500</v>
      </c>
      <c r="F125" s="568" t="s">
        <v>523</v>
      </c>
      <c r="G125" s="929">
        <v>2.1999999999999998E-8</v>
      </c>
      <c r="H125" s="930" t="s">
        <v>367</v>
      </c>
      <c r="I125" s="901" t="s">
        <v>367</v>
      </c>
      <c r="J125" s="931" t="s">
        <v>367</v>
      </c>
    </row>
    <row r="126" spans="1:10" ht="11.25" customHeight="1">
      <c r="A126" s="458" t="s">
        <v>472</v>
      </c>
      <c r="B126" s="853">
        <v>867.20140880503141</v>
      </c>
      <c r="C126" s="853">
        <v>867.20140880503141</v>
      </c>
      <c r="D126" s="501">
        <v>1000</v>
      </c>
      <c r="E126" s="566">
        <v>2500</v>
      </c>
      <c r="F126" s="568">
        <v>867.20140880503141</v>
      </c>
      <c r="G126" s="929">
        <v>6.4</v>
      </c>
      <c r="H126" s="930">
        <v>1360</v>
      </c>
      <c r="I126" s="901">
        <v>0.3</v>
      </c>
      <c r="J126" s="931">
        <v>21.333333333333336</v>
      </c>
    </row>
    <row r="127" spans="1:10" ht="11.25" customHeight="1">
      <c r="A127" s="458" t="s">
        <v>114</v>
      </c>
      <c r="B127" s="853">
        <v>1000</v>
      </c>
      <c r="C127" s="853">
        <v>2500</v>
      </c>
      <c r="D127" s="501">
        <v>1000</v>
      </c>
      <c r="E127" s="566">
        <v>2500</v>
      </c>
      <c r="F127" s="568" t="s">
        <v>523</v>
      </c>
      <c r="G127" s="929">
        <v>4.7E-7</v>
      </c>
      <c r="H127" s="930" t="s">
        <v>367</v>
      </c>
      <c r="I127" s="901" t="s">
        <v>367</v>
      </c>
      <c r="J127" s="931" t="s">
        <v>367</v>
      </c>
    </row>
    <row r="128" spans="1:10" ht="11.25" customHeight="1">
      <c r="A128" s="458" t="s">
        <v>19</v>
      </c>
      <c r="B128" s="853">
        <v>500</v>
      </c>
      <c r="C128" s="853">
        <v>1000</v>
      </c>
      <c r="D128" s="501">
        <v>500</v>
      </c>
      <c r="E128" s="566">
        <v>1000</v>
      </c>
      <c r="F128" s="568">
        <v>112670.04402515724</v>
      </c>
      <c r="G128" s="929">
        <v>40.700000000000003</v>
      </c>
      <c r="H128" s="930" t="s">
        <v>367</v>
      </c>
      <c r="I128" s="901" t="s">
        <v>367</v>
      </c>
      <c r="J128" s="931" t="s">
        <v>367</v>
      </c>
    </row>
    <row r="129" spans="1:10" ht="11.25" customHeight="1">
      <c r="A129" s="458" t="s">
        <v>473</v>
      </c>
      <c r="B129" s="853">
        <v>500</v>
      </c>
      <c r="C129" s="853">
        <v>679.56857484276736</v>
      </c>
      <c r="D129" s="501">
        <v>500</v>
      </c>
      <c r="E129" s="566">
        <v>1000</v>
      </c>
      <c r="F129" s="568">
        <v>679.56857484276736</v>
      </c>
      <c r="G129" s="929">
        <v>12</v>
      </c>
      <c r="H129" s="930" t="s">
        <v>367</v>
      </c>
      <c r="I129" s="901" t="s">
        <v>367</v>
      </c>
      <c r="J129" s="931" t="s">
        <v>367</v>
      </c>
    </row>
    <row r="130" spans="1:10" ht="11.25" customHeight="1">
      <c r="A130" s="458" t="s">
        <v>474</v>
      </c>
      <c r="B130" s="853">
        <v>1000</v>
      </c>
      <c r="C130" s="853">
        <v>1903.1173320754715</v>
      </c>
      <c r="D130" s="501">
        <v>1000</v>
      </c>
      <c r="E130" s="566">
        <v>2500</v>
      </c>
      <c r="F130" s="568">
        <v>1903.1173320754715</v>
      </c>
      <c r="G130" s="929">
        <v>4.62</v>
      </c>
      <c r="H130" s="930">
        <v>10470</v>
      </c>
      <c r="I130" s="901">
        <v>1.5</v>
      </c>
      <c r="J130" s="931">
        <v>3.08</v>
      </c>
    </row>
    <row r="131" spans="1:10" ht="11.25" customHeight="1">
      <c r="A131" s="458" t="s">
        <v>475</v>
      </c>
      <c r="B131" s="853">
        <v>166.02402867924528</v>
      </c>
      <c r="C131" s="853">
        <v>166.02402867924528</v>
      </c>
      <c r="D131" s="501">
        <v>1000</v>
      </c>
      <c r="E131" s="566">
        <v>2500</v>
      </c>
      <c r="F131" s="568">
        <v>166.02402867924528</v>
      </c>
      <c r="G131" s="929">
        <v>18.5</v>
      </c>
      <c r="H131" s="930">
        <v>31730</v>
      </c>
      <c r="I131" s="901">
        <v>4.68</v>
      </c>
      <c r="J131" s="931">
        <v>3.9529914529914532</v>
      </c>
    </row>
    <row r="132" spans="1:10" ht="11.25" customHeight="1">
      <c r="A132" s="458" t="s">
        <v>115</v>
      </c>
      <c r="B132" s="853">
        <v>1000</v>
      </c>
      <c r="C132" s="853">
        <v>2500</v>
      </c>
      <c r="D132" s="501">
        <v>1000</v>
      </c>
      <c r="E132" s="566">
        <v>2500</v>
      </c>
      <c r="F132" s="568" t="s">
        <v>523</v>
      </c>
      <c r="G132" s="929">
        <v>6.7000000000000002E-4</v>
      </c>
      <c r="H132" s="930" t="s">
        <v>367</v>
      </c>
      <c r="I132" s="901" t="s">
        <v>367</v>
      </c>
      <c r="J132" s="931" t="s">
        <v>367</v>
      </c>
    </row>
    <row r="133" spans="1:10" ht="11.25" customHeight="1">
      <c r="A133" s="458" t="s">
        <v>116</v>
      </c>
      <c r="B133" s="853">
        <v>1000</v>
      </c>
      <c r="C133" s="853">
        <v>2500</v>
      </c>
      <c r="D133" s="501">
        <v>1000</v>
      </c>
      <c r="E133" s="566">
        <v>2500</v>
      </c>
      <c r="F133" s="568" t="s">
        <v>523</v>
      </c>
      <c r="G133" s="929">
        <v>3.2999999999999998E-14</v>
      </c>
      <c r="H133" s="930" t="s">
        <v>367</v>
      </c>
      <c r="I133" s="901" t="s">
        <v>367</v>
      </c>
      <c r="J133" s="931" t="s">
        <v>367</v>
      </c>
    </row>
    <row r="134" spans="1:10" ht="11.25" customHeight="1">
      <c r="A134" s="458" t="s">
        <v>476</v>
      </c>
      <c r="B134" s="853">
        <v>2500</v>
      </c>
      <c r="C134" s="853">
        <v>5000</v>
      </c>
      <c r="D134" s="501">
        <v>2500</v>
      </c>
      <c r="E134" s="566">
        <v>5000</v>
      </c>
      <c r="F134" s="568" t="s">
        <v>523</v>
      </c>
      <c r="G134" s="929" t="s">
        <v>367</v>
      </c>
      <c r="H134" s="930" t="s">
        <v>367</v>
      </c>
      <c r="I134" s="901" t="s">
        <v>367</v>
      </c>
      <c r="J134" s="931" t="s">
        <v>367</v>
      </c>
    </row>
    <row r="135" spans="1:10" ht="11.25" customHeight="1">
      <c r="A135" s="458" t="s">
        <v>366</v>
      </c>
      <c r="B135" s="853">
        <v>817.67394716981141</v>
      </c>
      <c r="C135" s="853">
        <v>817.67394716981141</v>
      </c>
      <c r="D135" s="501">
        <v>1000</v>
      </c>
      <c r="E135" s="566">
        <v>2500</v>
      </c>
      <c r="F135" s="568">
        <v>817.67394716981141</v>
      </c>
      <c r="G135" s="929">
        <v>28.4</v>
      </c>
      <c r="H135" s="930">
        <v>30000</v>
      </c>
      <c r="I135" s="901">
        <v>8</v>
      </c>
      <c r="J135" s="931">
        <v>3.55</v>
      </c>
    </row>
    <row r="136" spans="1:10" ht="11.25" customHeight="1">
      <c r="A136" s="458" t="s">
        <v>20</v>
      </c>
      <c r="B136" s="853">
        <v>1000</v>
      </c>
      <c r="C136" s="853">
        <v>2500</v>
      </c>
      <c r="D136" s="501">
        <v>1000</v>
      </c>
      <c r="E136" s="566">
        <v>2500</v>
      </c>
      <c r="F136" s="568" t="s">
        <v>523</v>
      </c>
      <c r="G136" s="929">
        <v>6.7000000000000002E-6</v>
      </c>
      <c r="H136" s="930" t="s">
        <v>367</v>
      </c>
      <c r="I136" s="901" t="s">
        <v>367</v>
      </c>
      <c r="J136" s="931" t="s">
        <v>367</v>
      </c>
    </row>
    <row r="137" spans="1:10" ht="11.25" customHeight="1">
      <c r="A137" s="458" t="s">
        <v>57</v>
      </c>
      <c r="B137" s="853">
        <v>2009.9075471698116</v>
      </c>
      <c r="C137" s="853">
        <v>2009.9075471698116</v>
      </c>
      <c r="D137" s="501">
        <v>5000</v>
      </c>
      <c r="E137" s="566">
        <v>5000</v>
      </c>
      <c r="F137" s="568">
        <v>2009.9075471698116</v>
      </c>
      <c r="G137" s="929">
        <v>300</v>
      </c>
      <c r="H137" s="930">
        <v>1000</v>
      </c>
      <c r="I137" s="901">
        <v>0.25</v>
      </c>
      <c r="J137" s="931">
        <v>1200</v>
      </c>
    </row>
    <row r="138" spans="1:10" ht="11.25" customHeight="1">
      <c r="A138" s="458" t="s">
        <v>56</v>
      </c>
      <c r="B138" s="853">
        <v>5000</v>
      </c>
      <c r="C138" s="853">
        <v>5000</v>
      </c>
      <c r="D138" s="501">
        <v>5000</v>
      </c>
      <c r="E138" s="566">
        <v>5000</v>
      </c>
      <c r="F138" s="568" t="s">
        <v>523</v>
      </c>
      <c r="G138" s="929">
        <v>1</v>
      </c>
      <c r="H138" s="930">
        <v>1000</v>
      </c>
      <c r="I138" s="901">
        <v>0.7</v>
      </c>
      <c r="J138" s="931">
        <v>1.4285714285714286</v>
      </c>
    </row>
    <row r="139" spans="1:10" ht="11.25" customHeight="1">
      <c r="A139" s="458" t="s">
        <v>777</v>
      </c>
      <c r="B139" s="853">
        <v>5000</v>
      </c>
      <c r="C139" s="853">
        <v>5000</v>
      </c>
      <c r="D139" s="501">
        <v>5000</v>
      </c>
      <c r="E139" s="566">
        <v>5000</v>
      </c>
      <c r="F139" s="568" t="s">
        <v>523</v>
      </c>
      <c r="G139" s="929" t="s">
        <v>367</v>
      </c>
      <c r="H139" s="930" t="s">
        <v>367</v>
      </c>
      <c r="I139" s="901" t="s">
        <v>367</v>
      </c>
      <c r="J139" s="931" t="s">
        <v>367</v>
      </c>
    </row>
    <row r="140" spans="1:10" ht="11.25" customHeight="1">
      <c r="A140" s="458" t="s">
        <v>814</v>
      </c>
      <c r="B140" s="853">
        <v>1000</v>
      </c>
      <c r="C140" s="853">
        <v>2500</v>
      </c>
      <c r="D140" s="501">
        <v>1000</v>
      </c>
      <c r="E140" s="566">
        <v>2500</v>
      </c>
      <c r="F140" s="568" t="s">
        <v>523</v>
      </c>
      <c r="G140" s="929">
        <v>0.46</v>
      </c>
      <c r="H140" s="930">
        <v>22000</v>
      </c>
      <c r="I140" s="901">
        <v>2.96</v>
      </c>
      <c r="J140" s="931">
        <v>0.1554054054054054</v>
      </c>
    </row>
    <row r="141" spans="1:10" ht="11.25" customHeight="1">
      <c r="A141" s="458" t="s">
        <v>815</v>
      </c>
      <c r="B141" s="853">
        <v>639.65388301886787</v>
      </c>
      <c r="C141" s="853">
        <v>639.65388301886787</v>
      </c>
      <c r="D141" s="501">
        <v>1000</v>
      </c>
      <c r="E141" s="566">
        <v>2500</v>
      </c>
      <c r="F141" s="568">
        <v>639.65388301886787</v>
      </c>
      <c r="G141" s="929">
        <v>124</v>
      </c>
      <c r="H141" s="930">
        <v>65127</v>
      </c>
      <c r="I141" s="901">
        <v>12</v>
      </c>
      <c r="J141" s="931">
        <v>10.333333333333334</v>
      </c>
    </row>
    <row r="142" spans="1:10" ht="11.25" customHeight="1">
      <c r="A142" s="458" t="s">
        <v>477</v>
      </c>
      <c r="B142" s="853">
        <v>500</v>
      </c>
      <c r="C142" s="853">
        <v>1000</v>
      </c>
      <c r="D142" s="501">
        <v>500</v>
      </c>
      <c r="E142" s="566">
        <v>1000</v>
      </c>
      <c r="F142" s="568">
        <v>2160.2214339622642</v>
      </c>
      <c r="G142" s="929">
        <v>23</v>
      </c>
      <c r="H142" s="930" t="s">
        <v>367</v>
      </c>
      <c r="I142" s="901" t="s">
        <v>367</v>
      </c>
      <c r="J142" s="931" t="s">
        <v>367</v>
      </c>
    </row>
    <row r="143" spans="1:10" ht="11.25" customHeight="1">
      <c r="A143" s="458" t="s">
        <v>478</v>
      </c>
      <c r="B143" s="853">
        <v>691.10178616352209</v>
      </c>
      <c r="C143" s="853">
        <v>691.10178616352209</v>
      </c>
      <c r="D143" s="501">
        <v>2500</v>
      </c>
      <c r="E143" s="566">
        <v>5000</v>
      </c>
      <c r="F143" s="568">
        <v>691.10178616352209</v>
      </c>
      <c r="G143" s="929">
        <v>69</v>
      </c>
      <c r="H143" s="930">
        <v>1360000</v>
      </c>
      <c r="I143" s="901">
        <v>249</v>
      </c>
      <c r="J143" s="931">
        <v>0.27710843373493976</v>
      </c>
    </row>
    <row r="144" spans="1:10" ht="11.25" customHeight="1">
      <c r="A144" s="458" t="s">
        <v>479</v>
      </c>
      <c r="B144" s="853">
        <v>500</v>
      </c>
      <c r="C144" s="853">
        <v>1000</v>
      </c>
      <c r="D144" s="501">
        <v>500</v>
      </c>
      <c r="E144" s="566">
        <v>1000</v>
      </c>
      <c r="F144" s="568" t="s">
        <v>523</v>
      </c>
      <c r="G144" s="929">
        <v>7.4999999999999997E-3</v>
      </c>
      <c r="H144" s="930" t="s">
        <v>367</v>
      </c>
      <c r="I144" s="901" t="s">
        <v>367</v>
      </c>
      <c r="J144" s="931" t="s">
        <v>367</v>
      </c>
    </row>
    <row r="145" spans="1:10" ht="11.25" customHeight="1">
      <c r="A145" s="458" t="s">
        <v>480</v>
      </c>
      <c r="B145" s="853">
        <v>1000</v>
      </c>
      <c r="C145" s="853">
        <v>2500</v>
      </c>
      <c r="D145" s="501">
        <v>1000</v>
      </c>
      <c r="E145" s="566">
        <v>2500</v>
      </c>
      <c r="F145" s="568" t="s">
        <v>523</v>
      </c>
      <c r="G145" s="929">
        <v>8.0000000000000002E-3</v>
      </c>
      <c r="H145" s="930">
        <v>0.3</v>
      </c>
      <c r="I145" s="901">
        <v>3.6000000000000001E-5</v>
      </c>
      <c r="J145" s="931">
        <v>222.22222222222223</v>
      </c>
    </row>
    <row r="146" spans="1:10" ht="11.25" customHeight="1">
      <c r="A146" s="462" t="s">
        <v>117</v>
      </c>
      <c r="B146" s="853">
        <v>2500</v>
      </c>
      <c r="C146" s="853">
        <v>5000</v>
      </c>
      <c r="D146" s="501">
        <v>2500</v>
      </c>
      <c r="E146" s="566">
        <v>5000</v>
      </c>
      <c r="F146" s="568" t="s">
        <v>523</v>
      </c>
      <c r="G146" s="929">
        <v>3.8000000000000002E-5</v>
      </c>
      <c r="H146" s="930" t="s">
        <v>367</v>
      </c>
      <c r="I146" s="901" t="s">
        <v>367</v>
      </c>
      <c r="J146" s="931" t="s">
        <v>367</v>
      </c>
    </row>
    <row r="147" spans="1:10" ht="11.25" customHeight="1">
      <c r="A147" s="458" t="s">
        <v>118</v>
      </c>
      <c r="B147" s="853">
        <v>1000</v>
      </c>
      <c r="C147" s="853">
        <v>2500</v>
      </c>
      <c r="D147" s="501">
        <v>1000</v>
      </c>
      <c r="E147" s="566">
        <v>2500</v>
      </c>
      <c r="F147" s="568" t="s">
        <v>523</v>
      </c>
      <c r="G147" s="929">
        <v>1.0000000000000001E-5</v>
      </c>
      <c r="H147" s="930" t="s">
        <v>367</v>
      </c>
      <c r="I147" s="901" t="s">
        <v>367</v>
      </c>
      <c r="J147" s="931" t="s">
        <v>367</v>
      </c>
    </row>
    <row r="148" spans="1:10" ht="11.25" customHeight="1">
      <c r="A148" s="458" t="s">
        <v>119</v>
      </c>
      <c r="B148" s="853">
        <v>500</v>
      </c>
      <c r="C148" s="853">
        <v>1000</v>
      </c>
      <c r="D148" s="501">
        <v>500</v>
      </c>
      <c r="E148" s="566">
        <v>1000</v>
      </c>
      <c r="F148" s="568">
        <v>1395.5380503144659</v>
      </c>
      <c r="G148" s="929">
        <v>3.69</v>
      </c>
      <c r="H148" s="930" t="s">
        <v>367</v>
      </c>
      <c r="I148" s="901" t="s">
        <v>367</v>
      </c>
      <c r="J148" s="931" t="s">
        <v>367</v>
      </c>
    </row>
    <row r="149" spans="1:10" ht="11.25" customHeight="1">
      <c r="A149" s="458" t="s">
        <v>120</v>
      </c>
      <c r="B149" s="853">
        <v>311.17425056603776</v>
      </c>
      <c r="C149" s="853">
        <v>311.17425056603776</v>
      </c>
      <c r="D149" s="501">
        <v>500</v>
      </c>
      <c r="E149" s="566">
        <v>1000</v>
      </c>
      <c r="F149" s="568">
        <v>311.17425056603776</v>
      </c>
      <c r="G149" s="929">
        <v>4.4000000000000004</v>
      </c>
      <c r="H149" s="930" t="s">
        <v>367</v>
      </c>
      <c r="I149" s="901" t="s">
        <v>367</v>
      </c>
      <c r="J149" s="931" t="s">
        <v>367</v>
      </c>
    </row>
    <row r="150" spans="1:10" ht="11.25" customHeight="1">
      <c r="A150" s="458" t="s">
        <v>602</v>
      </c>
      <c r="B150" s="853">
        <v>1000</v>
      </c>
      <c r="C150" s="853">
        <v>2500</v>
      </c>
      <c r="D150" s="501">
        <v>1000</v>
      </c>
      <c r="E150" s="566">
        <v>2500</v>
      </c>
      <c r="F150" s="568" t="s">
        <v>523</v>
      </c>
      <c r="G150" s="929">
        <v>4.6E-5</v>
      </c>
      <c r="H150" s="930" t="s">
        <v>367</v>
      </c>
      <c r="I150" s="901" t="s">
        <v>367</v>
      </c>
      <c r="J150" s="931" t="s">
        <v>367</v>
      </c>
    </row>
    <row r="151" spans="1:10" ht="11.25" customHeight="1">
      <c r="A151" s="458" t="s">
        <v>939</v>
      </c>
      <c r="B151" s="853">
        <v>1000</v>
      </c>
      <c r="C151" s="853">
        <v>2500</v>
      </c>
      <c r="D151" s="501">
        <v>1000</v>
      </c>
      <c r="E151" s="566">
        <v>2500</v>
      </c>
      <c r="F151" s="568" t="s">
        <v>523</v>
      </c>
      <c r="G151" s="929">
        <v>6.3999999999999997E-6</v>
      </c>
      <c r="H151" s="930" t="s">
        <v>367</v>
      </c>
      <c r="I151" s="901" t="s">
        <v>367</v>
      </c>
      <c r="J151" s="931" t="s">
        <v>367</v>
      </c>
    </row>
    <row r="152" spans="1:10" ht="11.25" customHeight="1">
      <c r="A152" s="458" t="s">
        <v>603</v>
      </c>
      <c r="B152" s="853">
        <v>1000</v>
      </c>
      <c r="C152" s="853">
        <v>2500</v>
      </c>
      <c r="D152" s="501">
        <v>1000</v>
      </c>
      <c r="E152" s="566">
        <v>2500</v>
      </c>
      <c r="F152" s="568" t="s">
        <v>523</v>
      </c>
      <c r="G152" s="929">
        <v>5.7000000000000001E-8</v>
      </c>
      <c r="H152" s="930" t="s">
        <v>367</v>
      </c>
      <c r="I152" s="901" t="s">
        <v>367</v>
      </c>
      <c r="J152" s="931" t="s">
        <v>367</v>
      </c>
    </row>
    <row r="153" spans="1:10" ht="11.25" customHeight="1">
      <c r="A153" s="458" t="s">
        <v>605</v>
      </c>
      <c r="B153" s="853">
        <v>1000</v>
      </c>
      <c r="C153" s="853">
        <v>2500</v>
      </c>
      <c r="D153" s="501">
        <v>1000</v>
      </c>
      <c r="E153" s="566">
        <v>2500</v>
      </c>
      <c r="F153" s="568" t="s">
        <v>523</v>
      </c>
      <c r="G153" s="929">
        <v>7.9999999999999996E-6</v>
      </c>
      <c r="H153" s="930" t="s">
        <v>367</v>
      </c>
      <c r="I153" s="901" t="s">
        <v>367</v>
      </c>
      <c r="J153" s="931" t="s">
        <v>367</v>
      </c>
    </row>
    <row r="154" spans="1:10" ht="11.25" customHeight="1">
      <c r="A154" s="458" t="s">
        <v>481</v>
      </c>
      <c r="B154" s="853">
        <v>2500</v>
      </c>
      <c r="C154" s="853">
        <v>5000</v>
      </c>
      <c r="D154" s="501">
        <v>2500</v>
      </c>
      <c r="E154" s="566">
        <v>5000</v>
      </c>
      <c r="F154" s="568" t="s">
        <v>523</v>
      </c>
      <c r="G154" s="929" t="s">
        <v>367</v>
      </c>
      <c r="H154" s="930" t="s">
        <v>367</v>
      </c>
      <c r="I154" s="901" t="s">
        <v>367</v>
      </c>
      <c r="J154" s="931" t="s">
        <v>367</v>
      </c>
    </row>
    <row r="155" spans="1:10" ht="11.25" customHeight="1">
      <c r="A155" s="458" t="s">
        <v>482</v>
      </c>
      <c r="B155" s="853">
        <v>1000</v>
      </c>
      <c r="C155" s="853">
        <v>2500</v>
      </c>
      <c r="D155" s="501">
        <v>1000</v>
      </c>
      <c r="E155" s="566">
        <v>2500</v>
      </c>
      <c r="F155" s="568">
        <v>3859.8471446540889</v>
      </c>
      <c r="G155" s="929">
        <v>2980</v>
      </c>
      <c r="H155" s="930">
        <v>771244</v>
      </c>
      <c r="I155" s="901">
        <v>294</v>
      </c>
      <c r="J155" s="931">
        <v>10.136054421768707</v>
      </c>
    </row>
    <row r="156" spans="1:10" ht="11.25" customHeight="1">
      <c r="A156" s="458" t="s">
        <v>483</v>
      </c>
      <c r="B156" s="853">
        <v>259.54240000000004</v>
      </c>
      <c r="C156" s="853">
        <v>259.54240000000004</v>
      </c>
      <c r="D156" s="501">
        <v>1000</v>
      </c>
      <c r="E156" s="566">
        <v>2500</v>
      </c>
      <c r="F156" s="568">
        <v>259.54240000000004</v>
      </c>
      <c r="G156" s="929">
        <v>8</v>
      </c>
      <c r="H156" s="930">
        <v>441</v>
      </c>
      <c r="I156" s="901">
        <v>0.1</v>
      </c>
      <c r="J156" s="931">
        <v>80</v>
      </c>
    </row>
    <row r="157" spans="1:10" ht="11.25" customHeight="1" thickBot="1">
      <c r="A157" s="466" t="s">
        <v>484</v>
      </c>
      <c r="B157" s="853">
        <v>2500</v>
      </c>
      <c r="C157" s="853">
        <v>5000</v>
      </c>
      <c r="D157" s="627">
        <v>2500</v>
      </c>
      <c r="E157" s="576">
        <v>5000</v>
      </c>
      <c r="F157" s="568" t="s">
        <v>523</v>
      </c>
      <c r="G157" s="932" t="s">
        <v>367</v>
      </c>
      <c r="H157" s="933" t="s">
        <v>367</v>
      </c>
      <c r="I157" s="904" t="s">
        <v>367</v>
      </c>
      <c r="J157" s="931" t="s">
        <v>367</v>
      </c>
    </row>
    <row r="158" spans="1:10" ht="11.25" customHeight="1" thickTop="1">
      <c r="A158" s="470"/>
      <c r="B158" s="805"/>
      <c r="C158" s="805"/>
      <c r="D158" s="472"/>
      <c r="E158" s="472"/>
      <c r="F158" s="628"/>
      <c r="G158" s="934"/>
      <c r="H158" s="934"/>
      <c r="I158" s="934"/>
      <c r="J158" s="936"/>
    </row>
    <row r="159" spans="1:10" ht="11.25" customHeight="1">
      <c r="A159" s="474" t="s">
        <v>488</v>
      </c>
      <c r="B159" s="724"/>
      <c r="C159" s="724"/>
      <c r="J159" s="937"/>
    </row>
    <row r="160" spans="1:10" ht="11.25" customHeight="1">
      <c r="A160" s="479" t="s">
        <v>489</v>
      </c>
      <c r="B160" s="724"/>
      <c r="C160" s="724"/>
      <c r="J160" s="937"/>
    </row>
    <row r="161" spans="1:12" ht="11.25" customHeight="1">
      <c r="A161" s="4" t="s">
        <v>915</v>
      </c>
      <c r="J161" s="937"/>
    </row>
    <row r="162" spans="1:12" ht="11.25" customHeight="1">
      <c r="A162" s="479" t="s">
        <v>254</v>
      </c>
      <c r="B162" s="724"/>
      <c r="C162" s="724"/>
      <c r="J162" s="937"/>
    </row>
    <row r="163" spans="1:12" ht="11.25" customHeight="1">
      <c r="A163" s="474"/>
      <c r="B163" s="724"/>
      <c r="C163" s="724"/>
      <c r="J163" s="937"/>
    </row>
    <row r="164" spans="1:12" ht="11.25" customHeight="1">
      <c r="A164" s="479" t="s">
        <v>379</v>
      </c>
      <c r="J164" s="937"/>
    </row>
    <row r="165" spans="1:12" ht="11.25" customHeight="1">
      <c r="A165" s="479" t="s">
        <v>383</v>
      </c>
      <c r="J165" s="937"/>
    </row>
    <row r="166" spans="1:12" ht="11.25" customHeight="1">
      <c r="A166" s="479" t="s">
        <v>1048</v>
      </c>
      <c r="J166" s="937"/>
    </row>
    <row r="167" spans="1:12" ht="11.25" customHeight="1">
      <c r="A167" s="479" t="s">
        <v>817</v>
      </c>
      <c r="D167" s="481"/>
      <c r="E167" s="481"/>
      <c r="F167" s="3"/>
      <c r="G167" s="1"/>
      <c r="H167" s="1"/>
      <c r="I167" s="1"/>
      <c r="J167" s="480"/>
      <c r="K167" s="1"/>
      <c r="L167" s="1"/>
    </row>
    <row r="168" spans="1:12" ht="11.25" customHeight="1">
      <c r="A168" s="479" t="s">
        <v>778</v>
      </c>
      <c r="J168" s="937"/>
    </row>
    <row r="169" spans="1:12" ht="11.25" customHeight="1">
      <c r="A169" s="479" t="s">
        <v>820</v>
      </c>
      <c r="J169" s="937"/>
    </row>
    <row r="170" spans="1:12" ht="11.25" customHeight="1">
      <c r="A170" s="479" t="s">
        <v>68</v>
      </c>
      <c r="J170" s="937"/>
    </row>
    <row r="171" spans="1:12" ht="11.25" customHeight="1">
      <c r="A171" s="479" t="s">
        <v>69</v>
      </c>
      <c r="J171" s="937"/>
    </row>
    <row r="172" spans="1:12" ht="11.25" customHeight="1">
      <c r="A172" s="479" t="s">
        <v>818</v>
      </c>
      <c r="J172" s="937"/>
    </row>
    <row r="173" spans="1:12" ht="11.25" customHeight="1">
      <c r="A173" s="479" t="s">
        <v>762</v>
      </c>
      <c r="J173" s="937"/>
    </row>
    <row r="174" spans="1:12" ht="11.25" customHeight="1">
      <c r="A174" s="1389" t="s">
        <v>1082</v>
      </c>
      <c r="B174" s="1181"/>
      <c r="C174" s="1181"/>
      <c r="D174" s="1181"/>
      <c r="E174" s="1181"/>
      <c r="F174" s="1181"/>
      <c r="G174" s="1181"/>
      <c r="H174" s="1181"/>
      <c r="I174" s="1181"/>
      <c r="J174" s="1387"/>
    </row>
    <row r="175" spans="1:12" ht="11.25" customHeight="1">
      <c r="A175" s="1393"/>
      <c r="B175" s="1181"/>
      <c r="C175" s="1181"/>
      <c r="D175" s="1181"/>
      <c r="E175" s="1181"/>
      <c r="F175" s="1181"/>
      <c r="G175" s="1181"/>
      <c r="H175" s="1181"/>
      <c r="I175" s="1181"/>
      <c r="J175" s="1387"/>
    </row>
    <row r="176" spans="1:12" ht="11.25" customHeight="1">
      <c r="A176" s="945" t="s">
        <v>277</v>
      </c>
      <c r="B176" s="183"/>
      <c r="C176" s="183"/>
      <c r="D176" s="183"/>
      <c r="E176" s="183"/>
      <c r="F176" s="183"/>
      <c r="G176" s="183"/>
      <c r="H176" s="183"/>
      <c r="I176" s="183"/>
      <c r="J176" s="478"/>
    </row>
    <row r="177" spans="1:10" ht="11.25" customHeight="1">
      <c r="A177" s="474" t="s">
        <v>70</v>
      </c>
      <c r="B177" s="183"/>
      <c r="C177" s="183"/>
      <c r="D177" s="183"/>
      <c r="E177" s="183"/>
      <c r="F177" s="183"/>
      <c r="G177" s="183"/>
      <c r="H177" s="183"/>
      <c r="I177" s="183"/>
      <c r="J177" s="478"/>
    </row>
    <row r="178" spans="1:10" ht="11.25" customHeight="1">
      <c r="A178" s="479" t="s">
        <v>71</v>
      </c>
      <c r="J178" s="937"/>
    </row>
    <row r="179" spans="1:10" ht="11.25" customHeight="1">
      <c r="A179" s="479" t="s">
        <v>950</v>
      </c>
      <c r="J179" s="937"/>
    </row>
    <row r="180" spans="1:10" ht="11.25" customHeight="1">
      <c r="A180" s="479" t="s">
        <v>951</v>
      </c>
      <c r="J180" s="937"/>
    </row>
    <row r="181" spans="1:10" ht="11.25" customHeight="1">
      <c r="A181" s="479" t="s">
        <v>858</v>
      </c>
      <c r="J181" s="937"/>
    </row>
    <row r="182" spans="1:10" ht="11.25" customHeight="1" thickBot="1">
      <c r="A182" s="706" t="s">
        <v>819</v>
      </c>
      <c r="B182" s="612"/>
      <c r="C182" s="612"/>
      <c r="D182" s="663"/>
      <c r="E182" s="663"/>
      <c r="F182" s="938"/>
      <c r="G182" s="939"/>
      <c r="H182" s="939"/>
      <c r="I182" s="939"/>
      <c r="J182" s="940"/>
    </row>
    <row r="183" spans="1:10" ht="13.15" thickTop="1"/>
  </sheetData>
  <sheetProtection algorithmName="SHA-512" hashValue="2kUSvPQd5ZEemsLsMvb6H7dZ+f00R0dMkbQ04IQXkw35pYARdgIMxvgmrIUt6qqFQXwajLTqUDy0QdwecScj4g==" saltValue="RjJAhIrBPxPGyrnOOPFAog==" spinCount="100000" sheet="1" objects="1" scenarios="1"/>
  <mergeCells count="1">
    <mergeCell ref="A174:J175"/>
  </mergeCells>
  <phoneticPr fontId="0" type="noConversion"/>
  <printOptions horizontalCentered="1"/>
  <pageMargins left="0.17" right="0.16" top="0.53" bottom="1" header="0.5" footer="0.5"/>
  <pageSetup scale="77" fitToHeight="4" orientation="landscape" r:id="rId1"/>
  <headerFooter alignWithMargins="0">
    <oddFooter>&amp;LHawai'i DOH
Spring 2024&amp;C&amp;8Page &amp;P of &amp;N&amp;R&amp;A</oddFooter>
  </headerFooter>
  <rowBreaks count="1" manualBreakCount="1">
    <brk id="155"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29"/>
    <pageSetUpPr fitToPage="1"/>
  </sheetPr>
  <dimension ref="A1:L169"/>
  <sheetViews>
    <sheetView zoomScaleNormal="100" workbookViewId="0">
      <pane ySplit="1935" topLeftCell="A4" activePane="bottomLeft"/>
      <selection activeCell="B7" sqref="B7"/>
      <selection pane="bottomLeft" activeCell="B7" sqref="B7"/>
    </sheetView>
  </sheetViews>
  <sheetFormatPr defaultColWidth="9.1328125" defaultRowHeight="12.75"/>
  <cols>
    <col min="1" max="1" width="40.73046875" style="1" customWidth="1"/>
    <col min="2" max="2" width="12.59765625" style="475" customWidth="1"/>
    <col min="3" max="3" width="20.73046875" style="609" customWidth="1"/>
    <col min="4" max="5" width="12.59765625" style="475" customWidth="1"/>
    <col min="6" max="6" width="13.59765625" style="475" customWidth="1"/>
    <col min="7" max="7" width="12.59765625" style="475" customWidth="1"/>
    <col min="8" max="8" width="9"/>
    <col min="9" max="9" width="14.1328125" customWidth="1"/>
    <col min="10" max="10" width="9"/>
    <col min="11" max="11" width="10.59765625" customWidth="1"/>
    <col min="12" max="12" width="9.1328125" style="949"/>
    <col min="13" max="16384" width="9.1328125" style="1"/>
  </cols>
  <sheetData>
    <row r="1" spans="1:12" s="510" customFormat="1" ht="45">
      <c r="A1" s="751" t="s">
        <v>185</v>
      </c>
      <c r="B1" s="530"/>
      <c r="C1" s="530"/>
      <c r="D1" s="530"/>
      <c r="E1" s="530"/>
      <c r="F1" s="444"/>
      <c r="G1" s="530"/>
      <c r="H1"/>
      <c r="I1"/>
      <c r="J1"/>
      <c r="K1"/>
      <c r="L1" s="946"/>
    </row>
    <row r="2" spans="1:12" s="510" customFormat="1" ht="15.95" customHeight="1" thickBot="1">
      <c r="A2" s="694"/>
      <c r="B2" s="530"/>
      <c r="C2" s="695"/>
      <c r="D2" s="530"/>
      <c r="E2" s="530"/>
      <c r="F2" s="444"/>
      <c r="G2" s="530"/>
      <c r="H2"/>
      <c r="I2"/>
      <c r="J2"/>
      <c r="K2"/>
      <c r="L2" s="946"/>
    </row>
    <row r="3" spans="1:12" s="510" customFormat="1" ht="21.4" thickTop="1" thickBot="1">
      <c r="A3" s="727" t="s">
        <v>232</v>
      </c>
      <c r="B3" s="728" t="s">
        <v>189</v>
      </c>
      <c r="C3" s="850" t="s">
        <v>485</v>
      </c>
      <c r="D3" s="947" t="s">
        <v>404</v>
      </c>
      <c r="E3" s="948" t="s">
        <v>405</v>
      </c>
      <c r="F3" s="948" t="s">
        <v>485</v>
      </c>
      <c r="G3" s="520" t="s">
        <v>406</v>
      </c>
      <c r="H3"/>
      <c r="I3"/>
      <c r="J3"/>
      <c r="K3"/>
      <c r="L3" s="946"/>
    </row>
    <row r="4" spans="1:12" s="510" customFormat="1" ht="11.25" customHeight="1">
      <c r="A4" s="454" t="s">
        <v>548</v>
      </c>
      <c r="B4" s="855">
        <v>20</v>
      </c>
      <c r="C4" s="854" t="s">
        <v>1429</v>
      </c>
      <c r="D4" s="497">
        <v>1950</v>
      </c>
      <c r="E4" s="720">
        <v>20</v>
      </c>
      <c r="F4" s="831" t="s">
        <v>407</v>
      </c>
      <c r="G4" s="856">
        <v>50000</v>
      </c>
      <c r="H4"/>
      <c r="I4"/>
      <c r="J4"/>
      <c r="K4"/>
      <c r="L4" s="946"/>
    </row>
    <row r="5" spans="1:12" s="510" customFormat="1" ht="11.25" customHeight="1">
      <c r="A5" s="458" t="s">
        <v>549</v>
      </c>
      <c r="B5" s="855">
        <v>1965</v>
      </c>
      <c r="C5" s="854" t="s">
        <v>1430</v>
      </c>
      <c r="D5" s="501">
        <v>1965</v>
      </c>
      <c r="E5" s="720" t="s">
        <v>367</v>
      </c>
      <c r="F5" s="831" t="s">
        <v>367</v>
      </c>
      <c r="G5" s="856">
        <v>50000</v>
      </c>
      <c r="H5"/>
      <c r="I5"/>
      <c r="J5"/>
      <c r="K5"/>
      <c r="L5" s="946"/>
    </row>
    <row r="6" spans="1:12" s="510" customFormat="1" ht="11.25" customHeight="1">
      <c r="A6" s="458" t="s">
        <v>550</v>
      </c>
      <c r="B6" s="855">
        <v>20000</v>
      </c>
      <c r="C6" s="854" t="s">
        <v>1429</v>
      </c>
      <c r="D6" s="501">
        <v>500000000</v>
      </c>
      <c r="E6" s="720">
        <v>20000</v>
      </c>
      <c r="F6" s="831" t="s">
        <v>289</v>
      </c>
      <c r="G6" s="856">
        <v>50000</v>
      </c>
      <c r="H6"/>
      <c r="I6"/>
      <c r="J6"/>
      <c r="K6"/>
      <c r="L6" s="946"/>
    </row>
    <row r="7" spans="1:12" s="510" customFormat="1" ht="11.25" customHeight="1">
      <c r="A7" s="458" t="s">
        <v>551</v>
      </c>
      <c r="B7" s="855">
        <v>8.5</v>
      </c>
      <c r="C7" s="854" t="s">
        <v>1430</v>
      </c>
      <c r="D7" s="501">
        <v>8.5</v>
      </c>
      <c r="E7" s="720">
        <v>17</v>
      </c>
      <c r="F7" s="831" t="s">
        <v>407</v>
      </c>
      <c r="G7" s="856">
        <v>50000</v>
      </c>
      <c r="H7"/>
      <c r="I7"/>
      <c r="J7"/>
      <c r="K7"/>
      <c r="L7" s="946"/>
    </row>
    <row r="8" spans="1:12" s="510" customFormat="1" ht="11.25" customHeight="1">
      <c r="A8" s="458" t="s">
        <v>161</v>
      </c>
      <c r="B8" s="855">
        <v>50000</v>
      </c>
      <c r="C8" s="854" t="s">
        <v>406</v>
      </c>
      <c r="D8" s="501">
        <v>104500</v>
      </c>
      <c r="E8" s="720" t="s">
        <v>367</v>
      </c>
      <c r="F8" s="831" t="s">
        <v>367</v>
      </c>
      <c r="G8" s="856">
        <v>50000</v>
      </c>
      <c r="H8"/>
      <c r="I8"/>
      <c r="J8"/>
      <c r="K8"/>
      <c r="L8" s="946"/>
    </row>
    <row r="9" spans="1:12" s="510" customFormat="1" ht="11.25" customHeight="1">
      <c r="A9" s="462" t="s">
        <v>162</v>
      </c>
      <c r="B9" s="855">
        <v>50000</v>
      </c>
      <c r="C9" s="854" t="s">
        <v>406</v>
      </c>
      <c r="D9" s="501">
        <v>610000</v>
      </c>
      <c r="E9" s="720" t="s">
        <v>367</v>
      </c>
      <c r="F9" s="831" t="s">
        <v>367</v>
      </c>
      <c r="G9" s="856">
        <v>50000</v>
      </c>
      <c r="H9"/>
      <c r="I9"/>
      <c r="J9"/>
      <c r="K9"/>
      <c r="L9" s="946"/>
    </row>
    <row r="10" spans="1:12" s="510" customFormat="1" ht="11.25" customHeight="1">
      <c r="A10" s="462" t="s">
        <v>94</v>
      </c>
      <c r="B10" s="855">
        <v>50000</v>
      </c>
      <c r="C10" s="854" t="s">
        <v>406</v>
      </c>
      <c r="D10" s="501">
        <v>610000</v>
      </c>
      <c r="E10" s="720" t="s">
        <v>367</v>
      </c>
      <c r="F10" s="831" t="s">
        <v>367</v>
      </c>
      <c r="G10" s="856">
        <v>50000</v>
      </c>
      <c r="H10"/>
      <c r="I10"/>
      <c r="J10"/>
      <c r="K10"/>
      <c r="L10" s="946"/>
    </row>
    <row r="11" spans="1:12" s="510" customFormat="1" ht="11.25" customHeight="1">
      <c r="A11" s="458" t="s">
        <v>552</v>
      </c>
      <c r="B11" s="855">
        <v>21.5</v>
      </c>
      <c r="C11" s="854" t="s">
        <v>1430</v>
      </c>
      <c r="D11" s="501">
        <v>21.5</v>
      </c>
      <c r="E11" s="720" t="s">
        <v>367</v>
      </c>
      <c r="F11" s="831" t="s">
        <v>367</v>
      </c>
      <c r="G11" s="856">
        <v>50000</v>
      </c>
      <c r="H11"/>
      <c r="I11"/>
      <c r="J11"/>
      <c r="K11"/>
      <c r="L11" s="946"/>
    </row>
    <row r="12" spans="1:12" s="510" customFormat="1" ht="11.25" customHeight="1">
      <c r="A12" s="458" t="s">
        <v>553</v>
      </c>
      <c r="B12" s="855">
        <v>50000</v>
      </c>
      <c r="C12" s="854" t="s">
        <v>406</v>
      </c>
      <c r="D12" s="501" t="s">
        <v>954</v>
      </c>
      <c r="E12" s="720" t="s">
        <v>367</v>
      </c>
      <c r="F12" s="831" t="s">
        <v>367</v>
      </c>
      <c r="G12" s="856">
        <v>50000</v>
      </c>
      <c r="H12"/>
      <c r="I12"/>
      <c r="J12"/>
      <c r="K12"/>
      <c r="L12" s="946"/>
    </row>
    <row r="13" spans="1:12" s="510" customFormat="1" ht="11.25" customHeight="1">
      <c r="A13" s="458" t="s">
        <v>686</v>
      </c>
      <c r="B13" s="855">
        <v>50000</v>
      </c>
      <c r="C13" s="854" t="s">
        <v>406</v>
      </c>
      <c r="D13" s="501" t="s">
        <v>954</v>
      </c>
      <c r="E13" s="720" t="s">
        <v>367</v>
      </c>
      <c r="F13" s="831" t="s">
        <v>367</v>
      </c>
      <c r="G13" s="856">
        <v>50000</v>
      </c>
      <c r="H13"/>
      <c r="I13"/>
      <c r="J13"/>
      <c r="K13"/>
      <c r="L13" s="946"/>
    </row>
    <row r="14" spans="1:12" s="510" customFormat="1" ht="11.25" customHeight="1">
      <c r="A14" s="458" t="s">
        <v>95</v>
      </c>
      <c r="B14" s="855">
        <v>20</v>
      </c>
      <c r="C14" s="854" t="s">
        <v>1429</v>
      </c>
      <c r="D14" s="501">
        <v>17500</v>
      </c>
      <c r="E14" s="720">
        <v>20</v>
      </c>
      <c r="F14" s="831" t="s">
        <v>1038</v>
      </c>
      <c r="G14" s="856">
        <v>50000</v>
      </c>
      <c r="H14"/>
      <c r="I14"/>
      <c r="J14"/>
      <c r="K14"/>
      <c r="L14" s="946"/>
    </row>
    <row r="15" spans="1:12" s="510" customFormat="1" ht="11.25" customHeight="1">
      <c r="A15" s="458" t="s">
        <v>687</v>
      </c>
      <c r="B15" s="855">
        <v>50000</v>
      </c>
      <c r="C15" s="854" t="s">
        <v>406</v>
      </c>
      <c r="D15" s="501" t="s">
        <v>954</v>
      </c>
      <c r="E15" s="720" t="s">
        <v>367</v>
      </c>
      <c r="F15" s="831" t="s">
        <v>367</v>
      </c>
      <c r="G15" s="856">
        <v>50000</v>
      </c>
      <c r="H15"/>
      <c r="I15"/>
      <c r="J15"/>
      <c r="K15"/>
      <c r="L15" s="946"/>
    </row>
    <row r="16" spans="1:12" s="510" customFormat="1" ht="11.25" customHeight="1">
      <c r="A16" s="458" t="s">
        <v>1156</v>
      </c>
      <c r="B16" s="855">
        <v>1900</v>
      </c>
      <c r="C16" s="854" t="s">
        <v>1430</v>
      </c>
      <c r="D16" s="501">
        <v>1900</v>
      </c>
      <c r="E16" s="720" t="s">
        <v>367</v>
      </c>
      <c r="F16" s="831" t="s">
        <v>367</v>
      </c>
      <c r="G16" s="856">
        <v>50000</v>
      </c>
      <c r="H16"/>
      <c r="I16"/>
      <c r="J16"/>
      <c r="K16"/>
      <c r="L16" s="946"/>
    </row>
    <row r="17" spans="1:12" s="510" customFormat="1" ht="11.25" customHeight="1">
      <c r="A17" s="458" t="s">
        <v>688</v>
      </c>
      <c r="B17" s="855">
        <v>170</v>
      </c>
      <c r="C17" s="854" t="s">
        <v>1429</v>
      </c>
      <c r="D17" s="501">
        <v>895000</v>
      </c>
      <c r="E17" s="720">
        <v>170</v>
      </c>
      <c r="F17" s="831" t="s">
        <v>289</v>
      </c>
      <c r="G17" s="856">
        <v>50000</v>
      </c>
      <c r="H17"/>
      <c r="I17"/>
      <c r="J17"/>
      <c r="K17"/>
      <c r="L17" s="946"/>
    </row>
    <row r="18" spans="1:12" s="510" customFormat="1" ht="11.25" customHeight="1">
      <c r="A18" s="458" t="s">
        <v>689</v>
      </c>
      <c r="B18" s="855">
        <v>4.7</v>
      </c>
      <c r="C18" s="854" t="s">
        <v>1430</v>
      </c>
      <c r="D18" s="501">
        <v>4.7</v>
      </c>
      <c r="E18" s="720" t="s">
        <v>367</v>
      </c>
      <c r="F18" s="831" t="s">
        <v>367</v>
      </c>
      <c r="G18" s="856">
        <v>50000</v>
      </c>
      <c r="H18"/>
      <c r="I18"/>
      <c r="J18"/>
      <c r="K18"/>
      <c r="L18" s="946"/>
    </row>
    <row r="19" spans="1:12" s="510" customFormat="1" ht="11.25" customHeight="1">
      <c r="A19" s="458" t="s">
        <v>690</v>
      </c>
      <c r="B19" s="855">
        <v>0.8</v>
      </c>
      <c r="C19" s="854" t="s">
        <v>1430</v>
      </c>
      <c r="D19" s="501">
        <v>0.8</v>
      </c>
      <c r="E19" s="720" t="s">
        <v>367</v>
      </c>
      <c r="F19" s="831" t="s">
        <v>367</v>
      </c>
      <c r="G19" s="856">
        <v>50000</v>
      </c>
      <c r="H19"/>
      <c r="I19"/>
      <c r="J19"/>
      <c r="K19"/>
      <c r="L19" s="946"/>
    </row>
    <row r="20" spans="1:12" s="510" customFormat="1" ht="11.25" customHeight="1">
      <c r="A20" s="458" t="s">
        <v>691</v>
      </c>
      <c r="B20" s="855">
        <v>0.75</v>
      </c>
      <c r="C20" s="854" t="s">
        <v>1430</v>
      </c>
      <c r="D20" s="501">
        <v>0.75</v>
      </c>
      <c r="E20" s="720" t="s">
        <v>367</v>
      </c>
      <c r="F20" s="831" t="s">
        <v>367</v>
      </c>
      <c r="G20" s="856">
        <v>50000</v>
      </c>
      <c r="H20"/>
      <c r="I20"/>
      <c r="J20"/>
      <c r="K20"/>
      <c r="L20" s="946"/>
    </row>
    <row r="21" spans="1:12" s="510" customFormat="1" ht="11.25" customHeight="1">
      <c r="A21" s="458" t="s">
        <v>692</v>
      </c>
      <c r="B21" s="855">
        <v>0.12999999999999998</v>
      </c>
      <c r="C21" s="854" t="s">
        <v>1430</v>
      </c>
      <c r="D21" s="501">
        <v>0.12999999999999998</v>
      </c>
      <c r="E21" s="720" t="s">
        <v>367</v>
      </c>
      <c r="F21" s="831" t="s">
        <v>367</v>
      </c>
      <c r="G21" s="856">
        <v>50000</v>
      </c>
      <c r="H21"/>
      <c r="I21"/>
      <c r="J21"/>
      <c r="K21"/>
      <c r="L21" s="946"/>
    </row>
    <row r="22" spans="1:12" s="510" customFormat="1" ht="11.25" customHeight="1">
      <c r="A22" s="458" t="s">
        <v>693</v>
      </c>
      <c r="B22" s="855">
        <v>0.4</v>
      </c>
      <c r="C22" s="854" t="s">
        <v>1430</v>
      </c>
      <c r="D22" s="501">
        <v>0.4</v>
      </c>
      <c r="E22" s="720" t="s">
        <v>367</v>
      </c>
      <c r="F22" s="831" t="s">
        <v>367</v>
      </c>
      <c r="G22" s="856">
        <v>50000</v>
      </c>
      <c r="H22"/>
      <c r="I22"/>
      <c r="J22"/>
      <c r="K22"/>
      <c r="L22" s="946"/>
    </row>
    <row r="23" spans="1:12" s="510" customFormat="1" ht="11.25" customHeight="1">
      <c r="A23" s="458" t="s">
        <v>126</v>
      </c>
      <c r="B23" s="855">
        <v>50000</v>
      </c>
      <c r="C23" s="854" t="s">
        <v>406</v>
      </c>
      <c r="D23" s="501" t="s">
        <v>954</v>
      </c>
      <c r="E23" s="720" t="s">
        <v>367</v>
      </c>
      <c r="F23" s="831" t="s">
        <v>367</v>
      </c>
      <c r="G23" s="856">
        <v>50000</v>
      </c>
      <c r="H23"/>
      <c r="I23"/>
      <c r="J23"/>
      <c r="K23"/>
      <c r="L23" s="946"/>
    </row>
    <row r="24" spans="1:12" s="510" customFormat="1" ht="11.25" customHeight="1">
      <c r="A24" s="458" t="s">
        <v>233</v>
      </c>
      <c r="B24" s="855">
        <v>0.5</v>
      </c>
      <c r="C24" s="854" t="s">
        <v>1429</v>
      </c>
      <c r="D24" s="501">
        <v>3740</v>
      </c>
      <c r="E24" s="720">
        <v>0.5</v>
      </c>
      <c r="F24" s="831" t="s">
        <v>289</v>
      </c>
      <c r="G24" s="856">
        <v>50000</v>
      </c>
      <c r="H24"/>
      <c r="I24"/>
      <c r="J24"/>
      <c r="K24"/>
      <c r="L24" s="946"/>
    </row>
    <row r="25" spans="1:12" s="510" customFormat="1" ht="11.25" customHeight="1">
      <c r="A25" s="458" t="s">
        <v>127</v>
      </c>
      <c r="B25" s="855">
        <v>360</v>
      </c>
      <c r="C25" s="854" t="s">
        <v>1429</v>
      </c>
      <c r="D25" s="501">
        <v>8600000</v>
      </c>
      <c r="E25" s="720">
        <v>360</v>
      </c>
      <c r="F25" s="831" t="s">
        <v>289</v>
      </c>
      <c r="G25" s="856">
        <v>50000</v>
      </c>
      <c r="H25"/>
      <c r="I25"/>
      <c r="J25"/>
      <c r="K25"/>
      <c r="L25" s="946"/>
    </row>
    <row r="26" spans="1:12" s="510" customFormat="1" ht="11.25" customHeight="1">
      <c r="A26" s="503" t="s">
        <v>1103</v>
      </c>
      <c r="B26" s="855">
        <v>320</v>
      </c>
      <c r="C26" s="854" t="s">
        <v>1429</v>
      </c>
      <c r="D26" s="501">
        <v>850000</v>
      </c>
      <c r="E26" s="720">
        <v>320</v>
      </c>
      <c r="F26" s="831" t="s">
        <v>407</v>
      </c>
      <c r="G26" s="856">
        <v>50000</v>
      </c>
      <c r="H26"/>
      <c r="I26"/>
      <c r="J26"/>
      <c r="K26"/>
      <c r="L26" s="946"/>
    </row>
    <row r="27" spans="1:12" s="510" customFormat="1" ht="11.25" customHeight="1">
      <c r="A27" s="458" t="s">
        <v>128</v>
      </c>
      <c r="B27" s="855">
        <v>135</v>
      </c>
      <c r="C27" s="854" t="s">
        <v>1430</v>
      </c>
      <c r="D27" s="501">
        <v>135</v>
      </c>
      <c r="E27" s="720" t="s">
        <v>367</v>
      </c>
      <c r="F27" s="831" t="s">
        <v>367</v>
      </c>
      <c r="G27" s="856">
        <v>50000</v>
      </c>
      <c r="H27"/>
      <c r="I27"/>
      <c r="J27"/>
      <c r="K27"/>
      <c r="L27" s="946"/>
    </row>
    <row r="28" spans="1:12" s="510" customFormat="1" ht="11.25" customHeight="1">
      <c r="A28" s="458" t="s">
        <v>129</v>
      </c>
      <c r="B28" s="855">
        <v>50000</v>
      </c>
      <c r="C28" s="854" t="s">
        <v>406</v>
      </c>
      <c r="D28" s="501" t="s">
        <v>954</v>
      </c>
      <c r="E28" s="720" t="s">
        <v>367</v>
      </c>
      <c r="F28" s="831" t="s">
        <v>367</v>
      </c>
      <c r="G28" s="856">
        <v>50000</v>
      </c>
      <c r="H28"/>
      <c r="I28"/>
      <c r="J28"/>
      <c r="K28"/>
      <c r="L28" s="946"/>
    </row>
    <row r="29" spans="1:12" s="510" customFormat="1" ht="11.25" customHeight="1">
      <c r="A29" s="458" t="s">
        <v>130</v>
      </c>
      <c r="B29" s="855">
        <v>50000</v>
      </c>
      <c r="C29" s="854" t="s">
        <v>406</v>
      </c>
      <c r="D29" s="501">
        <v>1516000</v>
      </c>
      <c r="E29" s="720" t="s">
        <v>367</v>
      </c>
      <c r="F29" s="831" t="s">
        <v>367</v>
      </c>
      <c r="G29" s="856">
        <v>50000</v>
      </c>
      <c r="H29"/>
      <c r="I29"/>
      <c r="J29"/>
      <c r="K29"/>
      <c r="L29" s="946"/>
    </row>
    <row r="30" spans="1:12" s="510" customFormat="1" ht="11.25" customHeight="1">
      <c r="A30" s="458" t="s">
        <v>131</v>
      </c>
      <c r="B30" s="855">
        <v>510</v>
      </c>
      <c r="C30" s="854" t="s">
        <v>1429</v>
      </c>
      <c r="D30" s="501">
        <v>1550000</v>
      </c>
      <c r="E30" s="720">
        <v>510</v>
      </c>
      <c r="F30" s="831" t="s">
        <v>289</v>
      </c>
      <c r="G30" s="856">
        <v>50000</v>
      </c>
      <c r="H30"/>
      <c r="I30"/>
      <c r="J30"/>
      <c r="K30"/>
      <c r="L30" s="946"/>
    </row>
    <row r="31" spans="1:12" s="510" customFormat="1" ht="11.25" customHeight="1">
      <c r="A31" s="458" t="s">
        <v>132</v>
      </c>
      <c r="B31" s="855">
        <v>50000</v>
      </c>
      <c r="C31" s="854" t="s">
        <v>406</v>
      </c>
      <c r="D31" s="501">
        <v>7600000</v>
      </c>
      <c r="E31" s="720" t="s">
        <v>367</v>
      </c>
      <c r="F31" s="831" t="s">
        <v>367</v>
      </c>
      <c r="G31" s="856">
        <v>50000</v>
      </c>
      <c r="H31"/>
      <c r="I31"/>
      <c r="J31"/>
      <c r="K31"/>
      <c r="L31" s="946"/>
    </row>
    <row r="32" spans="1:12" s="510" customFormat="1" ht="11.25" customHeight="1">
      <c r="A32" s="458" t="s">
        <v>133</v>
      </c>
      <c r="B32" s="855">
        <v>50000</v>
      </c>
      <c r="C32" s="854" t="s">
        <v>406</v>
      </c>
      <c r="D32" s="501" t="s">
        <v>954</v>
      </c>
      <c r="E32" s="720" t="s">
        <v>367</v>
      </c>
      <c r="F32" s="831" t="s">
        <v>367</v>
      </c>
      <c r="G32" s="856">
        <v>50000</v>
      </c>
      <c r="H32"/>
      <c r="I32"/>
      <c r="J32"/>
      <c r="K32"/>
      <c r="L32" s="946"/>
    </row>
    <row r="33" spans="1:12" s="510" customFormat="1" ht="11.25" customHeight="1">
      <c r="A33" s="458" t="s">
        <v>134</v>
      </c>
      <c r="B33" s="855">
        <v>520</v>
      </c>
      <c r="C33" s="854" t="s">
        <v>1429</v>
      </c>
      <c r="D33" s="501">
        <v>396500</v>
      </c>
      <c r="E33" s="720">
        <v>520</v>
      </c>
      <c r="F33" s="831" t="s">
        <v>289</v>
      </c>
      <c r="G33" s="856">
        <v>50000</v>
      </c>
      <c r="H33"/>
      <c r="I33"/>
      <c r="J33"/>
      <c r="K33"/>
      <c r="L33" s="946"/>
    </row>
    <row r="34" spans="1:12" s="510" customFormat="1" ht="11.25" customHeight="1">
      <c r="A34" s="458" t="s">
        <v>614</v>
      </c>
      <c r="B34" s="855">
        <v>2.5</v>
      </c>
      <c r="C34" s="854" t="s">
        <v>1429</v>
      </c>
      <c r="D34" s="501">
        <v>28</v>
      </c>
      <c r="E34" s="720">
        <v>2.5</v>
      </c>
      <c r="F34" s="831" t="s">
        <v>407</v>
      </c>
      <c r="G34" s="856">
        <v>50000</v>
      </c>
      <c r="H34"/>
      <c r="I34"/>
      <c r="J34"/>
      <c r="K34"/>
      <c r="L34" s="946"/>
    </row>
    <row r="35" spans="1:12" s="510" customFormat="1" ht="11.25" customHeight="1">
      <c r="A35" s="458" t="s">
        <v>135</v>
      </c>
      <c r="B35" s="855">
        <v>50000</v>
      </c>
      <c r="C35" s="854" t="s">
        <v>406</v>
      </c>
      <c r="D35" s="501">
        <v>1950000</v>
      </c>
      <c r="E35" s="720" t="s">
        <v>367</v>
      </c>
      <c r="F35" s="831" t="s">
        <v>367</v>
      </c>
      <c r="G35" s="856">
        <v>50000</v>
      </c>
      <c r="H35"/>
      <c r="I35"/>
      <c r="J35"/>
      <c r="K35"/>
      <c r="L35" s="946"/>
    </row>
    <row r="36" spans="1:12" s="510" customFormat="1" ht="11.25" customHeight="1">
      <c r="A36" s="458" t="s">
        <v>136</v>
      </c>
      <c r="B36" s="855">
        <v>50</v>
      </c>
      <c r="C36" s="854" t="s">
        <v>1429</v>
      </c>
      <c r="D36" s="501">
        <v>249000</v>
      </c>
      <c r="E36" s="720">
        <v>50</v>
      </c>
      <c r="F36" s="831" t="s">
        <v>289</v>
      </c>
      <c r="G36" s="856">
        <v>50000</v>
      </c>
      <c r="H36"/>
      <c r="I36"/>
      <c r="J36"/>
      <c r="K36"/>
      <c r="L36" s="946"/>
    </row>
    <row r="37" spans="1:12" s="510" customFormat="1" ht="11.25" customHeight="1">
      <c r="A37" s="458" t="s">
        <v>781</v>
      </c>
      <c r="B37" s="855">
        <v>16</v>
      </c>
      <c r="C37" s="854" t="s">
        <v>1429</v>
      </c>
      <c r="D37" s="501">
        <v>3355000</v>
      </c>
      <c r="E37" s="720">
        <v>16</v>
      </c>
      <c r="F37" s="831" t="s">
        <v>289</v>
      </c>
      <c r="G37" s="856">
        <v>50000</v>
      </c>
      <c r="H37"/>
      <c r="I37"/>
      <c r="J37"/>
      <c r="K37"/>
      <c r="L37" s="946"/>
    </row>
    <row r="38" spans="1:12" ht="11.25" customHeight="1">
      <c r="A38" s="464" t="s">
        <v>137</v>
      </c>
      <c r="B38" s="855">
        <v>2400</v>
      </c>
      <c r="C38" s="854" t="s">
        <v>1429</v>
      </c>
      <c r="D38" s="501">
        <v>3975000</v>
      </c>
      <c r="E38" s="831">
        <v>2400</v>
      </c>
      <c r="F38" s="831" t="s">
        <v>289</v>
      </c>
      <c r="G38" s="856">
        <v>50000</v>
      </c>
    </row>
    <row r="39" spans="1:12" ht="11.25" customHeight="1">
      <c r="A39" s="458" t="s">
        <v>782</v>
      </c>
      <c r="B39" s="855">
        <v>50000</v>
      </c>
      <c r="C39" s="854" t="s">
        <v>406</v>
      </c>
      <c r="D39" s="501">
        <v>2660000</v>
      </c>
      <c r="E39" s="720"/>
      <c r="F39" s="831" t="s">
        <v>367</v>
      </c>
      <c r="G39" s="856">
        <v>50000</v>
      </c>
    </row>
    <row r="40" spans="1:12" ht="11.25" customHeight="1">
      <c r="A40" s="458" t="s">
        <v>138</v>
      </c>
      <c r="B40" s="855">
        <v>0.18</v>
      </c>
      <c r="C40" s="854" t="s">
        <v>1429</v>
      </c>
      <c r="D40" s="501">
        <v>5650000</v>
      </c>
      <c r="E40" s="720">
        <v>0.18</v>
      </c>
      <c r="F40" s="831" t="s">
        <v>407</v>
      </c>
      <c r="G40" s="856">
        <v>50000</v>
      </c>
    </row>
    <row r="41" spans="1:12" ht="11.25" customHeight="1">
      <c r="A41" s="458" t="s">
        <v>612</v>
      </c>
      <c r="B41" s="855">
        <v>50000</v>
      </c>
      <c r="C41" s="854" t="s">
        <v>406</v>
      </c>
      <c r="D41" s="501" t="s">
        <v>954</v>
      </c>
      <c r="E41" s="720" t="s">
        <v>367</v>
      </c>
      <c r="F41" s="831" t="s">
        <v>367</v>
      </c>
      <c r="G41" s="856">
        <v>50000</v>
      </c>
    </row>
    <row r="42" spans="1:12" ht="11.25" customHeight="1">
      <c r="A42" s="458" t="s">
        <v>779</v>
      </c>
      <c r="B42" s="855">
        <v>50000</v>
      </c>
      <c r="C42" s="854" t="s">
        <v>406</v>
      </c>
      <c r="D42" s="501" t="s">
        <v>954</v>
      </c>
      <c r="E42" s="720" t="s">
        <v>367</v>
      </c>
      <c r="F42" s="831" t="s">
        <v>367</v>
      </c>
      <c r="G42" s="856">
        <v>50000</v>
      </c>
    </row>
    <row r="43" spans="1:12" ht="11.25" customHeight="1">
      <c r="A43" s="458" t="s">
        <v>780</v>
      </c>
      <c r="B43" s="855">
        <v>50000</v>
      </c>
      <c r="C43" s="854" t="s">
        <v>406</v>
      </c>
      <c r="D43" s="501">
        <v>845000000</v>
      </c>
      <c r="E43" s="720" t="s">
        <v>367</v>
      </c>
      <c r="F43" s="831" t="s">
        <v>367</v>
      </c>
      <c r="G43" s="856">
        <v>50000</v>
      </c>
    </row>
    <row r="44" spans="1:12" ht="11.25" customHeight="1">
      <c r="A44" s="458" t="s">
        <v>139</v>
      </c>
      <c r="B44" s="855">
        <v>1</v>
      </c>
      <c r="C44" s="854" t="s">
        <v>1430</v>
      </c>
      <c r="D44" s="501">
        <v>1</v>
      </c>
      <c r="E44" s="720" t="s">
        <v>367</v>
      </c>
      <c r="F44" s="831" t="s">
        <v>367</v>
      </c>
      <c r="G44" s="856">
        <v>50000</v>
      </c>
    </row>
    <row r="45" spans="1:12" ht="11.25" customHeight="1">
      <c r="A45" s="458" t="s">
        <v>140</v>
      </c>
      <c r="B45" s="855">
        <v>50000</v>
      </c>
      <c r="C45" s="854" t="s">
        <v>406</v>
      </c>
      <c r="D45" s="501" t="s">
        <v>954</v>
      </c>
      <c r="E45" s="720" t="s">
        <v>367</v>
      </c>
      <c r="F45" s="831" t="s">
        <v>367</v>
      </c>
      <c r="G45" s="856">
        <v>50000</v>
      </c>
    </row>
    <row r="46" spans="1:12" ht="11.25" customHeight="1">
      <c r="A46" s="458" t="s">
        <v>141</v>
      </c>
      <c r="B46" s="855">
        <v>1000</v>
      </c>
      <c r="C46" s="854" t="s">
        <v>1429</v>
      </c>
      <c r="D46" s="501" t="s">
        <v>954</v>
      </c>
      <c r="E46" s="720">
        <v>1000</v>
      </c>
      <c r="F46" s="831" t="s">
        <v>290</v>
      </c>
      <c r="G46" s="856">
        <v>50000</v>
      </c>
    </row>
    <row r="47" spans="1:12" ht="11.25" customHeight="1">
      <c r="A47" s="458" t="s">
        <v>142</v>
      </c>
      <c r="B47" s="855">
        <v>170</v>
      </c>
      <c r="C47" s="854" t="s">
        <v>1429</v>
      </c>
      <c r="D47" s="501">
        <v>47700000</v>
      </c>
      <c r="E47" s="720">
        <v>170</v>
      </c>
      <c r="F47" s="831" t="s">
        <v>289</v>
      </c>
      <c r="G47" s="856">
        <v>50000</v>
      </c>
    </row>
    <row r="48" spans="1:12" ht="11.25" customHeight="1">
      <c r="A48" s="462" t="s">
        <v>96</v>
      </c>
      <c r="B48" s="855">
        <v>29850</v>
      </c>
      <c r="C48" s="854" t="s">
        <v>1430</v>
      </c>
      <c r="D48" s="501">
        <v>29850</v>
      </c>
      <c r="E48" s="720" t="s">
        <v>367</v>
      </c>
      <c r="F48" s="831" t="s">
        <v>367</v>
      </c>
      <c r="G48" s="856">
        <v>50000</v>
      </c>
    </row>
    <row r="49" spans="1:7" ht="11.25" customHeight="1">
      <c r="A49" s="458" t="s">
        <v>97</v>
      </c>
      <c r="B49" s="855">
        <v>50000</v>
      </c>
      <c r="C49" s="854" t="s">
        <v>406</v>
      </c>
      <c r="D49" s="501">
        <v>251000000</v>
      </c>
      <c r="E49" s="720" t="s">
        <v>367</v>
      </c>
      <c r="F49" s="831" t="s">
        <v>367</v>
      </c>
      <c r="G49" s="856">
        <v>50000</v>
      </c>
    </row>
    <row r="50" spans="1:7" ht="11.25" customHeight="1">
      <c r="A50" s="458" t="s">
        <v>143</v>
      </c>
      <c r="B50" s="855">
        <v>1.25</v>
      </c>
      <c r="C50" s="854" t="s">
        <v>1430</v>
      </c>
      <c r="D50" s="501">
        <v>1.25</v>
      </c>
      <c r="E50" s="720" t="s">
        <v>367</v>
      </c>
      <c r="F50" s="831" t="s">
        <v>367</v>
      </c>
      <c r="G50" s="856">
        <v>50000</v>
      </c>
    </row>
    <row r="51" spans="1:7" ht="11.25" customHeight="1">
      <c r="A51" s="458" t="s">
        <v>381</v>
      </c>
      <c r="B51" s="855">
        <v>10</v>
      </c>
      <c r="C51" s="854" t="s">
        <v>1429</v>
      </c>
      <c r="D51" s="501">
        <v>615000</v>
      </c>
      <c r="E51" s="720">
        <v>10</v>
      </c>
      <c r="F51" s="831" t="s">
        <v>289</v>
      </c>
      <c r="G51" s="856">
        <v>50000</v>
      </c>
    </row>
    <row r="52" spans="1:7" ht="11.25" customHeight="1">
      <c r="A52" s="458" t="s">
        <v>144</v>
      </c>
      <c r="B52" s="855">
        <v>50000</v>
      </c>
      <c r="C52" s="854" t="s">
        <v>406</v>
      </c>
      <c r="D52" s="501">
        <v>1350000</v>
      </c>
      <c r="E52" s="720" t="s">
        <v>367</v>
      </c>
      <c r="F52" s="831" t="s">
        <v>367</v>
      </c>
      <c r="G52" s="856">
        <v>50000</v>
      </c>
    </row>
    <row r="53" spans="1:7" ht="11.25" customHeight="1">
      <c r="A53" s="458" t="s">
        <v>487</v>
      </c>
      <c r="B53" s="855">
        <v>50000</v>
      </c>
      <c r="C53" s="854" t="s">
        <v>406</v>
      </c>
      <c r="D53" s="501">
        <v>1955000</v>
      </c>
      <c r="E53" s="720" t="s">
        <v>367</v>
      </c>
      <c r="F53" s="831" t="s">
        <v>367</v>
      </c>
      <c r="G53" s="856">
        <v>50000</v>
      </c>
    </row>
    <row r="54" spans="1:7" ht="11.25" customHeight="1">
      <c r="A54" s="458" t="s">
        <v>145</v>
      </c>
      <c r="B54" s="855">
        <v>10</v>
      </c>
      <c r="C54" s="854" t="s">
        <v>1429</v>
      </c>
      <c r="D54" s="501">
        <v>78000</v>
      </c>
      <c r="E54" s="720">
        <v>10</v>
      </c>
      <c r="F54" s="831" t="s">
        <v>291</v>
      </c>
      <c r="G54" s="856">
        <v>50000</v>
      </c>
    </row>
    <row r="55" spans="1:7" ht="11.25" customHeight="1">
      <c r="A55" s="458" t="s">
        <v>225</v>
      </c>
      <c r="B55" s="855">
        <v>5</v>
      </c>
      <c r="C55" s="854" t="s">
        <v>1429</v>
      </c>
      <c r="D55" s="501">
        <v>78000</v>
      </c>
      <c r="E55" s="720">
        <v>5</v>
      </c>
      <c r="F55" s="831" t="s">
        <v>1040</v>
      </c>
      <c r="G55" s="856">
        <v>50000</v>
      </c>
    </row>
    <row r="56" spans="1:7" ht="11.25" customHeight="1">
      <c r="A56" s="458" t="s">
        <v>226</v>
      </c>
      <c r="B56" s="855">
        <v>5</v>
      </c>
      <c r="C56" s="854" t="s">
        <v>1429</v>
      </c>
      <c r="D56" s="501">
        <v>40650</v>
      </c>
      <c r="E56" s="720">
        <v>5</v>
      </c>
      <c r="F56" s="831" t="s">
        <v>291</v>
      </c>
      <c r="G56" s="856">
        <v>50000</v>
      </c>
    </row>
    <row r="57" spans="1:7" ht="11.25" customHeight="1">
      <c r="A57" s="458" t="s">
        <v>227</v>
      </c>
      <c r="B57" s="855">
        <v>1550</v>
      </c>
      <c r="C57" s="854" t="s">
        <v>1430</v>
      </c>
      <c r="D57" s="501">
        <v>1550</v>
      </c>
      <c r="E57" s="720" t="s">
        <v>367</v>
      </c>
      <c r="F57" s="831" t="s">
        <v>367</v>
      </c>
      <c r="G57" s="856">
        <v>50000</v>
      </c>
    </row>
    <row r="58" spans="1:7" ht="11.25" customHeight="1">
      <c r="A58" s="458" t="s">
        <v>361</v>
      </c>
      <c r="B58" s="855">
        <v>45</v>
      </c>
      <c r="C58" s="854" t="s">
        <v>1430</v>
      </c>
      <c r="D58" s="501">
        <v>45</v>
      </c>
      <c r="E58" s="720" t="s">
        <v>367</v>
      </c>
      <c r="F58" s="831" t="s">
        <v>367</v>
      </c>
      <c r="G58" s="856">
        <v>50000</v>
      </c>
    </row>
    <row r="59" spans="1:7" ht="11.25" customHeight="1">
      <c r="A59" s="458" t="s">
        <v>362</v>
      </c>
      <c r="B59" s="855">
        <v>20</v>
      </c>
      <c r="C59" s="854" t="s">
        <v>1430</v>
      </c>
      <c r="D59" s="501">
        <v>20</v>
      </c>
      <c r="E59" s="720" t="s">
        <v>367</v>
      </c>
      <c r="F59" s="831" t="s">
        <v>367</v>
      </c>
      <c r="G59" s="856">
        <v>50000</v>
      </c>
    </row>
    <row r="60" spans="1:7" ht="11.25" customHeight="1">
      <c r="A60" s="458" t="s">
        <v>363</v>
      </c>
      <c r="B60" s="855">
        <v>2.75</v>
      </c>
      <c r="C60" s="854" t="s">
        <v>1430</v>
      </c>
      <c r="D60" s="501">
        <v>2.75</v>
      </c>
      <c r="E60" s="720">
        <v>350</v>
      </c>
      <c r="F60" s="831" t="s">
        <v>407</v>
      </c>
      <c r="G60" s="856">
        <v>50000</v>
      </c>
    </row>
    <row r="61" spans="1:7" ht="11.25" customHeight="1">
      <c r="A61" s="458" t="s">
        <v>234</v>
      </c>
      <c r="B61" s="855">
        <v>50000</v>
      </c>
      <c r="C61" s="854" t="s">
        <v>406</v>
      </c>
      <c r="D61" s="501">
        <v>2520000</v>
      </c>
      <c r="E61" s="720" t="s">
        <v>367</v>
      </c>
      <c r="F61" s="831" t="s">
        <v>367</v>
      </c>
      <c r="G61" s="856">
        <v>50000</v>
      </c>
    </row>
    <row r="62" spans="1:7" ht="11.25" customHeight="1">
      <c r="A62" s="458" t="s">
        <v>235</v>
      </c>
      <c r="B62" s="855">
        <v>7000</v>
      </c>
      <c r="C62" s="854" t="s">
        <v>1429</v>
      </c>
      <c r="D62" s="501">
        <v>4300000</v>
      </c>
      <c r="E62" s="720">
        <v>7000</v>
      </c>
      <c r="F62" s="831" t="s">
        <v>289</v>
      </c>
      <c r="G62" s="856">
        <v>50000</v>
      </c>
    </row>
    <row r="63" spans="1:7" ht="11.25" customHeight="1">
      <c r="A63" s="458" t="s">
        <v>294</v>
      </c>
      <c r="B63" s="855">
        <v>1500</v>
      </c>
      <c r="C63" s="854" t="s">
        <v>1429</v>
      </c>
      <c r="D63" s="501">
        <v>1210000</v>
      </c>
      <c r="E63" s="720">
        <v>1500</v>
      </c>
      <c r="F63" s="831" t="s">
        <v>289</v>
      </c>
      <c r="G63" s="856">
        <v>50000</v>
      </c>
    </row>
    <row r="64" spans="1:7" ht="11.25" customHeight="1">
      <c r="A64" s="458" t="s">
        <v>295</v>
      </c>
      <c r="B64" s="855">
        <v>50000</v>
      </c>
      <c r="C64" s="854" t="s">
        <v>406</v>
      </c>
      <c r="D64" s="501">
        <v>3205000</v>
      </c>
      <c r="E64" s="720" t="s">
        <v>367</v>
      </c>
      <c r="F64" s="831" t="s">
        <v>367</v>
      </c>
      <c r="G64" s="856">
        <v>50000</v>
      </c>
    </row>
    <row r="65" spans="1:7" ht="11.25" customHeight="1">
      <c r="A65" s="458" t="s">
        <v>228</v>
      </c>
      <c r="B65" s="855">
        <v>260</v>
      </c>
      <c r="C65" s="854" t="s">
        <v>1429</v>
      </c>
      <c r="D65" s="501">
        <v>2260000</v>
      </c>
      <c r="E65" s="720">
        <v>260</v>
      </c>
      <c r="F65" s="831" t="s">
        <v>289</v>
      </c>
      <c r="G65" s="856">
        <v>50000</v>
      </c>
    </row>
    <row r="66" spans="1:7" ht="11.25" customHeight="1">
      <c r="A66" s="458" t="s">
        <v>942</v>
      </c>
      <c r="B66" s="855">
        <v>0.3</v>
      </c>
      <c r="C66" s="854" t="s">
        <v>1429</v>
      </c>
      <c r="D66" s="501">
        <v>2775000</v>
      </c>
      <c r="E66" s="720">
        <v>0.3</v>
      </c>
      <c r="F66" s="831" t="s">
        <v>407</v>
      </c>
      <c r="G66" s="856">
        <v>50000</v>
      </c>
    </row>
    <row r="67" spans="1:7" ht="11.25" customHeight="1">
      <c r="A67" s="458" t="s">
        <v>98</v>
      </c>
      <c r="B67" s="855">
        <v>50000</v>
      </c>
      <c r="C67" s="854" t="s">
        <v>406</v>
      </c>
      <c r="D67" s="501">
        <v>338500</v>
      </c>
      <c r="E67" s="720" t="s">
        <v>367</v>
      </c>
      <c r="F67" s="831" t="s">
        <v>367</v>
      </c>
      <c r="G67" s="856">
        <v>50000</v>
      </c>
    </row>
    <row r="68" spans="1:7" ht="11.25" customHeight="1">
      <c r="A68" s="458" t="s">
        <v>943</v>
      </c>
      <c r="B68" s="855">
        <v>10</v>
      </c>
      <c r="C68" s="854" t="s">
        <v>1429</v>
      </c>
      <c r="D68" s="501">
        <v>1400000</v>
      </c>
      <c r="E68" s="720">
        <v>10</v>
      </c>
      <c r="F68" s="831" t="s">
        <v>407</v>
      </c>
      <c r="G68" s="856">
        <v>50000</v>
      </c>
    </row>
    <row r="69" spans="1:7" ht="11.25" customHeight="1">
      <c r="A69" s="458" t="s">
        <v>296</v>
      </c>
      <c r="B69" s="855">
        <v>50000</v>
      </c>
      <c r="C69" s="854" t="s">
        <v>406</v>
      </c>
      <c r="D69" s="501">
        <v>1400000</v>
      </c>
      <c r="E69" s="720" t="s">
        <v>367</v>
      </c>
      <c r="F69" s="831" t="s">
        <v>367</v>
      </c>
      <c r="G69" s="856">
        <v>50000</v>
      </c>
    </row>
    <row r="70" spans="1:7" ht="11.25" customHeight="1">
      <c r="A70" s="458" t="s">
        <v>944</v>
      </c>
      <c r="B70" s="855">
        <v>41</v>
      </c>
      <c r="C70" s="854" t="s">
        <v>1429</v>
      </c>
      <c r="D70" s="501">
        <v>97.5</v>
      </c>
      <c r="E70" s="720">
        <v>41</v>
      </c>
      <c r="F70" s="831" t="s">
        <v>407</v>
      </c>
      <c r="G70" s="856">
        <v>50000</v>
      </c>
    </row>
    <row r="71" spans="1:7" ht="11.25" customHeight="1">
      <c r="A71" s="458" t="s">
        <v>945</v>
      </c>
      <c r="B71" s="855">
        <v>50000</v>
      </c>
      <c r="C71" s="854" t="s">
        <v>406</v>
      </c>
      <c r="D71" s="501">
        <v>540000</v>
      </c>
      <c r="E71" s="720" t="s">
        <v>367</v>
      </c>
      <c r="F71" s="831" t="s">
        <v>367</v>
      </c>
      <c r="G71" s="856">
        <v>50000</v>
      </c>
    </row>
    <row r="72" spans="1:7" ht="11.25" customHeight="1">
      <c r="A72" s="458" t="s">
        <v>947</v>
      </c>
      <c r="B72" s="855">
        <v>400</v>
      </c>
      <c r="C72" s="854" t="s">
        <v>1429</v>
      </c>
      <c r="D72" s="501">
        <v>3935000</v>
      </c>
      <c r="E72" s="720">
        <v>400</v>
      </c>
      <c r="F72" s="831" t="s">
        <v>369</v>
      </c>
      <c r="G72" s="856">
        <v>50000</v>
      </c>
    </row>
    <row r="73" spans="1:7" ht="11.25" customHeight="1">
      <c r="A73" s="458" t="s">
        <v>946</v>
      </c>
      <c r="B73" s="855">
        <v>50000</v>
      </c>
      <c r="C73" s="854" t="s">
        <v>406</v>
      </c>
      <c r="D73" s="501">
        <v>2500000</v>
      </c>
      <c r="E73" s="720" t="s">
        <v>367</v>
      </c>
      <c r="F73" s="831" t="s">
        <v>367</v>
      </c>
      <c r="G73" s="856">
        <v>50000</v>
      </c>
    </row>
    <row r="74" spans="1:7" ht="11.25" customHeight="1">
      <c r="A74" s="462" t="s">
        <v>99</v>
      </c>
      <c r="B74" s="855">
        <v>50000</v>
      </c>
      <c r="C74" s="854" t="s">
        <v>406</v>
      </c>
      <c r="D74" s="501">
        <v>266500</v>
      </c>
      <c r="E74" s="720" t="s">
        <v>367</v>
      </c>
      <c r="F74" s="831" t="s">
        <v>367</v>
      </c>
      <c r="G74" s="856">
        <v>50000</v>
      </c>
    </row>
    <row r="75" spans="1:7" ht="11.25" customHeight="1">
      <c r="A75" s="458" t="s">
        <v>297</v>
      </c>
      <c r="B75" s="855">
        <v>50000</v>
      </c>
      <c r="C75" s="854" t="s">
        <v>406</v>
      </c>
      <c r="D75" s="501">
        <v>1395000</v>
      </c>
      <c r="E75" s="720" t="s">
        <v>367</v>
      </c>
      <c r="F75" s="831" t="s">
        <v>367</v>
      </c>
      <c r="G75" s="856">
        <v>50000</v>
      </c>
    </row>
    <row r="76" spans="1:7" ht="11.25" customHeight="1">
      <c r="A76" s="462" t="s">
        <v>100</v>
      </c>
      <c r="B76" s="855">
        <v>50000</v>
      </c>
      <c r="C76" s="854" t="s">
        <v>406</v>
      </c>
      <c r="D76" s="501">
        <v>100000</v>
      </c>
      <c r="E76" s="720" t="s">
        <v>367</v>
      </c>
      <c r="F76" s="831" t="s">
        <v>367</v>
      </c>
      <c r="G76" s="856">
        <v>50000</v>
      </c>
    </row>
    <row r="77" spans="1:7" ht="11.25" customHeight="1">
      <c r="A77" s="462" t="s">
        <v>101</v>
      </c>
      <c r="B77" s="855">
        <v>50000</v>
      </c>
      <c r="C77" s="854" t="s">
        <v>406</v>
      </c>
      <c r="D77" s="501">
        <v>91000</v>
      </c>
      <c r="E77" s="720" t="s">
        <v>367</v>
      </c>
      <c r="F77" s="831" t="s">
        <v>367</v>
      </c>
      <c r="G77" s="856">
        <v>50000</v>
      </c>
    </row>
    <row r="78" spans="1:7" ht="11.25" customHeight="1">
      <c r="A78" s="458" t="s">
        <v>382</v>
      </c>
      <c r="B78" s="855">
        <v>50000</v>
      </c>
      <c r="C78" s="854" t="s">
        <v>406</v>
      </c>
      <c r="D78" s="501">
        <v>500000000</v>
      </c>
      <c r="E78" s="720">
        <v>230000</v>
      </c>
      <c r="F78" s="831" t="s">
        <v>289</v>
      </c>
      <c r="G78" s="856">
        <v>50000</v>
      </c>
    </row>
    <row r="79" spans="1:7" ht="11.25" customHeight="1">
      <c r="A79" s="458" t="s">
        <v>594</v>
      </c>
      <c r="B79" s="855">
        <v>0.1</v>
      </c>
      <c r="C79" s="854" t="s">
        <v>1430</v>
      </c>
      <c r="D79" s="501">
        <v>0.1</v>
      </c>
      <c r="E79" s="720" t="s">
        <v>367</v>
      </c>
      <c r="F79" s="831" t="s">
        <v>367</v>
      </c>
      <c r="G79" s="856">
        <v>50000</v>
      </c>
    </row>
    <row r="80" spans="1:7" ht="11.25" customHeight="1">
      <c r="A80" s="458" t="s">
        <v>102</v>
      </c>
      <c r="B80" s="855">
        <v>21000</v>
      </c>
      <c r="C80" s="854" t="s">
        <v>1430</v>
      </c>
      <c r="D80" s="501">
        <v>21000</v>
      </c>
      <c r="E80" s="720" t="s">
        <v>367</v>
      </c>
      <c r="F80" s="831" t="s">
        <v>367</v>
      </c>
      <c r="G80" s="856">
        <v>50000</v>
      </c>
    </row>
    <row r="81" spans="1:7" ht="11.25" customHeight="1">
      <c r="A81" s="458" t="s">
        <v>370</v>
      </c>
      <c r="B81" s="855">
        <v>162.5</v>
      </c>
      <c r="C81" s="854" t="s">
        <v>1430</v>
      </c>
      <c r="D81" s="501">
        <v>162.5</v>
      </c>
      <c r="E81" s="720" t="s">
        <v>367</v>
      </c>
      <c r="F81" s="831" t="s">
        <v>367</v>
      </c>
      <c r="G81" s="856">
        <v>50000</v>
      </c>
    </row>
    <row r="82" spans="1:7" ht="11.25" customHeight="1">
      <c r="A82" s="458" t="s">
        <v>337</v>
      </c>
      <c r="B82" s="855">
        <v>41</v>
      </c>
      <c r="C82" s="854" t="s">
        <v>1429</v>
      </c>
      <c r="D82" s="501">
        <v>125</v>
      </c>
      <c r="E82" s="720">
        <v>41</v>
      </c>
      <c r="F82" s="831" t="s">
        <v>407</v>
      </c>
      <c r="G82" s="856">
        <v>50000</v>
      </c>
    </row>
    <row r="83" spans="1:7" ht="11.25" customHeight="1">
      <c r="A83" s="458" t="s">
        <v>28</v>
      </c>
      <c r="B83" s="855">
        <v>50000</v>
      </c>
      <c r="C83" s="854" t="s">
        <v>406</v>
      </c>
      <c r="D83" s="501">
        <v>500000000</v>
      </c>
      <c r="E83" s="720">
        <v>760000</v>
      </c>
      <c r="F83" s="831" t="s">
        <v>289</v>
      </c>
      <c r="G83" s="856">
        <v>50000</v>
      </c>
    </row>
    <row r="84" spans="1:7" ht="11.25" customHeight="1">
      <c r="A84" s="458" t="s">
        <v>338</v>
      </c>
      <c r="B84" s="855">
        <v>30</v>
      </c>
      <c r="C84" s="854" t="s">
        <v>1429</v>
      </c>
      <c r="D84" s="501">
        <v>84500</v>
      </c>
      <c r="E84" s="720">
        <v>30</v>
      </c>
      <c r="F84" s="831" t="s">
        <v>291</v>
      </c>
      <c r="G84" s="856">
        <v>50000</v>
      </c>
    </row>
    <row r="85" spans="1:7" ht="11.25" customHeight="1">
      <c r="A85" s="458" t="s">
        <v>339</v>
      </c>
      <c r="B85" s="855">
        <v>130</v>
      </c>
      <c r="C85" s="854" t="s">
        <v>1430</v>
      </c>
      <c r="D85" s="501">
        <v>130</v>
      </c>
      <c r="E85" s="720" t="s">
        <v>367</v>
      </c>
      <c r="F85" s="831" t="s">
        <v>367</v>
      </c>
      <c r="G85" s="856">
        <v>50000</v>
      </c>
    </row>
    <row r="86" spans="1:7" ht="11.25" customHeight="1">
      <c r="A86" s="458" t="s">
        <v>340</v>
      </c>
      <c r="B86" s="855">
        <v>845</v>
      </c>
      <c r="C86" s="854" t="s">
        <v>1430</v>
      </c>
      <c r="D86" s="501">
        <v>845</v>
      </c>
      <c r="E86" s="720" t="s">
        <v>367</v>
      </c>
      <c r="F86" s="831" t="s">
        <v>367</v>
      </c>
      <c r="G86" s="856">
        <v>50000</v>
      </c>
    </row>
    <row r="87" spans="1:7" ht="11.25" customHeight="1">
      <c r="A87" s="458" t="s">
        <v>103</v>
      </c>
      <c r="B87" s="855">
        <v>50000</v>
      </c>
      <c r="C87" s="854" t="s">
        <v>406</v>
      </c>
      <c r="D87" s="501">
        <v>5250000</v>
      </c>
      <c r="E87" s="720" t="s">
        <v>367</v>
      </c>
      <c r="F87" s="831" t="s">
        <v>367</v>
      </c>
      <c r="G87" s="856">
        <v>50000</v>
      </c>
    </row>
    <row r="88" spans="1:7" ht="11.25" customHeight="1">
      <c r="A88" s="458" t="s">
        <v>341</v>
      </c>
      <c r="B88" s="855">
        <v>20</v>
      </c>
      <c r="C88" s="854" t="s">
        <v>1429</v>
      </c>
      <c r="D88" s="501">
        <v>90</v>
      </c>
      <c r="E88" s="720">
        <v>20</v>
      </c>
      <c r="F88" s="831" t="s">
        <v>407</v>
      </c>
      <c r="G88" s="856">
        <v>50000</v>
      </c>
    </row>
    <row r="89" spans="1:7" ht="11.25" customHeight="1">
      <c r="A89" s="458" t="s">
        <v>342</v>
      </c>
      <c r="B89" s="855">
        <v>100</v>
      </c>
      <c r="C89" s="854" t="s">
        <v>1430</v>
      </c>
      <c r="D89" s="501">
        <v>100</v>
      </c>
      <c r="E89" s="720" t="s">
        <v>367</v>
      </c>
      <c r="F89" s="831" t="s">
        <v>367</v>
      </c>
      <c r="G89" s="856">
        <v>50000</v>
      </c>
    </row>
    <row r="90" spans="1:7" ht="11.25" customHeight="1">
      <c r="A90" s="458" t="s">
        <v>371</v>
      </c>
      <c r="B90" s="855">
        <v>3.1</v>
      </c>
      <c r="C90" s="854" t="s">
        <v>1430</v>
      </c>
      <c r="D90" s="501">
        <v>3.1</v>
      </c>
      <c r="E90" s="720">
        <v>3000</v>
      </c>
      <c r="F90" s="831" t="s">
        <v>407</v>
      </c>
      <c r="G90" s="856">
        <v>50000</v>
      </c>
    </row>
    <row r="91" spans="1:7" ht="11.25" customHeight="1">
      <c r="A91" s="458" t="s">
        <v>343</v>
      </c>
      <c r="B91" s="855">
        <v>6</v>
      </c>
      <c r="C91" s="854" t="s">
        <v>1429</v>
      </c>
      <c r="D91" s="501">
        <v>1600</v>
      </c>
      <c r="E91" s="720">
        <v>6</v>
      </c>
      <c r="F91" s="831" t="s">
        <v>407</v>
      </c>
      <c r="G91" s="856">
        <v>50000</v>
      </c>
    </row>
    <row r="92" spans="1:7" ht="11.25" customHeight="1">
      <c r="A92" s="458" t="s">
        <v>364</v>
      </c>
      <c r="B92" s="855">
        <v>3650</v>
      </c>
      <c r="C92" s="854" t="s">
        <v>1430</v>
      </c>
      <c r="D92" s="501">
        <v>3650</v>
      </c>
      <c r="E92" s="720">
        <v>12000</v>
      </c>
      <c r="F92" s="831" t="s">
        <v>407</v>
      </c>
      <c r="G92" s="856">
        <v>50000</v>
      </c>
    </row>
    <row r="93" spans="1:7" ht="11.25" customHeight="1">
      <c r="A93" s="458" t="s">
        <v>344</v>
      </c>
      <c r="B93" s="855">
        <v>10</v>
      </c>
      <c r="C93" s="854" t="s">
        <v>1429</v>
      </c>
      <c r="D93" s="501">
        <v>25000</v>
      </c>
      <c r="E93" s="720">
        <v>10</v>
      </c>
      <c r="F93" s="831" t="s">
        <v>289</v>
      </c>
      <c r="G93" s="856">
        <v>50000</v>
      </c>
    </row>
    <row r="94" spans="1:7" ht="11.25" customHeight="1">
      <c r="A94" s="458" t="s">
        <v>104</v>
      </c>
      <c r="B94" s="855">
        <v>50000</v>
      </c>
      <c r="C94" s="854" t="s">
        <v>406</v>
      </c>
      <c r="D94" s="501">
        <v>16500000</v>
      </c>
      <c r="E94" s="720" t="s">
        <v>367</v>
      </c>
      <c r="F94" s="831" t="s">
        <v>367</v>
      </c>
      <c r="G94" s="856">
        <v>50000</v>
      </c>
    </row>
    <row r="95" spans="1:7" ht="11.25" customHeight="1">
      <c r="A95" s="458" t="s">
        <v>345</v>
      </c>
      <c r="B95" s="855">
        <v>9.5000000000000001E-2</v>
      </c>
      <c r="C95" s="854" t="s">
        <v>1430</v>
      </c>
      <c r="D95" s="501">
        <v>9.5000000000000001E-2</v>
      </c>
      <c r="E95" s="720" t="s">
        <v>367</v>
      </c>
      <c r="F95" s="831" t="s">
        <v>367</v>
      </c>
      <c r="G95" s="856">
        <v>50000</v>
      </c>
    </row>
    <row r="96" spans="1:7" ht="11.25" customHeight="1">
      <c r="A96" s="458" t="s">
        <v>105</v>
      </c>
      <c r="B96" s="855">
        <v>50000</v>
      </c>
      <c r="C96" s="854" t="s">
        <v>406</v>
      </c>
      <c r="D96" s="501">
        <v>6000000</v>
      </c>
      <c r="E96" s="720" t="s">
        <v>367</v>
      </c>
      <c r="F96" s="831" t="s">
        <v>367</v>
      </c>
      <c r="G96" s="856">
        <v>50000</v>
      </c>
    </row>
    <row r="97" spans="1:7" ht="11.25" customHeight="1">
      <c r="A97" s="458" t="s">
        <v>346</v>
      </c>
      <c r="B97" s="855">
        <v>50000</v>
      </c>
      <c r="C97" s="854" t="s">
        <v>406</v>
      </c>
      <c r="D97" s="501" t="s">
        <v>954</v>
      </c>
      <c r="E97" s="720" t="s">
        <v>367</v>
      </c>
      <c r="F97" s="831" t="s">
        <v>367</v>
      </c>
      <c r="G97" s="856">
        <v>50000</v>
      </c>
    </row>
    <row r="98" spans="1:7" ht="11.25" customHeight="1">
      <c r="A98" s="458" t="s">
        <v>347</v>
      </c>
      <c r="B98" s="855">
        <v>50000</v>
      </c>
      <c r="C98" s="854" t="s">
        <v>406</v>
      </c>
      <c r="D98" s="501">
        <v>34500000</v>
      </c>
      <c r="E98" s="720" t="s">
        <v>367</v>
      </c>
      <c r="F98" s="831" t="s">
        <v>367</v>
      </c>
      <c r="G98" s="856">
        <v>50000</v>
      </c>
    </row>
    <row r="99" spans="1:7" ht="11.25" customHeight="1">
      <c r="A99" s="458" t="s">
        <v>348</v>
      </c>
      <c r="B99" s="855">
        <v>50</v>
      </c>
      <c r="C99" s="854" t="s">
        <v>1430</v>
      </c>
      <c r="D99" s="501">
        <v>50</v>
      </c>
      <c r="E99" s="720">
        <v>4700</v>
      </c>
      <c r="F99" s="831" t="s">
        <v>289</v>
      </c>
      <c r="G99" s="856">
        <v>50000</v>
      </c>
    </row>
    <row r="100" spans="1:7" ht="11.25" customHeight="1">
      <c r="A100" s="458" t="s">
        <v>350</v>
      </c>
      <c r="B100" s="855">
        <v>8400</v>
      </c>
      <c r="C100" s="854" t="s">
        <v>1429</v>
      </c>
      <c r="D100" s="501">
        <v>111500000</v>
      </c>
      <c r="E100" s="720">
        <v>8400</v>
      </c>
      <c r="F100" s="831" t="s">
        <v>289</v>
      </c>
      <c r="G100" s="856">
        <v>50000</v>
      </c>
    </row>
    <row r="101" spans="1:7" ht="11.25" customHeight="1">
      <c r="A101" s="458" t="s">
        <v>351</v>
      </c>
      <c r="B101" s="855">
        <v>1300</v>
      </c>
      <c r="C101" s="854" t="s">
        <v>1429</v>
      </c>
      <c r="D101" s="501">
        <v>9500000</v>
      </c>
      <c r="E101" s="720">
        <v>1300</v>
      </c>
      <c r="F101" s="831" t="s">
        <v>289</v>
      </c>
      <c r="G101" s="856">
        <v>50000</v>
      </c>
    </row>
    <row r="102" spans="1:7" ht="11.25" customHeight="1">
      <c r="A102" s="458" t="s">
        <v>352</v>
      </c>
      <c r="B102" s="855">
        <v>50000</v>
      </c>
      <c r="C102" s="854" t="s">
        <v>406</v>
      </c>
      <c r="D102" s="501" t="s">
        <v>954</v>
      </c>
      <c r="E102" s="720" t="s">
        <v>367</v>
      </c>
      <c r="F102" s="831" t="s">
        <v>367</v>
      </c>
      <c r="G102" s="856">
        <v>50000</v>
      </c>
    </row>
    <row r="103" spans="1:7" ht="11.25" customHeight="1">
      <c r="A103" s="458" t="s">
        <v>353</v>
      </c>
      <c r="B103" s="855">
        <v>5</v>
      </c>
      <c r="C103" s="854" t="s">
        <v>1429</v>
      </c>
      <c r="D103" s="501">
        <v>25500000</v>
      </c>
      <c r="E103" s="720">
        <v>5</v>
      </c>
      <c r="F103" s="831" t="s">
        <v>292</v>
      </c>
      <c r="G103" s="856">
        <v>50000</v>
      </c>
    </row>
    <row r="104" spans="1:7" ht="11.25" customHeight="1">
      <c r="A104" s="458" t="s">
        <v>349</v>
      </c>
      <c r="B104" s="855">
        <v>9100</v>
      </c>
      <c r="C104" s="854" t="s">
        <v>1429</v>
      </c>
      <c r="D104" s="501">
        <v>6500000</v>
      </c>
      <c r="E104" s="720">
        <v>9100</v>
      </c>
      <c r="F104" s="831" t="s">
        <v>407</v>
      </c>
      <c r="G104" s="856">
        <v>50000</v>
      </c>
    </row>
    <row r="105" spans="1:7" ht="11.25" customHeight="1">
      <c r="A105" s="458" t="s">
        <v>590</v>
      </c>
      <c r="B105" s="855">
        <v>10</v>
      </c>
      <c r="C105" s="854" t="s">
        <v>1429</v>
      </c>
      <c r="D105" s="501">
        <v>12900</v>
      </c>
      <c r="E105" s="720">
        <v>10</v>
      </c>
      <c r="F105" s="831" t="s">
        <v>407</v>
      </c>
      <c r="G105" s="856">
        <v>50000</v>
      </c>
    </row>
    <row r="106" spans="1:7" ht="11.25" customHeight="1">
      <c r="A106" s="458" t="s">
        <v>591</v>
      </c>
      <c r="B106" s="855">
        <v>10</v>
      </c>
      <c r="C106" s="854" t="s">
        <v>1429</v>
      </c>
      <c r="D106" s="501">
        <v>12300</v>
      </c>
      <c r="E106" s="720">
        <v>10</v>
      </c>
      <c r="F106" s="831" t="s">
        <v>407</v>
      </c>
      <c r="G106" s="856">
        <v>50000</v>
      </c>
    </row>
    <row r="107" spans="1:7" ht="11.25" customHeight="1">
      <c r="A107" s="458" t="s">
        <v>465</v>
      </c>
      <c r="B107" s="855">
        <v>50000</v>
      </c>
      <c r="C107" s="854" t="s">
        <v>406</v>
      </c>
      <c r="D107" s="501" t="s">
        <v>954</v>
      </c>
      <c r="E107" s="720" t="s">
        <v>367</v>
      </c>
      <c r="F107" s="831" t="s">
        <v>367</v>
      </c>
      <c r="G107" s="856">
        <v>50000</v>
      </c>
    </row>
    <row r="108" spans="1:7" ht="11.25" customHeight="1">
      <c r="A108" s="458" t="s">
        <v>466</v>
      </c>
      <c r="B108" s="855">
        <v>21</v>
      </c>
      <c r="C108" s="854" t="s">
        <v>1429</v>
      </c>
      <c r="D108" s="501">
        <v>15500</v>
      </c>
      <c r="E108" s="720">
        <v>21</v>
      </c>
      <c r="F108" s="831" t="s">
        <v>289</v>
      </c>
      <c r="G108" s="856">
        <v>50000</v>
      </c>
    </row>
    <row r="109" spans="1:7" ht="11.25" customHeight="1">
      <c r="A109" s="458" t="s">
        <v>812</v>
      </c>
      <c r="B109" s="855">
        <v>50000</v>
      </c>
      <c r="C109" s="854" t="s">
        <v>406</v>
      </c>
      <c r="D109" s="501" t="s">
        <v>954</v>
      </c>
      <c r="E109" s="720" t="s">
        <v>367</v>
      </c>
      <c r="F109" s="831" t="s">
        <v>367</v>
      </c>
      <c r="G109" s="856">
        <v>50000</v>
      </c>
    </row>
    <row r="110" spans="1:7" ht="11.25" customHeight="1">
      <c r="A110" s="462" t="s">
        <v>106</v>
      </c>
      <c r="B110" s="855">
        <v>50000</v>
      </c>
      <c r="C110" s="854" t="s">
        <v>406</v>
      </c>
      <c r="D110" s="501">
        <v>1045000</v>
      </c>
      <c r="E110" s="720" t="s">
        <v>367</v>
      </c>
      <c r="F110" s="831" t="s">
        <v>367</v>
      </c>
      <c r="G110" s="856">
        <v>50000</v>
      </c>
    </row>
    <row r="111" spans="1:7" ht="11.25" customHeight="1">
      <c r="A111" s="462" t="s">
        <v>107</v>
      </c>
      <c r="B111" s="855">
        <v>50000</v>
      </c>
      <c r="C111" s="854" t="s">
        <v>406</v>
      </c>
      <c r="D111" s="501">
        <v>690000</v>
      </c>
      <c r="E111" s="720" t="s">
        <v>367</v>
      </c>
      <c r="F111" s="831" t="s">
        <v>367</v>
      </c>
      <c r="G111" s="856">
        <v>50000</v>
      </c>
    </row>
    <row r="112" spans="1:7" ht="11.25" customHeight="1">
      <c r="A112" s="462" t="s">
        <v>108</v>
      </c>
      <c r="B112" s="855">
        <v>50000</v>
      </c>
      <c r="C112" s="854" t="s">
        <v>406</v>
      </c>
      <c r="D112" s="501">
        <v>325000</v>
      </c>
      <c r="E112" s="720" t="s">
        <v>367</v>
      </c>
      <c r="F112" s="831" t="s">
        <v>367</v>
      </c>
      <c r="G112" s="856">
        <v>50000</v>
      </c>
    </row>
    <row r="113" spans="1:7" ht="11.25" customHeight="1">
      <c r="A113" s="462" t="s">
        <v>109</v>
      </c>
      <c r="B113" s="855">
        <v>50000</v>
      </c>
      <c r="C113" s="854" t="s">
        <v>406</v>
      </c>
      <c r="D113" s="501">
        <v>250000</v>
      </c>
      <c r="E113" s="720" t="s">
        <v>367</v>
      </c>
      <c r="F113" s="831" t="s">
        <v>367</v>
      </c>
      <c r="G113" s="856">
        <v>50000</v>
      </c>
    </row>
    <row r="114" spans="1:7" ht="11.25" customHeight="1">
      <c r="A114" s="462" t="s">
        <v>110</v>
      </c>
      <c r="B114" s="855">
        <v>50000</v>
      </c>
      <c r="C114" s="854" t="s">
        <v>406</v>
      </c>
      <c r="D114" s="501">
        <v>221000</v>
      </c>
      <c r="E114" s="720" t="s">
        <v>367</v>
      </c>
      <c r="F114" s="831" t="s">
        <v>367</v>
      </c>
      <c r="G114" s="856">
        <v>50000</v>
      </c>
    </row>
    <row r="115" spans="1:7" ht="11.25" customHeight="1">
      <c r="A115" s="458" t="s">
        <v>467</v>
      </c>
      <c r="B115" s="855">
        <v>30</v>
      </c>
      <c r="C115" s="854" t="s">
        <v>1429</v>
      </c>
      <c r="D115" s="501">
        <v>7000</v>
      </c>
      <c r="E115" s="720">
        <v>30</v>
      </c>
      <c r="F115" s="831" t="s">
        <v>289</v>
      </c>
      <c r="G115" s="856">
        <v>50000</v>
      </c>
    </row>
    <row r="116" spans="1:7" ht="11.25" customHeight="1">
      <c r="A116" s="462" t="s">
        <v>111</v>
      </c>
      <c r="B116" s="855">
        <v>21500</v>
      </c>
      <c r="C116" s="854" t="s">
        <v>1430</v>
      </c>
      <c r="D116" s="501">
        <v>21500</v>
      </c>
      <c r="E116" s="720" t="s">
        <v>367</v>
      </c>
      <c r="F116" s="831" t="s">
        <v>367</v>
      </c>
      <c r="G116" s="856">
        <v>50000</v>
      </c>
    </row>
    <row r="117" spans="1:7" ht="11.25" customHeight="1">
      <c r="A117" s="458" t="s">
        <v>231</v>
      </c>
      <c r="B117" s="855">
        <v>50000</v>
      </c>
      <c r="C117" s="854" t="s">
        <v>406</v>
      </c>
      <c r="D117" s="501">
        <v>122500000</v>
      </c>
      <c r="E117" s="720" t="s">
        <v>367</v>
      </c>
      <c r="F117" s="831" t="s">
        <v>367</v>
      </c>
      <c r="G117" s="856">
        <v>50000</v>
      </c>
    </row>
    <row r="118" spans="1:7" ht="11.25" customHeight="1">
      <c r="A118" s="458" t="s">
        <v>468</v>
      </c>
      <c r="B118" s="855">
        <v>408</v>
      </c>
      <c r="C118" s="854" t="s">
        <v>1430</v>
      </c>
      <c r="D118" s="501">
        <v>408</v>
      </c>
      <c r="E118" s="720">
        <v>1000</v>
      </c>
      <c r="F118" s="831" t="s">
        <v>407</v>
      </c>
      <c r="G118" s="856">
        <v>50000</v>
      </c>
    </row>
    <row r="119" spans="1:7" ht="11.25" customHeight="1">
      <c r="A119" s="458" t="s">
        <v>469</v>
      </c>
      <c r="B119" s="855">
        <v>7900</v>
      </c>
      <c r="C119" s="854" t="s">
        <v>1429</v>
      </c>
      <c r="D119" s="501">
        <v>41400000</v>
      </c>
      <c r="E119" s="720">
        <v>7900</v>
      </c>
      <c r="F119" s="831" t="s">
        <v>289</v>
      </c>
      <c r="G119" s="856">
        <v>50000</v>
      </c>
    </row>
    <row r="120" spans="1:7" ht="11.25" customHeight="1">
      <c r="A120" s="458" t="s">
        <v>365</v>
      </c>
      <c r="B120" s="855">
        <v>21.5</v>
      </c>
      <c r="C120" s="854" t="s">
        <v>1430</v>
      </c>
      <c r="D120" s="501">
        <v>21.5</v>
      </c>
      <c r="E120" s="720" t="s">
        <v>367</v>
      </c>
      <c r="F120" s="831" t="s">
        <v>367</v>
      </c>
      <c r="G120" s="856">
        <v>50000</v>
      </c>
    </row>
    <row r="121" spans="1:7" ht="11.25" customHeight="1">
      <c r="A121" s="458" t="s">
        <v>112</v>
      </c>
      <c r="B121" s="855">
        <v>50000</v>
      </c>
      <c r="C121" s="854" t="s">
        <v>406</v>
      </c>
      <c r="D121" s="501">
        <v>55000</v>
      </c>
      <c r="E121" s="720" t="s">
        <v>367</v>
      </c>
      <c r="F121" s="831" t="s">
        <v>367</v>
      </c>
      <c r="G121" s="856">
        <v>50000</v>
      </c>
    </row>
    <row r="122" spans="1:7" ht="11.25" customHeight="1">
      <c r="A122" s="458" t="s">
        <v>470</v>
      </c>
      <c r="B122" s="855">
        <v>67.5</v>
      </c>
      <c r="C122" s="854" t="s">
        <v>1430</v>
      </c>
      <c r="D122" s="501">
        <v>67.5</v>
      </c>
      <c r="E122" s="720" t="s">
        <v>367</v>
      </c>
      <c r="F122" s="831" t="s">
        <v>367</v>
      </c>
      <c r="G122" s="856">
        <v>50000</v>
      </c>
    </row>
    <row r="123" spans="1:7" ht="11.25" customHeight="1">
      <c r="A123" s="458" t="s">
        <v>471</v>
      </c>
      <c r="B123" s="855">
        <v>50000</v>
      </c>
      <c r="C123" s="854" t="s">
        <v>406</v>
      </c>
      <c r="D123" s="501" t="s">
        <v>954</v>
      </c>
      <c r="E123" s="720" t="s">
        <v>367</v>
      </c>
      <c r="F123" s="831" t="s">
        <v>367</v>
      </c>
      <c r="G123" s="856">
        <v>50000</v>
      </c>
    </row>
    <row r="124" spans="1:7" ht="11.25" customHeight="1">
      <c r="A124" s="458" t="s">
        <v>813</v>
      </c>
      <c r="B124" s="855">
        <v>100</v>
      </c>
      <c r="C124" s="854" t="s">
        <v>1429</v>
      </c>
      <c r="D124" s="501" t="s">
        <v>954</v>
      </c>
      <c r="E124" s="720">
        <v>100</v>
      </c>
      <c r="F124" s="831" t="s">
        <v>292</v>
      </c>
      <c r="G124" s="856">
        <v>50000</v>
      </c>
    </row>
    <row r="125" spans="1:7" ht="11.25" customHeight="1">
      <c r="A125" s="458" t="s">
        <v>113</v>
      </c>
      <c r="B125" s="855">
        <v>3100</v>
      </c>
      <c r="C125" s="854" t="s">
        <v>1430</v>
      </c>
      <c r="D125" s="501">
        <v>3100</v>
      </c>
      <c r="E125" s="720" t="s">
        <v>367</v>
      </c>
      <c r="F125" s="831" t="s">
        <v>367</v>
      </c>
      <c r="G125" s="856">
        <v>50000</v>
      </c>
    </row>
    <row r="126" spans="1:7" ht="11.25" customHeight="1">
      <c r="A126" s="458" t="s">
        <v>472</v>
      </c>
      <c r="B126" s="855">
        <v>10</v>
      </c>
      <c r="C126" s="854" t="s">
        <v>1429</v>
      </c>
      <c r="D126" s="501">
        <v>155000</v>
      </c>
      <c r="E126" s="720">
        <v>10</v>
      </c>
      <c r="F126" s="831" t="s">
        <v>291</v>
      </c>
      <c r="G126" s="856">
        <v>50000</v>
      </c>
    </row>
    <row r="127" spans="1:7" ht="11.25" customHeight="1">
      <c r="A127" s="458" t="s">
        <v>114</v>
      </c>
      <c r="B127" s="855">
        <v>50000</v>
      </c>
      <c r="C127" s="854" t="s">
        <v>406</v>
      </c>
      <c r="D127" s="501">
        <v>355000</v>
      </c>
      <c r="E127" s="720" t="s">
        <v>367</v>
      </c>
      <c r="F127" s="831" t="s">
        <v>367</v>
      </c>
      <c r="G127" s="856">
        <v>50000</v>
      </c>
    </row>
    <row r="128" spans="1:7" ht="11.25" customHeight="1">
      <c r="A128" s="458" t="s">
        <v>19</v>
      </c>
      <c r="B128" s="855">
        <v>50000</v>
      </c>
      <c r="C128" s="854" t="s">
        <v>406</v>
      </c>
      <c r="D128" s="501">
        <v>500000000</v>
      </c>
      <c r="E128" s="720" t="s">
        <v>367</v>
      </c>
      <c r="F128" s="831" t="s">
        <v>367</v>
      </c>
      <c r="G128" s="856">
        <v>50000</v>
      </c>
    </row>
    <row r="129" spans="1:7" ht="11.25" customHeight="1">
      <c r="A129" s="458" t="s">
        <v>473</v>
      </c>
      <c r="B129" s="855">
        <v>50000</v>
      </c>
      <c r="C129" s="854" t="s">
        <v>406</v>
      </c>
      <c r="D129" s="501">
        <v>535000</v>
      </c>
      <c r="E129" s="720" t="s">
        <v>367</v>
      </c>
      <c r="F129" s="831" t="s">
        <v>367</v>
      </c>
      <c r="G129" s="856">
        <v>50000</v>
      </c>
    </row>
    <row r="130" spans="1:7" ht="11.25" customHeight="1">
      <c r="A130" s="458" t="s">
        <v>474</v>
      </c>
      <c r="B130" s="855">
        <v>500</v>
      </c>
      <c r="C130" s="854" t="s">
        <v>1429</v>
      </c>
      <c r="D130" s="501">
        <v>1415000</v>
      </c>
      <c r="E130" s="720">
        <v>500</v>
      </c>
      <c r="F130" s="831" t="s">
        <v>289</v>
      </c>
      <c r="G130" s="856">
        <v>50000</v>
      </c>
    </row>
    <row r="131" spans="1:7" ht="11.25" customHeight="1">
      <c r="A131" s="458" t="s">
        <v>475</v>
      </c>
      <c r="B131" s="855">
        <v>170</v>
      </c>
      <c r="C131" s="854" t="s">
        <v>1429</v>
      </c>
      <c r="D131" s="501">
        <v>103000</v>
      </c>
      <c r="E131" s="720">
        <v>170</v>
      </c>
      <c r="F131" s="831" t="s">
        <v>289</v>
      </c>
      <c r="G131" s="856">
        <v>50000</v>
      </c>
    </row>
    <row r="132" spans="1:7" ht="11.25" customHeight="1">
      <c r="A132" s="458" t="s">
        <v>115</v>
      </c>
      <c r="B132" s="855">
        <v>11500</v>
      </c>
      <c r="C132" s="854" t="s">
        <v>1430</v>
      </c>
      <c r="D132" s="501">
        <v>11500</v>
      </c>
      <c r="E132" s="720" t="s">
        <v>367</v>
      </c>
      <c r="F132" s="831" t="s">
        <v>367</v>
      </c>
      <c r="G132" s="856">
        <v>50000</v>
      </c>
    </row>
    <row r="133" spans="1:7" ht="11.25" customHeight="1">
      <c r="A133" s="462" t="s">
        <v>116</v>
      </c>
      <c r="B133" s="855">
        <v>2500</v>
      </c>
      <c r="C133" s="854" t="s">
        <v>1430</v>
      </c>
      <c r="D133" s="501">
        <v>2500</v>
      </c>
      <c r="E133" s="720" t="s">
        <v>367</v>
      </c>
      <c r="F133" s="831" t="s">
        <v>367</v>
      </c>
      <c r="G133" s="856">
        <v>50000</v>
      </c>
    </row>
    <row r="134" spans="1:7" ht="11.25" customHeight="1">
      <c r="A134" s="458" t="s">
        <v>476</v>
      </c>
      <c r="B134" s="855">
        <v>50000</v>
      </c>
      <c r="C134" s="854" t="s">
        <v>406</v>
      </c>
      <c r="D134" s="501" t="s">
        <v>954</v>
      </c>
      <c r="E134" s="720" t="s">
        <v>367</v>
      </c>
      <c r="F134" s="831" t="s">
        <v>367</v>
      </c>
      <c r="G134" s="856">
        <v>50000</v>
      </c>
    </row>
    <row r="135" spans="1:7" ht="11.25" customHeight="1">
      <c r="A135" s="458" t="s">
        <v>366</v>
      </c>
      <c r="B135" s="855">
        <v>40</v>
      </c>
      <c r="C135" s="854" t="s">
        <v>1429</v>
      </c>
      <c r="D135" s="501">
        <v>263000</v>
      </c>
      <c r="E135" s="720">
        <v>40</v>
      </c>
      <c r="F135" s="831" t="s">
        <v>291</v>
      </c>
      <c r="G135" s="856">
        <v>50000</v>
      </c>
    </row>
    <row r="136" spans="1:7" ht="11.25" customHeight="1">
      <c r="A136" s="458" t="s">
        <v>20</v>
      </c>
      <c r="B136" s="855">
        <v>140</v>
      </c>
      <c r="C136" s="854" t="s">
        <v>1429</v>
      </c>
      <c r="D136" s="501">
        <v>275</v>
      </c>
      <c r="E136" s="720">
        <v>140</v>
      </c>
      <c r="F136" s="831" t="s">
        <v>291</v>
      </c>
      <c r="G136" s="856">
        <v>50000</v>
      </c>
    </row>
    <row r="137" spans="1:7" ht="11.25" customHeight="1">
      <c r="A137" s="458" t="s">
        <v>57</v>
      </c>
      <c r="B137" s="855">
        <v>500</v>
      </c>
      <c r="C137" s="854" t="s">
        <v>1429</v>
      </c>
      <c r="D137" s="501">
        <v>75000</v>
      </c>
      <c r="E137" s="720">
        <v>500</v>
      </c>
      <c r="F137" s="831" t="s">
        <v>1332</v>
      </c>
      <c r="G137" s="856">
        <v>50000</v>
      </c>
    </row>
    <row r="138" spans="1:7" ht="11.25" customHeight="1">
      <c r="A138" s="458" t="s">
        <v>56</v>
      </c>
      <c r="B138" s="855">
        <v>500</v>
      </c>
      <c r="C138" s="854" t="s">
        <v>1429</v>
      </c>
      <c r="D138" s="501">
        <v>25500</v>
      </c>
      <c r="E138" s="720">
        <v>500</v>
      </c>
      <c r="F138" s="831" t="s">
        <v>1332</v>
      </c>
      <c r="G138" s="856">
        <v>50000</v>
      </c>
    </row>
    <row r="139" spans="1:7" ht="11.25" customHeight="1">
      <c r="A139" s="458" t="s">
        <v>777</v>
      </c>
      <c r="B139" s="855">
        <v>500</v>
      </c>
      <c r="C139" s="854" t="s">
        <v>1429</v>
      </c>
      <c r="D139" s="501" t="s">
        <v>954</v>
      </c>
      <c r="E139" s="720">
        <v>500</v>
      </c>
      <c r="F139" s="831" t="s">
        <v>1332</v>
      </c>
      <c r="G139" s="856">
        <v>50000</v>
      </c>
    </row>
    <row r="140" spans="1:7" ht="11.25" customHeight="1">
      <c r="A140" s="458" t="s">
        <v>814</v>
      </c>
      <c r="B140" s="855">
        <v>3000</v>
      </c>
      <c r="C140" s="854" t="s">
        <v>1429</v>
      </c>
      <c r="D140" s="501">
        <v>24500</v>
      </c>
      <c r="E140" s="720">
        <v>3000</v>
      </c>
      <c r="F140" s="831" t="s">
        <v>293</v>
      </c>
      <c r="G140" s="856">
        <v>50000</v>
      </c>
    </row>
    <row r="141" spans="1:7" ht="11.25" customHeight="1">
      <c r="A141" s="458" t="s">
        <v>815</v>
      </c>
      <c r="B141" s="855">
        <v>970</v>
      </c>
      <c r="C141" s="854" t="s">
        <v>1429</v>
      </c>
      <c r="D141" s="501">
        <v>645000</v>
      </c>
      <c r="E141" s="720">
        <v>970</v>
      </c>
      <c r="F141" s="831" t="s">
        <v>289</v>
      </c>
      <c r="G141" s="856">
        <v>50000</v>
      </c>
    </row>
    <row r="142" spans="1:7" ht="11.25" customHeight="1">
      <c r="A142" s="458" t="s">
        <v>477</v>
      </c>
      <c r="B142" s="855">
        <v>50000</v>
      </c>
      <c r="C142" s="854" t="s">
        <v>406</v>
      </c>
      <c r="D142" s="501">
        <v>2295000</v>
      </c>
      <c r="E142" s="720" t="s">
        <v>367</v>
      </c>
      <c r="F142" s="831" t="s">
        <v>367</v>
      </c>
      <c r="G142" s="856">
        <v>50000</v>
      </c>
    </row>
    <row r="143" spans="1:7" ht="11.25" customHeight="1">
      <c r="A143" s="458" t="s">
        <v>478</v>
      </c>
      <c r="B143" s="855">
        <v>310</v>
      </c>
      <c r="C143" s="854" t="s">
        <v>1429</v>
      </c>
      <c r="D143" s="501">
        <v>640000</v>
      </c>
      <c r="E143" s="720">
        <v>310</v>
      </c>
      <c r="F143" s="831" t="s">
        <v>289</v>
      </c>
      <c r="G143" s="856">
        <v>50000</v>
      </c>
    </row>
    <row r="144" spans="1:7" ht="11.25" customHeight="1">
      <c r="A144" s="458" t="s">
        <v>479</v>
      </c>
      <c r="B144" s="855">
        <v>200</v>
      </c>
      <c r="C144" s="854" t="s">
        <v>1429</v>
      </c>
      <c r="D144" s="501">
        <v>600000</v>
      </c>
      <c r="E144" s="720">
        <v>200</v>
      </c>
      <c r="F144" s="831" t="s">
        <v>407</v>
      </c>
      <c r="G144" s="856">
        <v>50000</v>
      </c>
    </row>
    <row r="145" spans="1:7" ht="11.25" customHeight="1">
      <c r="A145" s="458" t="s">
        <v>480</v>
      </c>
      <c r="B145" s="855">
        <v>100</v>
      </c>
      <c r="C145" s="854" t="s">
        <v>1429</v>
      </c>
      <c r="D145" s="501">
        <v>400000</v>
      </c>
      <c r="E145" s="720">
        <v>100</v>
      </c>
      <c r="F145" s="831" t="s">
        <v>407</v>
      </c>
      <c r="G145" s="856">
        <v>50000</v>
      </c>
    </row>
    <row r="146" spans="1:7" ht="11.25" customHeight="1">
      <c r="A146" s="462" t="s">
        <v>117</v>
      </c>
      <c r="B146" s="855">
        <v>50000</v>
      </c>
      <c r="C146" s="854" t="s">
        <v>406</v>
      </c>
      <c r="D146" s="501">
        <v>139000</v>
      </c>
      <c r="E146" s="720" t="s">
        <v>367</v>
      </c>
      <c r="F146" s="831" t="s">
        <v>367</v>
      </c>
      <c r="G146" s="856">
        <v>50000</v>
      </c>
    </row>
    <row r="147" spans="1:7" ht="11.25" customHeight="1">
      <c r="A147" s="458" t="s">
        <v>118</v>
      </c>
      <c r="B147" s="855">
        <v>35500</v>
      </c>
      <c r="C147" s="854" t="s">
        <v>1430</v>
      </c>
      <c r="D147" s="501">
        <v>35500</v>
      </c>
      <c r="E147" s="720" t="s">
        <v>367</v>
      </c>
      <c r="F147" s="831" t="s">
        <v>367</v>
      </c>
      <c r="G147" s="856">
        <v>50000</v>
      </c>
    </row>
    <row r="148" spans="1:7" ht="11.25" customHeight="1">
      <c r="A148" s="458" t="s">
        <v>119</v>
      </c>
      <c r="B148" s="855">
        <v>50000</v>
      </c>
      <c r="C148" s="854" t="s">
        <v>406</v>
      </c>
      <c r="D148" s="501">
        <v>875000</v>
      </c>
      <c r="E148" s="720" t="s">
        <v>367</v>
      </c>
      <c r="F148" s="831" t="s">
        <v>367</v>
      </c>
      <c r="G148" s="856">
        <v>50000</v>
      </c>
    </row>
    <row r="149" spans="1:7" ht="11.25" customHeight="1">
      <c r="A149" s="458" t="s">
        <v>120</v>
      </c>
      <c r="B149" s="855">
        <v>50000</v>
      </c>
      <c r="C149" s="854" t="s">
        <v>406</v>
      </c>
      <c r="D149" s="501">
        <v>167100</v>
      </c>
      <c r="E149" s="720" t="s">
        <v>367</v>
      </c>
      <c r="F149" s="831" t="s">
        <v>367</v>
      </c>
      <c r="G149" s="856">
        <v>50000</v>
      </c>
    </row>
    <row r="150" spans="1:7" ht="11.25" customHeight="1">
      <c r="A150" s="458" t="s">
        <v>602</v>
      </c>
      <c r="B150" s="855">
        <v>90</v>
      </c>
      <c r="C150" s="854" t="s">
        <v>1430</v>
      </c>
      <c r="D150" s="501">
        <v>90</v>
      </c>
      <c r="E150" s="720" t="s">
        <v>367</v>
      </c>
      <c r="F150" s="831" t="s">
        <v>367</v>
      </c>
      <c r="G150" s="856">
        <v>50000</v>
      </c>
    </row>
    <row r="151" spans="1:7" ht="11.25" customHeight="1">
      <c r="A151" s="462" t="s">
        <v>939</v>
      </c>
      <c r="B151" s="855">
        <v>50000</v>
      </c>
      <c r="C151" s="854" t="s">
        <v>406</v>
      </c>
      <c r="D151" s="501">
        <v>139000</v>
      </c>
      <c r="E151" s="720" t="s">
        <v>367</v>
      </c>
      <c r="F151" s="831" t="s">
        <v>367</v>
      </c>
      <c r="G151" s="856">
        <v>50000</v>
      </c>
    </row>
    <row r="152" spans="1:7" ht="11.25" customHeight="1">
      <c r="A152" s="462" t="s">
        <v>603</v>
      </c>
      <c r="B152" s="855">
        <v>37000</v>
      </c>
      <c r="C152" s="854" t="s">
        <v>1430</v>
      </c>
      <c r="D152" s="501">
        <v>37000</v>
      </c>
      <c r="E152" s="720" t="s">
        <v>367</v>
      </c>
      <c r="F152" s="831" t="s">
        <v>367</v>
      </c>
      <c r="G152" s="856">
        <v>50000</v>
      </c>
    </row>
    <row r="153" spans="1:7" ht="11.25" customHeight="1">
      <c r="A153" s="462" t="s">
        <v>605</v>
      </c>
      <c r="B153" s="855">
        <v>50000</v>
      </c>
      <c r="C153" s="854" t="s">
        <v>406</v>
      </c>
      <c r="D153" s="501">
        <v>57500</v>
      </c>
      <c r="E153" s="720" t="s">
        <v>367</v>
      </c>
      <c r="F153" s="831" t="s">
        <v>367</v>
      </c>
      <c r="G153" s="856">
        <v>50000</v>
      </c>
    </row>
    <row r="154" spans="1:7" ht="11.25" customHeight="1">
      <c r="A154" s="458" t="s">
        <v>481</v>
      </c>
      <c r="B154" s="855">
        <v>50000</v>
      </c>
      <c r="C154" s="854" t="s">
        <v>406</v>
      </c>
      <c r="D154" s="501" t="s">
        <v>954</v>
      </c>
      <c r="E154" s="720" t="s">
        <v>367</v>
      </c>
      <c r="F154" s="831" t="s">
        <v>367</v>
      </c>
      <c r="G154" s="856">
        <v>50000</v>
      </c>
    </row>
    <row r="155" spans="1:7" ht="11.25" customHeight="1">
      <c r="A155" s="458" t="s">
        <v>482</v>
      </c>
      <c r="B155" s="855">
        <v>3400</v>
      </c>
      <c r="C155" s="854" t="s">
        <v>1429</v>
      </c>
      <c r="D155" s="501">
        <v>4400000</v>
      </c>
      <c r="E155" s="720">
        <v>3400</v>
      </c>
      <c r="F155" s="831" t="s">
        <v>289</v>
      </c>
      <c r="G155" s="856">
        <v>50000</v>
      </c>
    </row>
    <row r="156" spans="1:7" ht="11.25" customHeight="1">
      <c r="A156" s="458" t="s">
        <v>483</v>
      </c>
      <c r="B156" s="855">
        <v>20</v>
      </c>
      <c r="C156" s="854" t="s">
        <v>1429</v>
      </c>
      <c r="D156" s="501">
        <v>53000</v>
      </c>
      <c r="E156" s="720">
        <v>20</v>
      </c>
      <c r="F156" s="831" t="s">
        <v>291</v>
      </c>
      <c r="G156" s="856">
        <v>50000</v>
      </c>
    </row>
    <row r="157" spans="1:7" ht="11.25" customHeight="1" thickBot="1">
      <c r="A157" s="516" t="s">
        <v>484</v>
      </c>
      <c r="B157" s="855">
        <v>5000</v>
      </c>
      <c r="C157" s="854" t="s">
        <v>1429</v>
      </c>
      <c r="D157" s="627" t="s">
        <v>954</v>
      </c>
      <c r="E157" s="722">
        <v>5000</v>
      </c>
      <c r="F157" s="722" t="s">
        <v>292</v>
      </c>
      <c r="G157" s="856">
        <v>50000</v>
      </c>
    </row>
    <row r="158" spans="1:7" ht="11.25" customHeight="1" thickTop="1">
      <c r="A158" s="470"/>
      <c r="B158" s="472"/>
      <c r="C158" s="708"/>
      <c r="D158" s="472"/>
      <c r="E158" s="472"/>
      <c r="F158" s="472"/>
      <c r="G158" s="473"/>
    </row>
    <row r="159" spans="1:7" ht="11.25" customHeight="1">
      <c r="A159" s="474" t="s">
        <v>696</v>
      </c>
      <c r="G159" s="476"/>
    </row>
    <row r="160" spans="1:7" ht="23.25" customHeight="1">
      <c r="A160" s="1389" t="s">
        <v>1049</v>
      </c>
      <c r="B160" s="1181"/>
      <c r="C160" s="1181"/>
      <c r="D160" s="1181"/>
      <c r="E160" s="1181"/>
      <c r="F160" s="1181"/>
      <c r="G160" s="1387"/>
    </row>
    <row r="161" spans="1:7" ht="11.25" customHeight="1">
      <c r="A161" s="479" t="s">
        <v>1039</v>
      </c>
      <c r="G161" s="476"/>
    </row>
    <row r="162" spans="1:7" ht="11.25" customHeight="1">
      <c r="A162" s="479" t="s">
        <v>299</v>
      </c>
      <c r="G162" s="476"/>
    </row>
    <row r="163" spans="1:7" ht="11.25" customHeight="1">
      <c r="A163" s="479" t="s">
        <v>190</v>
      </c>
      <c r="G163" s="476"/>
    </row>
    <row r="164" spans="1:7" ht="11.25" customHeight="1">
      <c r="A164" s="474" t="s">
        <v>488</v>
      </c>
      <c r="G164" s="476"/>
    </row>
    <row r="165" spans="1:7" ht="11.25" customHeight="1">
      <c r="A165" s="479" t="s">
        <v>1050</v>
      </c>
      <c r="G165" s="476"/>
    </row>
    <row r="166" spans="1:7" ht="11.25" customHeight="1">
      <c r="A166" s="479" t="s">
        <v>778</v>
      </c>
      <c r="G166" s="476"/>
    </row>
    <row r="167" spans="1:7" ht="11.25" customHeight="1">
      <c r="A167" s="479" t="s">
        <v>83</v>
      </c>
      <c r="G167" s="476"/>
    </row>
    <row r="168" spans="1:7" ht="11.25" customHeight="1" thickBot="1">
      <c r="A168" s="706" t="s">
        <v>1333</v>
      </c>
      <c r="B168" s="663"/>
      <c r="C168" s="579"/>
      <c r="D168" s="663"/>
      <c r="E168" s="663"/>
      <c r="F168" s="663"/>
      <c r="G168" s="664"/>
    </row>
    <row r="169" spans="1:7" ht="13.15" thickTop="1"/>
  </sheetData>
  <sheetProtection algorithmName="SHA-512" hashValue="/vo4mLk4b2EgzZo6PMhcgJPD6eChXxnFnN7yGVTzEpEWpSgSbjz9Q3A1s1QPrfj2Eq+ZdGgiwboXme/rkjxbSg==" saltValue="MWFpUwaxakpRPx/TroJ6Mg==" spinCount="100000" sheet="1" objects="1" scenarios="1"/>
  <mergeCells count="1">
    <mergeCell ref="A160:G160"/>
  </mergeCells>
  <phoneticPr fontId="0" type="noConversion"/>
  <printOptions horizontalCentered="1"/>
  <pageMargins left="0.17" right="0.16" top="0.53" bottom="1" header="0.5" footer="0.5"/>
  <pageSetup scale="86" fitToHeight="4" orientation="landscape" r:id="rId1"/>
  <headerFooter alignWithMargins="0">
    <oddFooter>&amp;LHawai'i DOH
Spring 2024&amp;C&amp;8Page &amp;P of &amp;N&amp;R&amp;A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29"/>
    <pageSetUpPr fitToPage="1"/>
  </sheetPr>
  <dimension ref="A1:G172"/>
  <sheetViews>
    <sheetView topLeftCell="B1" zoomScaleNormal="100" workbookViewId="0">
      <pane ySplit="2145" topLeftCell="A4" activePane="bottomLeft"/>
      <selection activeCell="B7" sqref="B7"/>
      <selection pane="bottomLeft" activeCell="E7" sqref="E7"/>
    </sheetView>
  </sheetViews>
  <sheetFormatPr defaultColWidth="9.1328125" defaultRowHeight="10.15"/>
  <cols>
    <col min="1" max="1" width="40.73046875" style="1" customWidth="1"/>
    <col min="2" max="2" width="12.59765625" style="475" customWidth="1"/>
    <col min="3" max="3" width="20.73046875" style="609" customWidth="1"/>
    <col min="4" max="5" width="12.59765625" style="475" customWidth="1"/>
    <col min="6" max="6" width="12.86328125" style="475" customWidth="1"/>
    <col min="7" max="7" width="12.59765625" style="475" customWidth="1"/>
    <col min="8" max="16384" width="9.1328125" style="1"/>
  </cols>
  <sheetData>
    <row r="1" spans="1:7" s="510" customFormat="1" ht="45">
      <c r="A1" s="751" t="s">
        <v>186</v>
      </c>
      <c r="B1" s="530"/>
      <c r="C1" s="530"/>
      <c r="D1" s="530"/>
      <c r="E1" s="530"/>
      <c r="F1" s="444"/>
      <c r="G1" s="530"/>
    </row>
    <row r="2" spans="1:7" s="510" customFormat="1" ht="15.95" customHeight="1" thickBot="1">
      <c r="A2" s="694"/>
      <c r="B2" s="530"/>
      <c r="C2" s="695"/>
      <c r="D2" s="530"/>
      <c r="E2" s="530"/>
      <c r="F2" s="444"/>
      <c r="G2" s="530"/>
    </row>
    <row r="3" spans="1:7" s="510" customFormat="1" ht="31.5" customHeight="1" thickTop="1" thickBot="1">
      <c r="A3" s="727" t="s">
        <v>232</v>
      </c>
      <c r="B3" s="728" t="s">
        <v>189</v>
      </c>
      <c r="C3" s="850" t="s">
        <v>485</v>
      </c>
      <c r="D3" s="947" t="s">
        <v>404</v>
      </c>
      <c r="E3" s="948" t="s">
        <v>706</v>
      </c>
      <c r="F3" s="948" t="s">
        <v>485</v>
      </c>
      <c r="G3" s="520" t="s">
        <v>406</v>
      </c>
    </row>
    <row r="4" spans="1:7" s="510" customFormat="1" ht="11.25" customHeight="1">
      <c r="A4" s="454" t="s">
        <v>548</v>
      </c>
      <c r="B4" s="855">
        <v>200</v>
      </c>
      <c r="C4" s="854" t="s">
        <v>1431</v>
      </c>
      <c r="D4" s="497">
        <v>1950</v>
      </c>
      <c r="E4" s="831">
        <v>200</v>
      </c>
      <c r="F4" s="831" t="s">
        <v>407</v>
      </c>
      <c r="G4" s="856">
        <v>50000</v>
      </c>
    </row>
    <row r="5" spans="1:7" s="510" customFormat="1" ht="11.25" customHeight="1">
      <c r="A5" s="458" t="s">
        <v>549</v>
      </c>
      <c r="B5" s="855">
        <v>1965</v>
      </c>
      <c r="C5" s="854" t="s">
        <v>1430</v>
      </c>
      <c r="D5" s="501">
        <v>1965</v>
      </c>
      <c r="E5" s="831" t="s">
        <v>367</v>
      </c>
      <c r="F5" s="831" t="s">
        <v>367</v>
      </c>
      <c r="G5" s="856">
        <v>50000</v>
      </c>
    </row>
    <row r="6" spans="1:7" s="510" customFormat="1" ht="11.25" customHeight="1">
      <c r="A6" s="458" t="s">
        <v>550</v>
      </c>
      <c r="B6" s="855">
        <v>50000</v>
      </c>
      <c r="C6" s="854" t="s">
        <v>406</v>
      </c>
      <c r="D6" s="501">
        <v>500000000</v>
      </c>
      <c r="E6" s="831">
        <v>200000</v>
      </c>
      <c r="F6" s="831" t="s">
        <v>407</v>
      </c>
      <c r="G6" s="856">
        <v>50000</v>
      </c>
    </row>
    <row r="7" spans="1:7" s="510" customFormat="1" ht="11.25" customHeight="1">
      <c r="A7" s="458" t="s">
        <v>551</v>
      </c>
      <c r="B7" s="855">
        <v>8.5</v>
      </c>
      <c r="C7" s="854" t="s">
        <v>1430</v>
      </c>
      <c r="D7" s="501">
        <v>8.5</v>
      </c>
      <c r="E7" s="831">
        <v>170</v>
      </c>
      <c r="F7" s="831" t="s">
        <v>407</v>
      </c>
      <c r="G7" s="856">
        <v>50000</v>
      </c>
    </row>
    <row r="8" spans="1:7" s="510" customFormat="1" ht="11.25" customHeight="1">
      <c r="A8" s="458" t="s">
        <v>161</v>
      </c>
      <c r="B8" s="855">
        <v>50000</v>
      </c>
      <c r="C8" s="854" t="s">
        <v>406</v>
      </c>
      <c r="D8" s="501">
        <v>104500</v>
      </c>
      <c r="E8" s="831" t="s">
        <v>367</v>
      </c>
      <c r="F8" s="831" t="s">
        <v>367</v>
      </c>
      <c r="G8" s="856">
        <v>50000</v>
      </c>
    </row>
    <row r="9" spans="1:7" s="510" customFormat="1" ht="11.25" customHeight="1">
      <c r="A9" s="462" t="s">
        <v>162</v>
      </c>
      <c r="B9" s="855">
        <v>50000</v>
      </c>
      <c r="C9" s="854" t="s">
        <v>406</v>
      </c>
      <c r="D9" s="501">
        <v>610000</v>
      </c>
      <c r="E9" s="831" t="s">
        <v>367</v>
      </c>
      <c r="F9" s="831" t="s">
        <v>367</v>
      </c>
      <c r="G9" s="856">
        <v>50000</v>
      </c>
    </row>
    <row r="10" spans="1:7" s="510" customFormat="1" ht="11.25" customHeight="1">
      <c r="A10" s="462" t="s">
        <v>94</v>
      </c>
      <c r="B10" s="855">
        <v>50000</v>
      </c>
      <c r="C10" s="854" t="s">
        <v>406</v>
      </c>
      <c r="D10" s="501">
        <v>610000</v>
      </c>
      <c r="E10" s="831" t="s">
        <v>367</v>
      </c>
      <c r="F10" s="831" t="s">
        <v>367</v>
      </c>
      <c r="G10" s="856">
        <v>50000</v>
      </c>
    </row>
    <row r="11" spans="1:7" s="510" customFormat="1" ht="11.25" customHeight="1">
      <c r="A11" s="458" t="s">
        <v>552</v>
      </c>
      <c r="B11" s="855">
        <v>21.5</v>
      </c>
      <c r="C11" s="854" t="s">
        <v>1430</v>
      </c>
      <c r="D11" s="501">
        <v>21.5</v>
      </c>
      <c r="E11" s="831" t="s">
        <v>367</v>
      </c>
      <c r="F11" s="831" t="s">
        <v>367</v>
      </c>
      <c r="G11" s="856">
        <v>50000</v>
      </c>
    </row>
    <row r="12" spans="1:7" s="510" customFormat="1" ht="11.25" customHeight="1">
      <c r="A12" s="458" t="s">
        <v>553</v>
      </c>
      <c r="B12" s="855">
        <v>50000</v>
      </c>
      <c r="C12" s="854" t="s">
        <v>406</v>
      </c>
      <c r="D12" s="501" t="s">
        <v>954</v>
      </c>
      <c r="E12" s="831"/>
      <c r="F12" s="831" t="s">
        <v>367</v>
      </c>
      <c r="G12" s="856">
        <v>50000</v>
      </c>
    </row>
    <row r="13" spans="1:7" s="510" customFormat="1" ht="11.25" customHeight="1">
      <c r="A13" s="458" t="s">
        <v>686</v>
      </c>
      <c r="B13" s="855">
        <v>50000</v>
      </c>
      <c r="C13" s="854" t="s">
        <v>406</v>
      </c>
      <c r="D13" s="501" t="s">
        <v>954</v>
      </c>
      <c r="E13" s="831" t="s">
        <v>367</v>
      </c>
      <c r="F13" s="831" t="s">
        <v>367</v>
      </c>
      <c r="G13" s="856">
        <v>50000</v>
      </c>
    </row>
    <row r="14" spans="1:7" s="510" customFormat="1" ht="11.25" customHeight="1">
      <c r="A14" s="458" t="s">
        <v>95</v>
      </c>
      <c r="B14" s="855">
        <v>17500</v>
      </c>
      <c r="C14" s="854" t="s">
        <v>1430</v>
      </c>
      <c r="D14" s="501">
        <v>17500</v>
      </c>
      <c r="E14" s="831" t="s">
        <v>367</v>
      </c>
      <c r="F14" s="831" t="s">
        <v>367</v>
      </c>
      <c r="G14" s="856">
        <v>50000</v>
      </c>
    </row>
    <row r="15" spans="1:7" s="510" customFormat="1" ht="11.25" customHeight="1">
      <c r="A15" s="458" t="s">
        <v>687</v>
      </c>
      <c r="B15" s="855">
        <v>50000</v>
      </c>
      <c r="C15" s="854" t="s">
        <v>406</v>
      </c>
      <c r="D15" s="501" t="s">
        <v>954</v>
      </c>
      <c r="E15" s="831" t="s">
        <v>367</v>
      </c>
      <c r="F15" s="831" t="s">
        <v>367</v>
      </c>
      <c r="G15" s="856">
        <v>50000</v>
      </c>
    </row>
    <row r="16" spans="1:7" s="510" customFormat="1" ht="11.25" customHeight="1">
      <c r="A16" s="458" t="s">
        <v>1156</v>
      </c>
      <c r="B16" s="855">
        <v>1900</v>
      </c>
      <c r="C16" s="854" t="s">
        <v>1430</v>
      </c>
      <c r="D16" s="501">
        <v>1900</v>
      </c>
      <c r="E16" s="831" t="s">
        <v>367</v>
      </c>
      <c r="F16" s="831" t="s">
        <v>367</v>
      </c>
      <c r="G16" s="856">
        <v>50000</v>
      </c>
    </row>
    <row r="17" spans="1:7" s="510" customFormat="1" ht="11.25" customHeight="1">
      <c r="A17" s="458" t="s">
        <v>688</v>
      </c>
      <c r="B17" s="855">
        <v>20000</v>
      </c>
      <c r="C17" s="854" t="s">
        <v>1431</v>
      </c>
      <c r="D17" s="501">
        <v>895000</v>
      </c>
      <c r="E17" s="831">
        <v>20000</v>
      </c>
      <c r="F17" s="831" t="s">
        <v>407</v>
      </c>
      <c r="G17" s="856">
        <v>50000</v>
      </c>
    </row>
    <row r="18" spans="1:7" s="510" customFormat="1" ht="11.25" customHeight="1">
      <c r="A18" s="458" t="s">
        <v>689</v>
      </c>
      <c r="B18" s="855">
        <v>4.7</v>
      </c>
      <c r="C18" s="854" t="s">
        <v>1430</v>
      </c>
      <c r="D18" s="501">
        <v>4.7</v>
      </c>
      <c r="E18" s="831" t="s">
        <v>367</v>
      </c>
      <c r="F18" s="831" t="s">
        <v>367</v>
      </c>
      <c r="G18" s="856">
        <v>50000</v>
      </c>
    </row>
    <row r="19" spans="1:7" s="510" customFormat="1" ht="11.25" customHeight="1">
      <c r="A19" s="458" t="s">
        <v>690</v>
      </c>
      <c r="B19" s="855">
        <v>0.8</v>
      </c>
      <c r="C19" s="854" t="s">
        <v>1430</v>
      </c>
      <c r="D19" s="501">
        <v>0.8</v>
      </c>
      <c r="E19" s="831" t="s">
        <v>367</v>
      </c>
      <c r="F19" s="831" t="s">
        <v>367</v>
      </c>
      <c r="G19" s="856">
        <v>50000</v>
      </c>
    </row>
    <row r="20" spans="1:7" s="510" customFormat="1" ht="11.25" customHeight="1">
      <c r="A20" s="458" t="s">
        <v>691</v>
      </c>
      <c r="B20" s="855">
        <v>0.75</v>
      </c>
      <c r="C20" s="854" t="s">
        <v>1430</v>
      </c>
      <c r="D20" s="501">
        <v>0.75</v>
      </c>
      <c r="E20" s="831" t="s">
        <v>367</v>
      </c>
      <c r="F20" s="831" t="s">
        <v>367</v>
      </c>
      <c r="G20" s="856">
        <v>50000</v>
      </c>
    </row>
    <row r="21" spans="1:7" s="510" customFormat="1" ht="11.25" customHeight="1">
      <c r="A21" s="458" t="s">
        <v>692</v>
      </c>
      <c r="B21" s="855">
        <v>0.12999999999999998</v>
      </c>
      <c r="C21" s="854" t="s">
        <v>1430</v>
      </c>
      <c r="D21" s="501">
        <v>0.12999999999999998</v>
      </c>
      <c r="E21" s="831" t="s">
        <v>367</v>
      </c>
      <c r="F21" s="831" t="s">
        <v>367</v>
      </c>
      <c r="G21" s="856">
        <v>50000</v>
      </c>
    </row>
    <row r="22" spans="1:7" s="510" customFormat="1" ht="11.25" customHeight="1">
      <c r="A22" s="458" t="s">
        <v>693</v>
      </c>
      <c r="B22" s="855">
        <v>0.4</v>
      </c>
      <c r="C22" s="854" t="s">
        <v>1430</v>
      </c>
      <c r="D22" s="501">
        <v>0.4</v>
      </c>
      <c r="E22" s="831" t="s">
        <v>367</v>
      </c>
      <c r="F22" s="831" t="s">
        <v>367</v>
      </c>
      <c r="G22" s="856">
        <v>50000</v>
      </c>
    </row>
    <row r="23" spans="1:7" s="510" customFormat="1" ht="11.25" customHeight="1">
      <c r="A23" s="458" t="s">
        <v>126</v>
      </c>
      <c r="B23" s="855">
        <v>50000</v>
      </c>
      <c r="C23" s="854" t="s">
        <v>406</v>
      </c>
      <c r="D23" s="501" t="s">
        <v>954</v>
      </c>
      <c r="E23" s="831" t="s">
        <v>367</v>
      </c>
      <c r="F23" s="831" t="s">
        <v>367</v>
      </c>
      <c r="G23" s="856">
        <v>50000</v>
      </c>
    </row>
    <row r="24" spans="1:7" s="510" customFormat="1" ht="11.25" customHeight="1">
      <c r="A24" s="458" t="s">
        <v>233</v>
      </c>
      <c r="B24" s="855">
        <v>5</v>
      </c>
      <c r="C24" s="854" t="s">
        <v>1431</v>
      </c>
      <c r="D24" s="501">
        <v>3740</v>
      </c>
      <c r="E24" s="831">
        <v>5</v>
      </c>
      <c r="F24" s="831" t="s">
        <v>289</v>
      </c>
      <c r="G24" s="856">
        <v>50000</v>
      </c>
    </row>
    <row r="25" spans="1:7" s="510" customFormat="1" ht="11.25" customHeight="1">
      <c r="A25" s="458" t="s">
        <v>127</v>
      </c>
      <c r="B25" s="855">
        <v>3600</v>
      </c>
      <c r="C25" s="854" t="s">
        <v>1431</v>
      </c>
      <c r="D25" s="501">
        <v>8600000</v>
      </c>
      <c r="E25" s="831">
        <v>3600</v>
      </c>
      <c r="F25" s="831" t="s">
        <v>289</v>
      </c>
      <c r="G25" s="856">
        <v>50000</v>
      </c>
    </row>
    <row r="26" spans="1:7" s="510" customFormat="1" ht="11.25" customHeight="1">
      <c r="A26" s="503" t="s">
        <v>1103</v>
      </c>
      <c r="B26" s="855">
        <v>3200</v>
      </c>
      <c r="C26" s="854" t="s">
        <v>1431</v>
      </c>
      <c r="D26" s="501">
        <v>850000</v>
      </c>
      <c r="E26" s="831">
        <v>3200</v>
      </c>
      <c r="F26" s="831" t="s">
        <v>407</v>
      </c>
      <c r="G26" s="856">
        <v>50000</v>
      </c>
    </row>
    <row r="27" spans="1:7" s="510" customFormat="1" ht="11.25" customHeight="1">
      <c r="A27" s="458" t="s">
        <v>128</v>
      </c>
      <c r="B27" s="855">
        <v>135</v>
      </c>
      <c r="C27" s="854" t="s">
        <v>1430</v>
      </c>
      <c r="D27" s="501">
        <v>135</v>
      </c>
      <c r="E27" s="831" t="s">
        <v>367</v>
      </c>
      <c r="F27" s="831" t="s">
        <v>367</v>
      </c>
      <c r="G27" s="856">
        <v>50000</v>
      </c>
    </row>
    <row r="28" spans="1:7" s="510" customFormat="1" ht="11.25" customHeight="1">
      <c r="A28" s="458" t="s">
        <v>129</v>
      </c>
      <c r="B28" s="855">
        <v>50000</v>
      </c>
      <c r="C28" s="854" t="s">
        <v>406</v>
      </c>
      <c r="D28" s="501" t="s">
        <v>954</v>
      </c>
      <c r="E28" s="831" t="s">
        <v>367</v>
      </c>
      <c r="F28" s="831" t="s">
        <v>367</v>
      </c>
      <c r="G28" s="856">
        <v>50000</v>
      </c>
    </row>
    <row r="29" spans="1:7" s="510" customFormat="1" ht="11.25" customHeight="1">
      <c r="A29" s="458" t="s">
        <v>130</v>
      </c>
      <c r="B29" s="855">
        <v>50000</v>
      </c>
      <c r="C29" s="854" t="s">
        <v>406</v>
      </c>
      <c r="D29" s="501">
        <v>1516000</v>
      </c>
      <c r="E29" s="831" t="s">
        <v>367</v>
      </c>
      <c r="F29" s="831" t="s">
        <v>367</v>
      </c>
      <c r="G29" s="856">
        <v>50000</v>
      </c>
    </row>
    <row r="30" spans="1:7" s="510" customFormat="1" ht="11.25" customHeight="1">
      <c r="A30" s="458" t="s">
        <v>131</v>
      </c>
      <c r="B30" s="855">
        <v>5100</v>
      </c>
      <c r="C30" s="854" t="s">
        <v>1431</v>
      </c>
      <c r="D30" s="501">
        <v>1550000</v>
      </c>
      <c r="E30" s="831">
        <v>5100</v>
      </c>
      <c r="F30" s="831" t="s">
        <v>407</v>
      </c>
      <c r="G30" s="856">
        <v>50000</v>
      </c>
    </row>
    <row r="31" spans="1:7" s="510" customFormat="1" ht="11.25" customHeight="1">
      <c r="A31" s="458" t="s">
        <v>132</v>
      </c>
      <c r="B31" s="855">
        <v>50000</v>
      </c>
      <c r="C31" s="854" t="s">
        <v>406</v>
      </c>
      <c r="D31" s="501">
        <v>7600000</v>
      </c>
      <c r="E31" s="831" t="s">
        <v>367</v>
      </c>
      <c r="F31" s="831" t="s">
        <v>367</v>
      </c>
      <c r="G31" s="856">
        <v>50000</v>
      </c>
    </row>
    <row r="32" spans="1:7" s="510" customFormat="1" ht="11.25" customHeight="1">
      <c r="A32" s="458" t="s">
        <v>133</v>
      </c>
      <c r="B32" s="855">
        <v>50000</v>
      </c>
      <c r="C32" s="854" t="s">
        <v>406</v>
      </c>
      <c r="D32" s="501" t="s">
        <v>954</v>
      </c>
      <c r="E32" s="831" t="s">
        <v>367</v>
      </c>
      <c r="F32" s="831" t="s">
        <v>367</v>
      </c>
      <c r="G32" s="856">
        <v>50000</v>
      </c>
    </row>
    <row r="33" spans="1:7" s="510" customFormat="1" ht="11.25" customHeight="1">
      <c r="A33" s="458" t="s">
        <v>134</v>
      </c>
      <c r="B33" s="855">
        <v>5200</v>
      </c>
      <c r="C33" s="854" t="s">
        <v>1431</v>
      </c>
      <c r="D33" s="501">
        <v>396500</v>
      </c>
      <c r="E33" s="831">
        <v>5200</v>
      </c>
      <c r="F33" s="831" t="s">
        <v>407</v>
      </c>
      <c r="G33" s="856">
        <v>50000</v>
      </c>
    </row>
    <row r="34" spans="1:7" s="510" customFormat="1" ht="11.25" customHeight="1">
      <c r="A34" s="458" t="s">
        <v>614</v>
      </c>
      <c r="B34" s="855">
        <v>25</v>
      </c>
      <c r="C34" s="854" t="s">
        <v>1431</v>
      </c>
      <c r="D34" s="501">
        <v>28</v>
      </c>
      <c r="E34" s="831">
        <v>25</v>
      </c>
      <c r="F34" s="831" t="s">
        <v>407</v>
      </c>
      <c r="G34" s="856">
        <v>50000</v>
      </c>
    </row>
    <row r="35" spans="1:7" s="510" customFormat="1" ht="11.25" customHeight="1">
      <c r="A35" s="458" t="s">
        <v>135</v>
      </c>
      <c r="B35" s="855">
        <v>50000</v>
      </c>
      <c r="C35" s="854" t="s">
        <v>406</v>
      </c>
      <c r="D35" s="501">
        <v>1950000</v>
      </c>
      <c r="E35" s="831" t="s">
        <v>367</v>
      </c>
      <c r="F35" s="831" t="s">
        <v>367</v>
      </c>
      <c r="G35" s="856">
        <v>50000</v>
      </c>
    </row>
    <row r="36" spans="1:7" s="510" customFormat="1" ht="11.25" customHeight="1">
      <c r="A36" s="458" t="s">
        <v>136</v>
      </c>
      <c r="B36" s="855">
        <v>500</v>
      </c>
      <c r="C36" s="854" t="s">
        <v>1431</v>
      </c>
      <c r="D36" s="501">
        <v>249000</v>
      </c>
      <c r="E36" s="831">
        <v>500</v>
      </c>
      <c r="F36" s="831" t="s">
        <v>407</v>
      </c>
      <c r="G36" s="856">
        <v>50000</v>
      </c>
    </row>
    <row r="37" spans="1:7" s="510" customFormat="1" ht="11.25" customHeight="1">
      <c r="A37" s="458" t="s">
        <v>781</v>
      </c>
      <c r="B37" s="855">
        <v>160</v>
      </c>
      <c r="C37" s="854" t="s">
        <v>1431</v>
      </c>
      <c r="D37" s="501">
        <v>3355000</v>
      </c>
      <c r="E37" s="831">
        <v>160</v>
      </c>
      <c r="F37" s="831" t="s">
        <v>289</v>
      </c>
      <c r="G37" s="856">
        <v>50000</v>
      </c>
    </row>
    <row r="38" spans="1:7" ht="11.25" customHeight="1">
      <c r="A38" s="464" t="s">
        <v>137</v>
      </c>
      <c r="B38" s="855">
        <v>24000</v>
      </c>
      <c r="C38" s="854" t="s">
        <v>1431</v>
      </c>
      <c r="D38" s="501">
        <v>3975000</v>
      </c>
      <c r="E38" s="831">
        <v>24000</v>
      </c>
      <c r="F38" s="831" t="s">
        <v>407</v>
      </c>
      <c r="G38" s="856">
        <v>50000</v>
      </c>
    </row>
    <row r="39" spans="1:7" ht="11.25" customHeight="1">
      <c r="A39" s="458" t="s">
        <v>782</v>
      </c>
      <c r="B39" s="855">
        <v>50000</v>
      </c>
      <c r="C39" s="854" t="s">
        <v>406</v>
      </c>
      <c r="D39" s="501">
        <v>2660000</v>
      </c>
      <c r="E39" s="720" t="s">
        <v>367</v>
      </c>
      <c r="F39" s="831" t="s">
        <v>367</v>
      </c>
      <c r="G39" s="856">
        <v>50000</v>
      </c>
    </row>
    <row r="40" spans="1:7" ht="11.25" customHeight="1">
      <c r="A40" s="458" t="s">
        <v>138</v>
      </c>
      <c r="B40" s="855">
        <v>1.8</v>
      </c>
      <c r="C40" s="854" t="s">
        <v>1431</v>
      </c>
      <c r="D40" s="501">
        <v>5650000</v>
      </c>
      <c r="E40" s="720">
        <v>1.8</v>
      </c>
      <c r="F40" s="831" t="s">
        <v>407</v>
      </c>
      <c r="G40" s="856">
        <v>50000</v>
      </c>
    </row>
    <row r="41" spans="1:7" ht="11.25" customHeight="1">
      <c r="A41" s="458" t="s">
        <v>612</v>
      </c>
      <c r="B41" s="855">
        <v>50000</v>
      </c>
      <c r="C41" s="854" t="s">
        <v>406</v>
      </c>
      <c r="D41" s="501" t="s">
        <v>954</v>
      </c>
      <c r="E41" s="720" t="s">
        <v>367</v>
      </c>
      <c r="F41" s="831" t="s">
        <v>367</v>
      </c>
      <c r="G41" s="856">
        <v>50000</v>
      </c>
    </row>
    <row r="42" spans="1:7" ht="11.25" customHeight="1">
      <c r="A42" s="458" t="s">
        <v>779</v>
      </c>
      <c r="B42" s="855">
        <v>50000</v>
      </c>
      <c r="C42" s="854" t="s">
        <v>406</v>
      </c>
      <c r="D42" s="501" t="s">
        <v>954</v>
      </c>
      <c r="E42" s="720" t="s">
        <v>367</v>
      </c>
      <c r="F42" s="831" t="s">
        <v>367</v>
      </c>
      <c r="G42" s="856">
        <v>50000</v>
      </c>
    </row>
    <row r="43" spans="1:7" ht="11.25" customHeight="1">
      <c r="A43" s="458" t="s">
        <v>780</v>
      </c>
      <c r="B43" s="855">
        <v>50000</v>
      </c>
      <c r="C43" s="854" t="s">
        <v>406</v>
      </c>
      <c r="D43" s="501">
        <v>845000000</v>
      </c>
      <c r="E43" s="720" t="s">
        <v>367</v>
      </c>
      <c r="F43" s="831" t="s">
        <v>367</v>
      </c>
      <c r="G43" s="856">
        <v>50000</v>
      </c>
    </row>
    <row r="44" spans="1:7" ht="11.25" customHeight="1">
      <c r="A44" s="458" t="s">
        <v>139</v>
      </c>
      <c r="B44" s="855">
        <v>1</v>
      </c>
      <c r="C44" s="854" t="s">
        <v>1430</v>
      </c>
      <c r="D44" s="501">
        <v>1</v>
      </c>
      <c r="E44" s="720" t="s">
        <v>367</v>
      </c>
      <c r="F44" s="831" t="s">
        <v>367</v>
      </c>
      <c r="G44" s="856">
        <v>50000</v>
      </c>
    </row>
    <row r="45" spans="1:7" ht="11.25" customHeight="1">
      <c r="A45" s="458" t="s">
        <v>140</v>
      </c>
      <c r="B45" s="855">
        <v>50000</v>
      </c>
      <c r="C45" s="854" t="s">
        <v>406</v>
      </c>
      <c r="D45" s="501" t="s">
        <v>954</v>
      </c>
      <c r="E45" s="720" t="s">
        <v>367</v>
      </c>
      <c r="F45" s="831" t="s">
        <v>367</v>
      </c>
      <c r="G45" s="856">
        <v>50000</v>
      </c>
    </row>
    <row r="46" spans="1:7" ht="11.25" customHeight="1">
      <c r="A46" s="458" t="s">
        <v>141</v>
      </c>
      <c r="B46" s="855">
        <v>50000</v>
      </c>
      <c r="C46" s="854" t="s">
        <v>406</v>
      </c>
      <c r="D46" s="501" t="s">
        <v>954</v>
      </c>
      <c r="E46" s="720" t="s">
        <v>367</v>
      </c>
      <c r="F46" s="831" t="s">
        <v>367</v>
      </c>
      <c r="G46" s="856">
        <v>50000</v>
      </c>
    </row>
    <row r="47" spans="1:7" ht="11.25" customHeight="1">
      <c r="A47" s="458" t="s">
        <v>142</v>
      </c>
      <c r="B47" s="855">
        <v>1700</v>
      </c>
      <c r="C47" s="854" t="s">
        <v>1431</v>
      </c>
      <c r="D47" s="501">
        <v>47700000</v>
      </c>
      <c r="E47" s="720">
        <v>1700</v>
      </c>
      <c r="F47" s="831" t="s">
        <v>407</v>
      </c>
      <c r="G47" s="856">
        <v>50000</v>
      </c>
    </row>
    <row r="48" spans="1:7" ht="11.25" customHeight="1">
      <c r="A48" s="462" t="s">
        <v>96</v>
      </c>
      <c r="B48" s="855">
        <v>29850</v>
      </c>
      <c r="C48" s="854" t="s">
        <v>1430</v>
      </c>
      <c r="D48" s="501">
        <v>29850</v>
      </c>
      <c r="E48" s="720" t="s">
        <v>367</v>
      </c>
      <c r="F48" s="831" t="s">
        <v>367</v>
      </c>
      <c r="G48" s="856">
        <v>50000</v>
      </c>
    </row>
    <row r="49" spans="1:7" ht="11.25" customHeight="1">
      <c r="A49" s="458" t="s">
        <v>97</v>
      </c>
      <c r="B49" s="855">
        <v>50000</v>
      </c>
      <c r="C49" s="854" t="s">
        <v>406</v>
      </c>
      <c r="D49" s="501">
        <v>251000000</v>
      </c>
      <c r="E49" s="720" t="s">
        <v>367</v>
      </c>
      <c r="F49" s="831" t="s">
        <v>367</v>
      </c>
      <c r="G49" s="856">
        <v>50000</v>
      </c>
    </row>
    <row r="50" spans="1:7" ht="11.25" customHeight="1">
      <c r="A50" s="458" t="s">
        <v>143</v>
      </c>
      <c r="B50" s="855">
        <v>1.25</v>
      </c>
      <c r="C50" s="854" t="s">
        <v>1430</v>
      </c>
      <c r="D50" s="501">
        <v>1.25</v>
      </c>
      <c r="E50" s="720" t="s">
        <v>367</v>
      </c>
      <c r="F50" s="831" t="s">
        <v>367</v>
      </c>
      <c r="G50" s="856">
        <v>50000</v>
      </c>
    </row>
    <row r="51" spans="1:7" ht="11.25" customHeight="1">
      <c r="A51" s="458" t="s">
        <v>381</v>
      </c>
      <c r="B51" s="855">
        <v>100</v>
      </c>
      <c r="C51" s="854" t="s">
        <v>1431</v>
      </c>
      <c r="D51" s="501">
        <v>615000</v>
      </c>
      <c r="E51" s="720">
        <v>100</v>
      </c>
      <c r="F51" s="831" t="s">
        <v>289</v>
      </c>
      <c r="G51" s="856">
        <v>50000</v>
      </c>
    </row>
    <row r="52" spans="1:7" ht="11.25" customHeight="1">
      <c r="A52" s="458" t="s">
        <v>144</v>
      </c>
      <c r="B52" s="855">
        <v>50000</v>
      </c>
      <c r="C52" s="854" t="s">
        <v>406</v>
      </c>
      <c r="D52" s="501">
        <v>1350000</v>
      </c>
      <c r="E52" s="720" t="s">
        <v>367</v>
      </c>
      <c r="F52" s="831" t="s">
        <v>367</v>
      </c>
      <c r="G52" s="856">
        <v>50000</v>
      </c>
    </row>
    <row r="53" spans="1:7" ht="11.25" customHeight="1">
      <c r="A53" s="458" t="s">
        <v>487</v>
      </c>
      <c r="B53" s="855">
        <v>50000</v>
      </c>
      <c r="C53" s="854" t="s">
        <v>406</v>
      </c>
      <c r="D53" s="501">
        <v>1955000</v>
      </c>
      <c r="E53" s="720" t="s">
        <v>367</v>
      </c>
      <c r="F53" s="831" t="s">
        <v>367</v>
      </c>
      <c r="G53" s="856">
        <v>50000</v>
      </c>
    </row>
    <row r="54" spans="1:7" ht="11.25" customHeight="1">
      <c r="A54" s="458" t="s">
        <v>145</v>
      </c>
      <c r="B54" s="855">
        <v>100</v>
      </c>
      <c r="C54" s="854" t="s">
        <v>1431</v>
      </c>
      <c r="D54" s="501">
        <v>78000</v>
      </c>
      <c r="E54" s="720">
        <v>100</v>
      </c>
      <c r="F54" s="831" t="s">
        <v>407</v>
      </c>
      <c r="G54" s="856">
        <v>50000</v>
      </c>
    </row>
    <row r="55" spans="1:7" ht="11.25" customHeight="1">
      <c r="A55" s="458" t="s">
        <v>225</v>
      </c>
      <c r="B55" s="855">
        <v>50000</v>
      </c>
      <c r="C55" s="854" t="s">
        <v>406</v>
      </c>
      <c r="D55" s="501">
        <v>78000</v>
      </c>
      <c r="E55" s="720" t="s">
        <v>367</v>
      </c>
      <c r="F55" s="831" t="s">
        <v>367</v>
      </c>
      <c r="G55" s="856">
        <v>50000</v>
      </c>
    </row>
    <row r="56" spans="1:7" ht="11.25" customHeight="1">
      <c r="A56" s="458" t="s">
        <v>226</v>
      </c>
      <c r="B56" s="855">
        <v>110</v>
      </c>
      <c r="C56" s="854" t="s">
        <v>1431</v>
      </c>
      <c r="D56" s="501">
        <v>40650</v>
      </c>
      <c r="E56" s="720">
        <v>110</v>
      </c>
      <c r="F56" s="831" t="s">
        <v>407</v>
      </c>
      <c r="G56" s="856">
        <v>50000</v>
      </c>
    </row>
    <row r="57" spans="1:7" ht="11.25" customHeight="1">
      <c r="A57" s="458" t="s">
        <v>227</v>
      </c>
      <c r="B57" s="855">
        <v>1550</v>
      </c>
      <c r="C57" s="854" t="s">
        <v>1430</v>
      </c>
      <c r="D57" s="501">
        <v>1550</v>
      </c>
      <c r="E57" s="720" t="s">
        <v>367</v>
      </c>
      <c r="F57" s="831" t="s">
        <v>367</v>
      </c>
      <c r="G57" s="856">
        <v>50000</v>
      </c>
    </row>
    <row r="58" spans="1:7" ht="11.25" customHeight="1">
      <c r="A58" s="458" t="s">
        <v>361</v>
      </c>
      <c r="B58" s="855">
        <v>45</v>
      </c>
      <c r="C58" s="854" t="s">
        <v>1430</v>
      </c>
      <c r="D58" s="501">
        <v>45</v>
      </c>
      <c r="E58" s="720" t="s">
        <v>367</v>
      </c>
      <c r="F58" s="831" t="s">
        <v>367</v>
      </c>
      <c r="G58" s="856">
        <v>50000</v>
      </c>
    </row>
    <row r="59" spans="1:7" ht="11.25" customHeight="1">
      <c r="A59" s="458" t="s">
        <v>362</v>
      </c>
      <c r="B59" s="855">
        <v>20</v>
      </c>
      <c r="C59" s="854" t="s">
        <v>1430</v>
      </c>
      <c r="D59" s="501">
        <v>20</v>
      </c>
      <c r="E59" s="720" t="s">
        <v>367</v>
      </c>
      <c r="F59" s="831" t="s">
        <v>367</v>
      </c>
      <c r="G59" s="856">
        <v>50000</v>
      </c>
    </row>
    <row r="60" spans="1:7" ht="11.25" customHeight="1">
      <c r="A60" s="458" t="s">
        <v>363</v>
      </c>
      <c r="B60" s="855">
        <v>2.75</v>
      </c>
      <c r="C60" s="854" t="s">
        <v>1430</v>
      </c>
      <c r="D60" s="501">
        <v>2.75</v>
      </c>
      <c r="E60" s="720">
        <v>3500</v>
      </c>
      <c r="F60" s="831" t="s">
        <v>407</v>
      </c>
      <c r="G60" s="856">
        <v>50000</v>
      </c>
    </row>
    <row r="61" spans="1:7" ht="11.25" customHeight="1">
      <c r="A61" s="458" t="s">
        <v>234</v>
      </c>
      <c r="B61" s="855">
        <v>50000</v>
      </c>
      <c r="C61" s="854" t="s">
        <v>406</v>
      </c>
      <c r="D61" s="501">
        <v>2520000</v>
      </c>
      <c r="E61" s="720" t="s">
        <v>367</v>
      </c>
      <c r="F61" s="831" t="s">
        <v>367</v>
      </c>
      <c r="G61" s="856">
        <v>50000</v>
      </c>
    </row>
    <row r="62" spans="1:7" ht="11.25" customHeight="1">
      <c r="A62" s="458" t="s">
        <v>235</v>
      </c>
      <c r="B62" s="855">
        <v>50000</v>
      </c>
      <c r="C62" s="854" t="s">
        <v>406</v>
      </c>
      <c r="D62" s="501">
        <v>4300000</v>
      </c>
      <c r="E62" s="720">
        <v>200000</v>
      </c>
      <c r="F62" s="831" t="s">
        <v>407</v>
      </c>
      <c r="G62" s="856">
        <v>50000</v>
      </c>
    </row>
    <row r="63" spans="1:7" ht="11.25" customHeight="1">
      <c r="A63" s="458" t="s">
        <v>294</v>
      </c>
      <c r="B63" s="855">
        <v>15000</v>
      </c>
      <c r="C63" s="854" t="s">
        <v>1431</v>
      </c>
      <c r="D63" s="501">
        <v>1210000</v>
      </c>
      <c r="E63" s="720">
        <v>15000</v>
      </c>
      <c r="F63" s="831" t="s">
        <v>289</v>
      </c>
      <c r="G63" s="856">
        <v>50000</v>
      </c>
    </row>
    <row r="64" spans="1:7" ht="11.25" customHeight="1">
      <c r="A64" s="458" t="s">
        <v>295</v>
      </c>
      <c r="B64" s="855">
        <v>50000</v>
      </c>
      <c r="C64" s="854" t="s">
        <v>406</v>
      </c>
      <c r="D64" s="501">
        <v>3205000</v>
      </c>
      <c r="E64" s="720" t="s">
        <v>367</v>
      </c>
      <c r="F64" s="831" t="s">
        <v>367</v>
      </c>
      <c r="G64" s="856">
        <v>50000</v>
      </c>
    </row>
    <row r="65" spans="1:7" ht="11.25" customHeight="1">
      <c r="A65" s="458" t="s">
        <v>228</v>
      </c>
      <c r="B65" s="855">
        <v>2600</v>
      </c>
      <c r="C65" s="854" t="s">
        <v>1431</v>
      </c>
      <c r="D65" s="501">
        <v>2260000</v>
      </c>
      <c r="E65" s="720">
        <v>2600</v>
      </c>
      <c r="F65" s="831" t="s">
        <v>407</v>
      </c>
      <c r="G65" s="856">
        <v>50000</v>
      </c>
    </row>
    <row r="66" spans="1:7" ht="11.25" customHeight="1">
      <c r="A66" s="458" t="s">
        <v>942</v>
      </c>
      <c r="B66" s="855">
        <v>3</v>
      </c>
      <c r="C66" s="854" t="s">
        <v>1431</v>
      </c>
      <c r="D66" s="501">
        <v>2775000</v>
      </c>
      <c r="E66" s="720">
        <v>3</v>
      </c>
      <c r="F66" s="831" t="s">
        <v>407</v>
      </c>
      <c r="G66" s="856">
        <v>50000</v>
      </c>
    </row>
    <row r="67" spans="1:7" ht="11.25" customHeight="1">
      <c r="A67" s="458" t="s">
        <v>98</v>
      </c>
      <c r="B67" s="855">
        <v>50000</v>
      </c>
      <c r="C67" s="854" t="s">
        <v>406</v>
      </c>
      <c r="D67" s="501">
        <v>338500</v>
      </c>
      <c r="E67" s="720" t="s">
        <v>367</v>
      </c>
      <c r="F67" s="831" t="s">
        <v>367</v>
      </c>
      <c r="G67" s="856">
        <v>50000</v>
      </c>
    </row>
    <row r="68" spans="1:7" ht="11.25" customHeight="1">
      <c r="A68" s="458" t="s">
        <v>943</v>
      </c>
      <c r="B68" s="855">
        <v>100</v>
      </c>
      <c r="C68" s="854" t="s">
        <v>1431</v>
      </c>
      <c r="D68" s="501">
        <v>1400000</v>
      </c>
      <c r="E68" s="720">
        <v>100</v>
      </c>
      <c r="F68" s="831" t="s">
        <v>407</v>
      </c>
      <c r="G68" s="856">
        <v>50000</v>
      </c>
    </row>
    <row r="69" spans="1:7" ht="11.25" customHeight="1">
      <c r="A69" s="458" t="s">
        <v>296</v>
      </c>
      <c r="B69" s="855">
        <v>50000</v>
      </c>
      <c r="C69" s="854" t="s">
        <v>406</v>
      </c>
      <c r="D69" s="501">
        <v>1400000</v>
      </c>
      <c r="E69" s="720" t="s">
        <v>367</v>
      </c>
      <c r="F69" s="831" t="s">
        <v>367</v>
      </c>
      <c r="G69" s="856">
        <v>50000</v>
      </c>
    </row>
    <row r="70" spans="1:7" ht="11.25" customHeight="1">
      <c r="A70" s="458" t="s">
        <v>944</v>
      </c>
      <c r="B70" s="855">
        <v>97.5</v>
      </c>
      <c r="C70" s="854" t="s">
        <v>1430</v>
      </c>
      <c r="D70" s="501">
        <v>97.5</v>
      </c>
      <c r="E70" s="720">
        <v>410</v>
      </c>
      <c r="F70" s="831" t="s">
        <v>407</v>
      </c>
      <c r="G70" s="856">
        <v>50000</v>
      </c>
    </row>
    <row r="71" spans="1:7" ht="11.25" customHeight="1">
      <c r="A71" s="458" t="s">
        <v>945</v>
      </c>
      <c r="B71" s="855">
        <v>50000</v>
      </c>
      <c r="C71" s="854" t="s">
        <v>406</v>
      </c>
      <c r="D71" s="501">
        <v>540000</v>
      </c>
      <c r="E71" s="720" t="s">
        <v>367</v>
      </c>
      <c r="F71" s="831" t="s">
        <v>367</v>
      </c>
      <c r="G71" s="856">
        <v>50000</v>
      </c>
    </row>
    <row r="72" spans="1:7" ht="11.25" customHeight="1">
      <c r="A72" s="458" t="s">
        <v>947</v>
      </c>
      <c r="B72" s="855">
        <v>4000</v>
      </c>
      <c r="C72" s="854" t="s">
        <v>1431</v>
      </c>
      <c r="D72" s="501">
        <v>3935000</v>
      </c>
      <c r="E72" s="720">
        <v>4000</v>
      </c>
      <c r="F72" s="831" t="s">
        <v>407</v>
      </c>
      <c r="G72" s="856">
        <v>50000</v>
      </c>
    </row>
    <row r="73" spans="1:7" ht="11.25" customHeight="1">
      <c r="A73" s="458" t="s">
        <v>946</v>
      </c>
      <c r="B73" s="855">
        <v>50000</v>
      </c>
      <c r="C73" s="854" t="s">
        <v>406</v>
      </c>
      <c r="D73" s="501">
        <v>2500000</v>
      </c>
      <c r="E73" s="720" t="s">
        <v>367</v>
      </c>
      <c r="F73" s="831" t="s">
        <v>367</v>
      </c>
      <c r="G73" s="856">
        <v>50000</v>
      </c>
    </row>
    <row r="74" spans="1:7" ht="11.25" customHeight="1">
      <c r="A74" s="462" t="s">
        <v>99</v>
      </c>
      <c r="B74" s="855">
        <v>50000</v>
      </c>
      <c r="C74" s="854" t="s">
        <v>406</v>
      </c>
      <c r="D74" s="501">
        <v>266500</v>
      </c>
      <c r="E74" s="720" t="s">
        <v>367</v>
      </c>
      <c r="F74" s="831" t="s">
        <v>367</v>
      </c>
      <c r="G74" s="856">
        <v>50000</v>
      </c>
    </row>
    <row r="75" spans="1:7" ht="11.25" customHeight="1">
      <c r="A75" s="458" t="s">
        <v>297</v>
      </c>
      <c r="B75" s="855">
        <v>50000</v>
      </c>
      <c r="C75" s="854" t="s">
        <v>406</v>
      </c>
      <c r="D75" s="501">
        <v>1395000</v>
      </c>
      <c r="E75" s="720" t="s">
        <v>367</v>
      </c>
      <c r="F75" s="831" t="s">
        <v>367</v>
      </c>
      <c r="G75" s="856">
        <v>50000</v>
      </c>
    </row>
    <row r="76" spans="1:7" ht="11.25" customHeight="1">
      <c r="A76" s="462" t="s">
        <v>100</v>
      </c>
      <c r="B76" s="855">
        <v>50000</v>
      </c>
      <c r="C76" s="854" t="s">
        <v>406</v>
      </c>
      <c r="D76" s="501">
        <v>100000</v>
      </c>
      <c r="E76" s="720" t="s">
        <v>367</v>
      </c>
      <c r="F76" s="831" t="s">
        <v>367</v>
      </c>
      <c r="G76" s="856">
        <v>50000</v>
      </c>
    </row>
    <row r="77" spans="1:7" ht="11.25" customHeight="1">
      <c r="A77" s="462" t="s">
        <v>101</v>
      </c>
      <c r="B77" s="855">
        <v>50000</v>
      </c>
      <c r="C77" s="854" t="s">
        <v>406</v>
      </c>
      <c r="D77" s="501">
        <v>91000</v>
      </c>
      <c r="E77" s="720" t="s">
        <v>367</v>
      </c>
      <c r="F77" s="831" t="s">
        <v>367</v>
      </c>
      <c r="G77" s="856">
        <v>50000</v>
      </c>
    </row>
    <row r="78" spans="1:7" ht="11.25" customHeight="1">
      <c r="A78" s="458" t="s">
        <v>382</v>
      </c>
      <c r="B78" s="855">
        <v>50000</v>
      </c>
      <c r="C78" s="854" t="s">
        <v>406</v>
      </c>
      <c r="D78" s="501">
        <v>500000000</v>
      </c>
      <c r="E78" s="720" t="s">
        <v>367</v>
      </c>
      <c r="F78" s="831" t="s">
        <v>367</v>
      </c>
      <c r="G78" s="856">
        <v>50000</v>
      </c>
    </row>
    <row r="79" spans="1:7" ht="11.25" customHeight="1">
      <c r="A79" s="458" t="s">
        <v>594</v>
      </c>
      <c r="B79" s="855">
        <v>0.1</v>
      </c>
      <c r="C79" s="854" t="s">
        <v>1430</v>
      </c>
      <c r="D79" s="501">
        <v>0.1</v>
      </c>
      <c r="E79" s="720" t="s">
        <v>367</v>
      </c>
      <c r="F79" s="831" t="s">
        <v>367</v>
      </c>
      <c r="G79" s="856">
        <v>50000</v>
      </c>
    </row>
    <row r="80" spans="1:7" ht="11.25" customHeight="1">
      <c r="A80" s="458" t="s">
        <v>102</v>
      </c>
      <c r="B80" s="855">
        <v>21000</v>
      </c>
      <c r="C80" s="854" t="s">
        <v>1430</v>
      </c>
      <c r="D80" s="501">
        <v>21000</v>
      </c>
      <c r="E80" s="720" t="s">
        <v>367</v>
      </c>
      <c r="F80" s="831" t="s">
        <v>367</v>
      </c>
      <c r="G80" s="856">
        <v>50000</v>
      </c>
    </row>
    <row r="81" spans="1:7" ht="11.25" customHeight="1">
      <c r="A81" s="458" t="s">
        <v>370</v>
      </c>
      <c r="B81" s="855">
        <v>162.5</v>
      </c>
      <c r="C81" s="854" t="s">
        <v>1430</v>
      </c>
      <c r="D81" s="501">
        <v>162.5</v>
      </c>
      <c r="E81" s="720" t="s">
        <v>367</v>
      </c>
      <c r="F81" s="831" t="s">
        <v>367</v>
      </c>
      <c r="G81" s="856">
        <v>50000</v>
      </c>
    </row>
    <row r="82" spans="1:7" ht="11.25" customHeight="1">
      <c r="A82" s="458" t="s">
        <v>337</v>
      </c>
      <c r="B82" s="855">
        <v>125</v>
      </c>
      <c r="C82" s="854" t="s">
        <v>1430</v>
      </c>
      <c r="D82" s="501">
        <v>125</v>
      </c>
      <c r="E82" s="720">
        <v>410</v>
      </c>
      <c r="F82" s="831" t="s">
        <v>407</v>
      </c>
      <c r="G82" s="856">
        <v>50000</v>
      </c>
    </row>
    <row r="83" spans="1:7" ht="11.25" customHeight="1">
      <c r="A83" s="458" t="s">
        <v>28</v>
      </c>
      <c r="B83" s="855">
        <v>50000</v>
      </c>
      <c r="C83" s="854" t="s">
        <v>406</v>
      </c>
      <c r="D83" s="501">
        <v>500000000</v>
      </c>
      <c r="E83" s="720">
        <v>760000</v>
      </c>
      <c r="F83" s="831" t="s">
        <v>289</v>
      </c>
      <c r="G83" s="856">
        <v>50000</v>
      </c>
    </row>
    <row r="84" spans="1:7" ht="11.25" customHeight="1">
      <c r="A84" s="458" t="s">
        <v>338</v>
      </c>
      <c r="B84" s="855">
        <v>300</v>
      </c>
      <c r="C84" s="854" t="s">
        <v>1431</v>
      </c>
      <c r="D84" s="501">
        <v>84500</v>
      </c>
      <c r="E84" s="720">
        <v>300</v>
      </c>
      <c r="F84" s="831" t="s">
        <v>291</v>
      </c>
      <c r="G84" s="856">
        <v>50000</v>
      </c>
    </row>
    <row r="85" spans="1:7" ht="11.25" customHeight="1">
      <c r="A85" s="458" t="s">
        <v>339</v>
      </c>
      <c r="B85" s="855">
        <v>130</v>
      </c>
      <c r="C85" s="854" t="s">
        <v>1430</v>
      </c>
      <c r="D85" s="501">
        <v>130</v>
      </c>
      <c r="E85" s="720" t="s">
        <v>367</v>
      </c>
      <c r="F85" s="831" t="s">
        <v>367</v>
      </c>
      <c r="G85" s="856">
        <v>50000</v>
      </c>
    </row>
    <row r="86" spans="1:7" ht="11.25" customHeight="1">
      <c r="A86" s="458" t="s">
        <v>340</v>
      </c>
      <c r="B86" s="855">
        <v>845</v>
      </c>
      <c r="C86" s="854" t="s">
        <v>1430</v>
      </c>
      <c r="D86" s="501">
        <v>845</v>
      </c>
      <c r="E86" s="720" t="s">
        <v>367</v>
      </c>
      <c r="F86" s="831" t="s">
        <v>367</v>
      </c>
      <c r="G86" s="856">
        <v>50000</v>
      </c>
    </row>
    <row r="87" spans="1:7" ht="11.25" customHeight="1">
      <c r="A87" s="458" t="s">
        <v>103</v>
      </c>
      <c r="B87" s="855">
        <v>50000</v>
      </c>
      <c r="C87" s="854" t="s">
        <v>406</v>
      </c>
      <c r="D87" s="501">
        <v>5250000</v>
      </c>
      <c r="E87" s="720" t="s">
        <v>367</v>
      </c>
      <c r="F87" s="831" t="s">
        <v>367</v>
      </c>
      <c r="G87" s="856">
        <v>50000</v>
      </c>
    </row>
    <row r="88" spans="1:7" ht="11.25" customHeight="1">
      <c r="A88" s="458" t="s">
        <v>341</v>
      </c>
      <c r="B88" s="855">
        <v>90</v>
      </c>
      <c r="C88" s="854" t="s">
        <v>1430</v>
      </c>
      <c r="D88" s="501">
        <v>90</v>
      </c>
      <c r="E88" s="720">
        <v>200</v>
      </c>
      <c r="F88" s="831" t="s">
        <v>407</v>
      </c>
      <c r="G88" s="856">
        <v>50000</v>
      </c>
    </row>
    <row r="89" spans="1:7" ht="11.25" customHeight="1">
      <c r="A89" s="458" t="s">
        <v>342</v>
      </c>
      <c r="B89" s="855">
        <v>100</v>
      </c>
      <c r="C89" s="854" t="s">
        <v>1430</v>
      </c>
      <c r="D89" s="501">
        <v>100</v>
      </c>
      <c r="E89" s="720" t="s">
        <v>367</v>
      </c>
      <c r="F89" s="831" t="s">
        <v>367</v>
      </c>
      <c r="G89" s="856">
        <v>50000</v>
      </c>
    </row>
    <row r="90" spans="1:7" ht="11.25" customHeight="1">
      <c r="A90" s="458" t="s">
        <v>371</v>
      </c>
      <c r="B90" s="855">
        <v>3.1</v>
      </c>
      <c r="C90" s="854" t="s">
        <v>1430</v>
      </c>
      <c r="D90" s="501">
        <v>3.1</v>
      </c>
      <c r="E90" s="720">
        <v>30000</v>
      </c>
      <c r="F90" s="831" t="s">
        <v>407</v>
      </c>
      <c r="G90" s="856">
        <v>50000</v>
      </c>
    </row>
    <row r="91" spans="1:7" ht="11.25" customHeight="1">
      <c r="A91" s="458" t="s">
        <v>343</v>
      </c>
      <c r="B91" s="855">
        <v>60</v>
      </c>
      <c r="C91" s="854" t="s">
        <v>1431</v>
      </c>
      <c r="D91" s="501">
        <v>1600</v>
      </c>
      <c r="E91" s="720">
        <v>60</v>
      </c>
      <c r="F91" s="831" t="s">
        <v>407</v>
      </c>
      <c r="G91" s="856">
        <v>50000</v>
      </c>
    </row>
    <row r="92" spans="1:7" ht="11.25" customHeight="1">
      <c r="A92" s="458" t="s">
        <v>364</v>
      </c>
      <c r="B92" s="855">
        <v>3650</v>
      </c>
      <c r="C92" s="854" t="s">
        <v>1430</v>
      </c>
      <c r="D92" s="501">
        <v>3650</v>
      </c>
      <c r="E92" s="720">
        <v>120000</v>
      </c>
      <c r="F92" s="831" t="s">
        <v>407</v>
      </c>
      <c r="G92" s="856">
        <v>50000</v>
      </c>
    </row>
    <row r="93" spans="1:7" ht="11.25" customHeight="1">
      <c r="A93" s="458" t="s">
        <v>344</v>
      </c>
      <c r="B93" s="855">
        <v>100</v>
      </c>
      <c r="C93" s="854" t="s">
        <v>1431</v>
      </c>
      <c r="D93" s="501">
        <v>25000</v>
      </c>
      <c r="E93" s="720">
        <v>100</v>
      </c>
      <c r="F93" s="831" t="s">
        <v>407</v>
      </c>
      <c r="G93" s="856">
        <v>50000</v>
      </c>
    </row>
    <row r="94" spans="1:7" ht="11.25" customHeight="1">
      <c r="A94" s="458" t="s">
        <v>104</v>
      </c>
      <c r="B94" s="855">
        <v>50000</v>
      </c>
      <c r="C94" s="854" t="s">
        <v>406</v>
      </c>
      <c r="D94" s="501">
        <v>16500000</v>
      </c>
      <c r="E94" s="720" t="s">
        <v>367</v>
      </c>
      <c r="F94" s="831" t="s">
        <v>367</v>
      </c>
      <c r="G94" s="856">
        <v>50000</v>
      </c>
    </row>
    <row r="95" spans="1:7" ht="11.25" customHeight="1">
      <c r="A95" s="458" t="s">
        <v>345</v>
      </c>
      <c r="B95" s="855">
        <v>9.5000000000000001E-2</v>
      </c>
      <c r="C95" s="854" t="s">
        <v>1430</v>
      </c>
      <c r="D95" s="501">
        <v>9.5000000000000001E-2</v>
      </c>
      <c r="E95" s="720" t="s">
        <v>367</v>
      </c>
      <c r="F95" s="831" t="s">
        <v>367</v>
      </c>
      <c r="G95" s="856">
        <v>50000</v>
      </c>
    </row>
    <row r="96" spans="1:7" ht="11.25" customHeight="1">
      <c r="A96" s="458" t="s">
        <v>105</v>
      </c>
      <c r="B96" s="855">
        <v>50000</v>
      </c>
      <c r="C96" s="854" t="s">
        <v>406</v>
      </c>
      <c r="D96" s="501">
        <v>6000000</v>
      </c>
      <c r="E96" s="720" t="s">
        <v>367</v>
      </c>
      <c r="F96" s="831" t="s">
        <v>367</v>
      </c>
      <c r="G96" s="856">
        <v>50000</v>
      </c>
    </row>
    <row r="97" spans="1:7" ht="11.25" customHeight="1">
      <c r="A97" s="458" t="s">
        <v>346</v>
      </c>
      <c r="B97" s="855">
        <v>50000</v>
      </c>
      <c r="C97" s="854" t="s">
        <v>406</v>
      </c>
      <c r="D97" s="501" t="s">
        <v>954</v>
      </c>
      <c r="E97" s="720" t="s">
        <v>367</v>
      </c>
      <c r="F97" s="831" t="s">
        <v>367</v>
      </c>
      <c r="G97" s="856">
        <v>50000</v>
      </c>
    </row>
    <row r="98" spans="1:7" ht="11.25" customHeight="1">
      <c r="A98" s="458" t="s">
        <v>347</v>
      </c>
      <c r="B98" s="855">
        <v>50000</v>
      </c>
      <c r="C98" s="854" t="s">
        <v>406</v>
      </c>
      <c r="D98" s="501">
        <v>34500000</v>
      </c>
      <c r="E98" s="720" t="s">
        <v>367</v>
      </c>
      <c r="F98" s="831" t="s">
        <v>367</v>
      </c>
      <c r="G98" s="856">
        <v>50000</v>
      </c>
    </row>
    <row r="99" spans="1:7" ht="11.25" customHeight="1">
      <c r="A99" s="458" t="s">
        <v>348</v>
      </c>
      <c r="B99" s="855">
        <v>50</v>
      </c>
      <c r="C99" s="854" t="s">
        <v>1430</v>
      </c>
      <c r="D99" s="501">
        <v>50</v>
      </c>
      <c r="E99" s="720">
        <v>47000</v>
      </c>
      <c r="F99" s="831" t="s">
        <v>407</v>
      </c>
      <c r="G99" s="856">
        <v>50000</v>
      </c>
    </row>
    <row r="100" spans="1:7" ht="11.25" customHeight="1">
      <c r="A100" s="458" t="s">
        <v>350</v>
      </c>
      <c r="B100" s="855">
        <v>50000</v>
      </c>
      <c r="C100" s="854" t="s">
        <v>406</v>
      </c>
      <c r="D100" s="501">
        <v>111500000</v>
      </c>
      <c r="E100" s="720">
        <v>84000</v>
      </c>
      <c r="F100" s="831" t="s">
        <v>289</v>
      </c>
      <c r="G100" s="856">
        <v>50000</v>
      </c>
    </row>
    <row r="101" spans="1:7" ht="11.25" customHeight="1">
      <c r="A101" s="458" t="s">
        <v>351</v>
      </c>
      <c r="B101" s="855">
        <v>13000</v>
      </c>
      <c r="C101" s="854" t="s">
        <v>1431</v>
      </c>
      <c r="D101" s="501">
        <v>9500000</v>
      </c>
      <c r="E101" s="720">
        <v>13000</v>
      </c>
      <c r="F101" s="831" t="s">
        <v>289</v>
      </c>
      <c r="G101" s="856">
        <v>50000</v>
      </c>
    </row>
    <row r="102" spans="1:7" ht="11.25" customHeight="1">
      <c r="A102" s="458" t="s">
        <v>352</v>
      </c>
      <c r="B102" s="855">
        <v>50000</v>
      </c>
      <c r="C102" s="854" t="s">
        <v>406</v>
      </c>
      <c r="D102" s="501" t="s">
        <v>954</v>
      </c>
      <c r="E102" s="720" t="s">
        <v>367</v>
      </c>
      <c r="F102" s="831" t="s">
        <v>367</v>
      </c>
      <c r="G102" s="856">
        <v>50000</v>
      </c>
    </row>
    <row r="103" spans="1:7" ht="11.25" customHeight="1">
      <c r="A103" s="458" t="s">
        <v>353</v>
      </c>
      <c r="B103" s="855">
        <v>1800</v>
      </c>
      <c r="C103" s="854" t="s">
        <v>1431</v>
      </c>
      <c r="D103" s="501">
        <v>25500000</v>
      </c>
      <c r="E103" s="720">
        <v>1800</v>
      </c>
      <c r="F103" s="831" t="s">
        <v>707</v>
      </c>
      <c r="G103" s="856">
        <v>50000</v>
      </c>
    </row>
    <row r="104" spans="1:7" ht="11.25" customHeight="1">
      <c r="A104" s="458" t="s">
        <v>349</v>
      </c>
      <c r="B104" s="855">
        <v>50000</v>
      </c>
      <c r="C104" s="854" t="s">
        <v>406</v>
      </c>
      <c r="D104" s="501">
        <v>6500000</v>
      </c>
      <c r="E104" s="720">
        <v>91000</v>
      </c>
      <c r="F104" s="831" t="s">
        <v>407</v>
      </c>
      <c r="G104" s="856">
        <v>50000</v>
      </c>
    </row>
    <row r="105" spans="1:7" ht="11.25" customHeight="1">
      <c r="A105" s="458" t="s">
        <v>590</v>
      </c>
      <c r="B105" s="855">
        <v>100</v>
      </c>
      <c r="C105" s="854" t="s">
        <v>1431</v>
      </c>
      <c r="D105" s="501">
        <v>12900</v>
      </c>
      <c r="E105" s="720">
        <v>100</v>
      </c>
      <c r="F105" s="831" t="s">
        <v>407</v>
      </c>
      <c r="G105" s="856">
        <v>50000</v>
      </c>
    </row>
    <row r="106" spans="1:7" ht="11.25" customHeight="1">
      <c r="A106" s="458" t="s">
        <v>591</v>
      </c>
      <c r="B106" s="855">
        <v>100</v>
      </c>
      <c r="C106" s="854" t="s">
        <v>1431</v>
      </c>
      <c r="D106" s="501">
        <v>12300</v>
      </c>
      <c r="E106" s="720">
        <v>100</v>
      </c>
      <c r="F106" s="831" t="s">
        <v>407</v>
      </c>
      <c r="G106" s="856">
        <v>50000</v>
      </c>
    </row>
    <row r="107" spans="1:7" ht="11.25" customHeight="1">
      <c r="A107" s="458" t="s">
        <v>465</v>
      </c>
      <c r="B107" s="855">
        <v>50000</v>
      </c>
      <c r="C107" s="854" t="s">
        <v>406</v>
      </c>
      <c r="D107" s="501" t="s">
        <v>954</v>
      </c>
      <c r="E107" s="720" t="s">
        <v>367</v>
      </c>
      <c r="F107" s="831" t="s">
        <v>367</v>
      </c>
      <c r="G107" s="856">
        <v>50000</v>
      </c>
    </row>
    <row r="108" spans="1:7" ht="11.25" customHeight="1">
      <c r="A108" s="458" t="s">
        <v>466</v>
      </c>
      <c r="B108" s="855">
        <v>210</v>
      </c>
      <c r="C108" s="854" t="s">
        <v>1431</v>
      </c>
      <c r="D108" s="501">
        <v>15500</v>
      </c>
      <c r="E108" s="720">
        <v>210</v>
      </c>
      <c r="F108" s="831" t="s">
        <v>407</v>
      </c>
      <c r="G108" s="856">
        <v>50000</v>
      </c>
    </row>
    <row r="109" spans="1:7" ht="11.25" customHeight="1">
      <c r="A109" s="458" t="s">
        <v>812</v>
      </c>
      <c r="B109" s="855">
        <v>50000</v>
      </c>
      <c r="C109" s="854" t="s">
        <v>406</v>
      </c>
      <c r="D109" s="501" t="s">
        <v>954</v>
      </c>
      <c r="E109" s="720" t="s">
        <v>367</v>
      </c>
      <c r="F109" s="831" t="s">
        <v>367</v>
      </c>
      <c r="G109" s="856">
        <v>50000</v>
      </c>
    </row>
    <row r="110" spans="1:7" ht="11.25" customHeight="1">
      <c r="A110" s="462" t="s">
        <v>106</v>
      </c>
      <c r="B110" s="855">
        <v>50000</v>
      </c>
      <c r="C110" s="854" t="s">
        <v>406</v>
      </c>
      <c r="D110" s="501">
        <v>1045000</v>
      </c>
      <c r="E110" s="720" t="s">
        <v>367</v>
      </c>
      <c r="F110" s="831" t="s">
        <v>367</v>
      </c>
      <c r="G110" s="856">
        <v>50000</v>
      </c>
    </row>
    <row r="111" spans="1:7" ht="11.25" customHeight="1">
      <c r="A111" s="462" t="s">
        <v>107</v>
      </c>
      <c r="B111" s="855">
        <v>50000</v>
      </c>
      <c r="C111" s="854" t="s">
        <v>406</v>
      </c>
      <c r="D111" s="501">
        <v>690000</v>
      </c>
      <c r="E111" s="720" t="s">
        <v>367</v>
      </c>
      <c r="F111" s="831" t="s">
        <v>367</v>
      </c>
      <c r="G111" s="856">
        <v>50000</v>
      </c>
    </row>
    <row r="112" spans="1:7" ht="11.25" customHeight="1">
      <c r="A112" s="462" t="s">
        <v>108</v>
      </c>
      <c r="B112" s="855">
        <v>50000</v>
      </c>
      <c r="C112" s="854" t="s">
        <v>406</v>
      </c>
      <c r="D112" s="501">
        <v>325000</v>
      </c>
      <c r="E112" s="720" t="s">
        <v>367</v>
      </c>
      <c r="F112" s="831" t="s">
        <v>367</v>
      </c>
      <c r="G112" s="856">
        <v>50000</v>
      </c>
    </row>
    <row r="113" spans="1:7" ht="11.25" customHeight="1">
      <c r="A113" s="462" t="s">
        <v>109</v>
      </c>
      <c r="B113" s="855">
        <v>50000</v>
      </c>
      <c r="C113" s="854" t="s">
        <v>406</v>
      </c>
      <c r="D113" s="501">
        <v>250000</v>
      </c>
      <c r="E113" s="720" t="s">
        <v>367</v>
      </c>
      <c r="F113" s="831" t="s">
        <v>367</v>
      </c>
      <c r="G113" s="856">
        <v>50000</v>
      </c>
    </row>
    <row r="114" spans="1:7" ht="11.25" customHeight="1">
      <c r="A114" s="462" t="s">
        <v>110</v>
      </c>
      <c r="B114" s="855">
        <v>50000</v>
      </c>
      <c r="C114" s="854" t="s">
        <v>406</v>
      </c>
      <c r="D114" s="501">
        <v>221000</v>
      </c>
      <c r="E114" s="720" t="s">
        <v>367</v>
      </c>
      <c r="F114" s="831" t="s">
        <v>367</v>
      </c>
      <c r="G114" s="856">
        <v>50000</v>
      </c>
    </row>
    <row r="115" spans="1:7" ht="11.25" customHeight="1">
      <c r="A115" s="458" t="s">
        <v>467</v>
      </c>
      <c r="B115" s="855">
        <v>5900</v>
      </c>
      <c r="C115" s="854" t="s">
        <v>1431</v>
      </c>
      <c r="D115" s="501">
        <v>7000</v>
      </c>
      <c r="E115" s="720">
        <v>5900</v>
      </c>
      <c r="F115" s="831" t="s">
        <v>407</v>
      </c>
      <c r="G115" s="856">
        <v>50000</v>
      </c>
    </row>
    <row r="116" spans="1:7" ht="11.25" customHeight="1">
      <c r="A116" s="462" t="s">
        <v>111</v>
      </c>
      <c r="B116" s="855">
        <v>21500</v>
      </c>
      <c r="C116" s="854" t="s">
        <v>1430</v>
      </c>
      <c r="D116" s="501">
        <v>21500</v>
      </c>
      <c r="E116" s="720" t="s">
        <v>367</v>
      </c>
      <c r="F116" s="831" t="s">
        <v>367</v>
      </c>
      <c r="G116" s="856">
        <v>50000</v>
      </c>
    </row>
    <row r="117" spans="1:7" ht="11.25" customHeight="1">
      <c r="A117" s="458" t="s">
        <v>231</v>
      </c>
      <c r="B117" s="855">
        <v>50000</v>
      </c>
      <c r="C117" s="854" t="s">
        <v>406</v>
      </c>
      <c r="D117" s="501">
        <v>122500000</v>
      </c>
      <c r="E117" s="720" t="s">
        <v>367</v>
      </c>
      <c r="F117" s="831" t="s">
        <v>367</v>
      </c>
      <c r="G117" s="856">
        <v>50000</v>
      </c>
    </row>
    <row r="118" spans="1:7" ht="11.25" customHeight="1">
      <c r="A118" s="458" t="s">
        <v>468</v>
      </c>
      <c r="B118" s="855">
        <v>408</v>
      </c>
      <c r="C118" s="854" t="s">
        <v>1430</v>
      </c>
      <c r="D118" s="501">
        <v>408</v>
      </c>
      <c r="E118" s="720">
        <v>10000</v>
      </c>
      <c r="F118" s="831" t="s">
        <v>407</v>
      </c>
      <c r="G118" s="856">
        <v>50000</v>
      </c>
    </row>
    <row r="119" spans="1:7" ht="11.25" customHeight="1">
      <c r="A119" s="458" t="s">
        <v>469</v>
      </c>
      <c r="B119" s="855">
        <v>50000</v>
      </c>
      <c r="C119" s="854" t="s">
        <v>406</v>
      </c>
      <c r="D119" s="501">
        <v>41400000</v>
      </c>
      <c r="E119" s="720">
        <v>79000</v>
      </c>
      <c r="F119" s="831" t="s">
        <v>289</v>
      </c>
      <c r="G119" s="856">
        <v>50000</v>
      </c>
    </row>
    <row r="120" spans="1:7" ht="11.25" customHeight="1">
      <c r="A120" s="458" t="s">
        <v>365</v>
      </c>
      <c r="B120" s="855">
        <v>21.5</v>
      </c>
      <c r="C120" s="854" t="s">
        <v>1430</v>
      </c>
      <c r="D120" s="501">
        <v>21.5</v>
      </c>
      <c r="E120" s="720" t="s">
        <v>367</v>
      </c>
      <c r="F120" s="831" t="s">
        <v>367</v>
      </c>
      <c r="G120" s="856">
        <v>50000</v>
      </c>
    </row>
    <row r="121" spans="1:7" ht="11.25" customHeight="1">
      <c r="A121" s="458" t="s">
        <v>112</v>
      </c>
      <c r="B121" s="855">
        <v>50000</v>
      </c>
      <c r="C121" s="854" t="s">
        <v>406</v>
      </c>
      <c r="D121" s="501">
        <v>55000</v>
      </c>
      <c r="E121" s="720" t="s">
        <v>367</v>
      </c>
      <c r="F121" s="831" t="s">
        <v>367</v>
      </c>
      <c r="G121" s="856">
        <v>50000</v>
      </c>
    </row>
    <row r="122" spans="1:7" ht="11.25" customHeight="1">
      <c r="A122" s="458" t="s">
        <v>470</v>
      </c>
      <c r="B122" s="855">
        <v>67.5</v>
      </c>
      <c r="C122" s="854" t="s">
        <v>1430</v>
      </c>
      <c r="D122" s="501">
        <v>67.5</v>
      </c>
      <c r="E122" s="720" t="s">
        <v>367</v>
      </c>
      <c r="F122" s="831" t="s">
        <v>367</v>
      </c>
      <c r="G122" s="856">
        <v>50000</v>
      </c>
    </row>
    <row r="123" spans="1:7" ht="11.25" customHeight="1">
      <c r="A123" s="458" t="s">
        <v>471</v>
      </c>
      <c r="B123" s="855">
        <v>50000</v>
      </c>
      <c r="C123" s="854" t="s">
        <v>406</v>
      </c>
      <c r="D123" s="501" t="s">
        <v>954</v>
      </c>
      <c r="E123" s="720" t="s">
        <v>367</v>
      </c>
      <c r="F123" s="831" t="s">
        <v>367</v>
      </c>
      <c r="G123" s="856">
        <v>50000</v>
      </c>
    </row>
    <row r="124" spans="1:7" ht="11.25" customHeight="1">
      <c r="A124" s="458" t="s">
        <v>813</v>
      </c>
      <c r="B124" s="855">
        <v>50000</v>
      </c>
      <c r="C124" s="854" t="s">
        <v>406</v>
      </c>
      <c r="D124" s="501" t="s">
        <v>954</v>
      </c>
      <c r="E124" s="720" t="s">
        <v>367</v>
      </c>
      <c r="F124" s="831" t="s">
        <v>367</v>
      </c>
      <c r="G124" s="856">
        <v>50000</v>
      </c>
    </row>
    <row r="125" spans="1:7" ht="11.25" customHeight="1">
      <c r="A125" s="458" t="s">
        <v>113</v>
      </c>
      <c r="B125" s="855">
        <v>3100</v>
      </c>
      <c r="C125" s="854" t="s">
        <v>1430</v>
      </c>
      <c r="D125" s="501">
        <v>3100</v>
      </c>
      <c r="E125" s="720" t="s">
        <v>367</v>
      </c>
      <c r="F125" s="831" t="s">
        <v>367</v>
      </c>
      <c r="G125" s="856">
        <v>50000</v>
      </c>
    </row>
    <row r="126" spans="1:7" ht="11.25" customHeight="1">
      <c r="A126" s="458" t="s">
        <v>472</v>
      </c>
      <c r="B126" s="855">
        <v>110</v>
      </c>
      <c r="C126" s="854" t="s">
        <v>1431</v>
      </c>
      <c r="D126" s="501">
        <v>155000</v>
      </c>
      <c r="E126" s="720">
        <v>110</v>
      </c>
      <c r="F126" s="831" t="s">
        <v>407</v>
      </c>
      <c r="G126" s="856">
        <v>50000</v>
      </c>
    </row>
    <row r="127" spans="1:7" ht="11.25" customHeight="1">
      <c r="A127" s="458" t="s">
        <v>114</v>
      </c>
      <c r="B127" s="855">
        <v>50000</v>
      </c>
      <c r="C127" s="854" t="s">
        <v>406</v>
      </c>
      <c r="D127" s="501">
        <v>355000</v>
      </c>
      <c r="E127" s="720" t="s">
        <v>367</v>
      </c>
      <c r="F127" s="831" t="s">
        <v>367</v>
      </c>
      <c r="G127" s="856">
        <v>50000</v>
      </c>
    </row>
    <row r="128" spans="1:7" ht="11.25" customHeight="1">
      <c r="A128" s="458" t="s">
        <v>19</v>
      </c>
      <c r="B128" s="855">
        <v>50000</v>
      </c>
      <c r="C128" s="854" t="s">
        <v>406</v>
      </c>
      <c r="D128" s="501">
        <v>500000000</v>
      </c>
      <c r="E128" s="720" t="s">
        <v>367</v>
      </c>
      <c r="F128" s="831" t="s">
        <v>367</v>
      </c>
      <c r="G128" s="856">
        <v>50000</v>
      </c>
    </row>
    <row r="129" spans="1:7" ht="11.25" customHeight="1">
      <c r="A129" s="458" t="s">
        <v>473</v>
      </c>
      <c r="B129" s="855">
        <v>50000</v>
      </c>
      <c r="C129" s="854" t="s">
        <v>406</v>
      </c>
      <c r="D129" s="501">
        <v>535000</v>
      </c>
      <c r="E129" s="720" t="s">
        <v>367</v>
      </c>
      <c r="F129" s="831" t="s">
        <v>367</v>
      </c>
      <c r="G129" s="856">
        <v>50000</v>
      </c>
    </row>
    <row r="130" spans="1:7" ht="11.25" customHeight="1">
      <c r="A130" s="458" t="s">
        <v>474</v>
      </c>
      <c r="B130" s="855">
        <v>5000</v>
      </c>
      <c r="C130" s="854" t="s">
        <v>1431</v>
      </c>
      <c r="D130" s="501">
        <v>1415000</v>
      </c>
      <c r="E130" s="720">
        <v>5000</v>
      </c>
      <c r="F130" s="831" t="s">
        <v>407</v>
      </c>
      <c r="G130" s="856">
        <v>50000</v>
      </c>
    </row>
    <row r="131" spans="1:7" ht="11.25" customHeight="1">
      <c r="A131" s="458" t="s">
        <v>475</v>
      </c>
      <c r="B131" s="855">
        <v>3000</v>
      </c>
      <c r="C131" s="854" t="s">
        <v>1431</v>
      </c>
      <c r="D131" s="501">
        <v>103000</v>
      </c>
      <c r="E131" s="720">
        <v>3000</v>
      </c>
      <c r="F131" s="831" t="s">
        <v>407</v>
      </c>
      <c r="G131" s="856">
        <v>50000</v>
      </c>
    </row>
    <row r="132" spans="1:7" ht="11.25" customHeight="1">
      <c r="A132" s="458" t="s">
        <v>115</v>
      </c>
      <c r="B132" s="855">
        <v>11500</v>
      </c>
      <c r="C132" s="854" t="s">
        <v>1430</v>
      </c>
      <c r="D132" s="501">
        <v>11500</v>
      </c>
      <c r="E132" s="720" t="s">
        <v>367</v>
      </c>
      <c r="F132" s="831" t="s">
        <v>367</v>
      </c>
      <c r="G132" s="856">
        <v>50000</v>
      </c>
    </row>
    <row r="133" spans="1:7" ht="11.25" customHeight="1">
      <c r="A133" s="462" t="s">
        <v>116</v>
      </c>
      <c r="B133" s="855">
        <v>2500</v>
      </c>
      <c r="C133" s="854" t="s">
        <v>1430</v>
      </c>
      <c r="D133" s="501">
        <v>2500</v>
      </c>
      <c r="E133" s="720" t="s">
        <v>367</v>
      </c>
      <c r="F133" s="831" t="s">
        <v>367</v>
      </c>
      <c r="G133" s="856">
        <v>50000</v>
      </c>
    </row>
    <row r="134" spans="1:7" ht="11.25" customHeight="1">
      <c r="A134" s="458" t="s">
        <v>476</v>
      </c>
      <c r="B134" s="855">
        <v>50000</v>
      </c>
      <c r="C134" s="854" t="s">
        <v>406</v>
      </c>
      <c r="D134" s="501" t="s">
        <v>954</v>
      </c>
      <c r="E134" s="720" t="s">
        <v>367</v>
      </c>
      <c r="F134" s="831" t="s">
        <v>367</v>
      </c>
      <c r="G134" s="856">
        <v>50000</v>
      </c>
    </row>
    <row r="135" spans="1:7" ht="11.25" customHeight="1">
      <c r="A135" s="458" t="s">
        <v>366</v>
      </c>
      <c r="B135" s="855">
        <v>400</v>
      </c>
      <c r="C135" s="854" t="s">
        <v>1431</v>
      </c>
      <c r="D135" s="501">
        <v>263000</v>
      </c>
      <c r="E135" s="720">
        <v>400</v>
      </c>
      <c r="F135" s="831" t="s">
        <v>407</v>
      </c>
      <c r="G135" s="856">
        <v>50000</v>
      </c>
    </row>
    <row r="136" spans="1:7" ht="11.25" customHeight="1">
      <c r="A136" s="458" t="s">
        <v>20</v>
      </c>
      <c r="B136" s="855">
        <v>140</v>
      </c>
      <c r="C136" s="854" t="s">
        <v>1431</v>
      </c>
      <c r="D136" s="501">
        <v>275</v>
      </c>
      <c r="E136" s="720">
        <v>140</v>
      </c>
      <c r="F136" s="831" t="s">
        <v>291</v>
      </c>
      <c r="G136" s="856">
        <v>50000</v>
      </c>
    </row>
    <row r="137" spans="1:7" ht="11.25" customHeight="1">
      <c r="A137" s="458" t="s">
        <v>57</v>
      </c>
      <c r="B137" s="855">
        <v>5000</v>
      </c>
      <c r="C137" s="854" t="s">
        <v>1431</v>
      </c>
      <c r="D137" s="501">
        <v>75000</v>
      </c>
      <c r="E137" s="720">
        <v>5000</v>
      </c>
      <c r="F137" s="831" t="s">
        <v>48</v>
      </c>
      <c r="G137" s="856">
        <v>50000</v>
      </c>
    </row>
    <row r="138" spans="1:7" ht="11.25" customHeight="1">
      <c r="A138" s="458" t="s">
        <v>56</v>
      </c>
      <c r="B138" s="855">
        <v>5000</v>
      </c>
      <c r="C138" s="854" t="s">
        <v>1431</v>
      </c>
      <c r="D138" s="501">
        <v>25500</v>
      </c>
      <c r="E138" s="720">
        <v>5000</v>
      </c>
      <c r="F138" s="831" t="s">
        <v>48</v>
      </c>
      <c r="G138" s="856">
        <v>50000</v>
      </c>
    </row>
    <row r="139" spans="1:7" ht="11.25" customHeight="1">
      <c r="A139" s="458" t="s">
        <v>777</v>
      </c>
      <c r="B139" s="855">
        <v>5000</v>
      </c>
      <c r="C139" s="854" t="s">
        <v>1431</v>
      </c>
      <c r="D139" s="501" t="s">
        <v>954</v>
      </c>
      <c r="E139" s="720">
        <v>5000</v>
      </c>
      <c r="F139" s="831" t="s">
        <v>48</v>
      </c>
      <c r="G139" s="856">
        <v>50000</v>
      </c>
    </row>
    <row r="140" spans="1:7" ht="11.25" customHeight="1">
      <c r="A140" s="458" t="s">
        <v>814</v>
      </c>
      <c r="B140" s="855">
        <v>24500</v>
      </c>
      <c r="C140" s="854" t="s">
        <v>1430</v>
      </c>
      <c r="D140" s="501">
        <v>24500</v>
      </c>
      <c r="E140" s="720">
        <v>30000</v>
      </c>
      <c r="F140" s="831" t="s">
        <v>293</v>
      </c>
      <c r="G140" s="856">
        <v>50000</v>
      </c>
    </row>
    <row r="141" spans="1:7" ht="11.25" customHeight="1">
      <c r="A141" s="458" t="s">
        <v>815</v>
      </c>
      <c r="B141" s="855">
        <v>50000</v>
      </c>
      <c r="C141" s="854" t="s">
        <v>406</v>
      </c>
      <c r="D141" s="501">
        <v>645000</v>
      </c>
      <c r="E141" s="720">
        <v>500000</v>
      </c>
      <c r="F141" s="831" t="s">
        <v>407</v>
      </c>
      <c r="G141" s="856">
        <v>50000</v>
      </c>
    </row>
    <row r="142" spans="1:7" ht="11.25" customHeight="1">
      <c r="A142" s="458" t="s">
        <v>477</v>
      </c>
      <c r="B142" s="855">
        <v>50000</v>
      </c>
      <c r="C142" s="854" t="s">
        <v>406</v>
      </c>
      <c r="D142" s="501">
        <v>2295000</v>
      </c>
      <c r="E142" s="720" t="s">
        <v>367</v>
      </c>
      <c r="F142" s="831" t="s">
        <v>367</v>
      </c>
      <c r="G142" s="856">
        <v>50000</v>
      </c>
    </row>
    <row r="143" spans="1:7" ht="11.25" customHeight="1">
      <c r="A143" s="458" t="s">
        <v>478</v>
      </c>
      <c r="B143" s="855">
        <v>50000</v>
      </c>
      <c r="C143" s="854" t="s">
        <v>406</v>
      </c>
      <c r="D143" s="501">
        <v>640000</v>
      </c>
      <c r="E143" s="720">
        <v>100000</v>
      </c>
      <c r="F143" s="831" t="s">
        <v>407</v>
      </c>
      <c r="G143" s="856">
        <v>50000</v>
      </c>
    </row>
    <row r="144" spans="1:7" ht="11.25" customHeight="1">
      <c r="A144" s="458" t="s">
        <v>479</v>
      </c>
      <c r="B144" s="855">
        <v>2000</v>
      </c>
      <c r="C144" s="854" t="s">
        <v>1431</v>
      </c>
      <c r="D144" s="501">
        <v>600000</v>
      </c>
      <c r="E144" s="720">
        <v>2000</v>
      </c>
      <c r="F144" s="831" t="s">
        <v>407</v>
      </c>
      <c r="G144" s="856">
        <v>50000</v>
      </c>
    </row>
    <row r="145" spans="1:7" ht="11.25" customHeight="1">
      <c r="A145" s="458" t="s">
        <v>480</v>
      </c>
      <c r="B145" s="855">
        <v>1000</v>
      </c>
      <c r="C145" s="854" t="s">
        <v>1431</v>
      </c>
      <c r="D145" s="501">
        <v>400000</v>
      </c>
      <c r="E145" s="720">
        <v>1000</v>
      </c>
      <c r="F145" s="831" t="s">
        <v>407</v>
      </c>
      <c r="G145" s="856">
        <v>50000</v>
      </c>
    </row>
    <row r="146" spans="1:7" ht="11.25" customHeight="1">
      <c r="A146" s="462" t="s">
        <v>117</v>
      </c>
      <c r="B146" s="855">
        <v>50000</v>
      </c>
      <c r="C146" s="854" t="s">
        <v>406</v>
      </c>
      <c r="D146" s="501">
        <v>139000</v>
      </c>
      <c r="E146" s="720" t="s">
        <v>367</v>
      </c>
      <c r="F146" s="831" t="s">
        <v>367</v>
      </c>
      <c r="G146" s="856">
        <v>50000</v>
      </c>
    </row>
    <row r="147" spans="1:7" ht="11.25" customHeight="1">
      <c r="A147" s="458" t="s">
        <v>118</v>
      </c>
      <c r="B147" s="855">
        <v>35500</v>
      </c>
      <c r="C147" s="854" t="s">
        <v>1430</v>
      </c>
      <c r="D147" s="501">
        <v>35500</v>
      </c>
      <c r="E147" s="720" t="s">
        <v>367</v>
      </c>
      <c r="F147" s="831" t="s">
        <v>367</v>
      </c>
      <c r="G147" s="856">
        <v>50000</v>
      </c>
    </row>
    <row r="148" spans="1:7" ht="11.25" customHeight="1">
      <c r="A148" s="458" t="s">
        <v>119</v>
      </c>
      <c r="B148" s="855">
        <v>50000</v>
      </c>
      <c r="C148" s="854" t="s">
        <v>406</v>
      </c>
      <c r="D148" s="501">
        <v>875000</v>
      </c>
      <c r="E148" s="720" t="s">
        <v>367</v>
      </c>
      <c r="F148" s="831" t="s">
        <v>367</v>
      </c>
      <c r="G148" s="856">
        <v>50000</v>
      </c>
    </row>
    <row r="149" spans="1:7" ht="11.25" customHeight="1">
      <c r="A149" s="458" t="s">
        <v>120</v>
      </c>
      <c r="B149" s="855">
        <v>50000</v>
      </c>
      <c r="C149" s="854" t="s">
        <v>406</v>
      </c>
      <c r="D149" s="501">
        <v>167100</v>
      </c>
      <c r="E149" s="720" t="s">
        <v>367</v>
      </c>
      <c r="F149" s="831" t="s">
        <v>367</v>
      </c>
      <c r="G149" s="856">
        <v>50000</v>
      </c>
    </row>
    <row r="150" spans="1:7" ht="11.25" customHeight="1">
      <c r="A150" s="458" t="s">
        <v>602</v>
      </c>
      <c r="B150" s="855">
        <v>90</v>
      </c>
      <c r="C150" s="854" t="s">
        <v>1430</v>
      </c>
      <c r="D150" s="501">
        <v>90</v>
      </c>
      <c r="E150" s="720" t="s">
        <v>367</v>
      </c>
      <c r="F150" s="831" t="s">
        <v>367</v>
      </c>
      <c r="G150" s="856">
        <v>50000</v>
      </c>
    </row>
    <row r="151" spans="1:7" ht="11.25" customHeight="1">
      <c r="A151" s="462" t="s">
        <v>939</v>
      </c>
      <c r="B151" s="855">
        <v>50000</v>
      </c>
      <c r="C151" s="854" t="s">
        <v>406</v>
      </c>
      <c r="D151" s="501">
        <v>139000</v>
      </c>
      <c r="E151" s="720" t="s">
        <v>367</v>
      </c>
      <c r="F151" s="831" t="s">
        <v>367</v>
      </c>
      <c r="G151" s="856">
        <v>50000</v>
      </c>
    </row>
    <row r="152" spans="1:7" ht="11.25" customHeight="1">
      <c r="A152" s="462" t="s">
        <v>603</v>
      </c>
      <c r="B152" s="855">
        <v>37000</v>
      </c>
      <c r="C152" s="854" t="s">
        <v>1430</v>
      </c>
      <c r="D152" s="501">
        <v>37000</v>
      </c>
      <c r="E152" s="720" t="s">
        <v>367</v>
      </c>
      <c r="F152" s="831" t="s">
        <v>367</v>
      </c>
      <c r="G152" s="856">
        <v>50000</v>
      </c>
    </row>
    <row r="153" spans="1:7" ht="11.25" customHeight="1">
      <c r="A153" s="462" t="s">
        <v>605</v>
      </c>
      <c r="B153" s="855">
        <v>50000</v>
      </c>
      <c r="C153" s="854" t="s">
        <v>406</v>
      </c>
      <c r="D153" s="501">
        <v>57500</v>
      </c>
      <c r="E153" s="720" t="s">
        <v>367</v>
      </c>
      <c r="F153" s="831" t="s">
        <v>367</v>
      </c>
      <c r="G153" s="856">
        <v>50000</v>
      </c>
    </row>
    <row r="154" spans="1:7" ht="11.25" customHeight="1">
      <c r="A154" s="458" t="s">
        <v>481</v>
      </c>
      <c r="B154" s="855">
        <v>50000</v>
      </c>
      <c r="C154" s="854" t="s">
        <v>406</v>
      </c>
      <c r="D154" s="501" t="s">
        <v>954</v>
      </c>
      <c r="E154" s="720" t="s">
        <v>367</v>
      </c>
      <c r="F154" s="831" t="s">
        <v>367</v>
      </c>
      <c r="G154" s="856">
        <v>50000</v>
      </c>
    </row>
    <row r="155" spans="1:7" ht="11.25" customHeight="1">
      <c r="A155" s="458" t="s">
        <v>482</v>
      </c>
      <c r="B155" s="855">
        <v>34000</v>
      </c>
      <c r="C155" s="854" t="s">
        <v>1431</v>
      </c>
      <c r="D155" s="501">
        <v>4400000</v>
      </c>
      <c r="E155" s="720">
        <v>34000</v>
      </c>
      <c r="F155" s="831" t="s">
        <v>407</v>
      </c>
      <c r="G155" s="856">
        <v>50000</v>
      </c>
    </row>
    <row r="156" spans="1:7" ht="11.25" customHeight="1">
      <c r="A156" s="458" t="s">
        <v>483</v>
      </c>
      <c r="B156" s="855">
        <v>5300</v>
      </c>
      <c r="C156" s="854" t="s">
        <v>1431</v>
      </c>
      <c r="D156" s="501">
        <v>53000</v>
      </c>
      <c r="E156" s="720">
        <v>5300</v>
      </c>
      <c r="F156" s="831" t="s">
        <v>407</v>
      </c>
      <c r="G156" s="856">
        <v>50000</v>
      </c>
    </row>
    <row r="157" spans="1:7" ht="11.25" customHeight="1" thickBot="1">
      <c r="A157" s="516" t="s">
        <v>484</v>
      </c>
      <c r="B157" s="855">
        <v>50000</v>
      </c>
      <c r="C157" s="854" t="s">
        <v>406</v>
      </c>
      <c r="D157" s="627" t="s">
        <v>954</v>
      </c>
      <c r="E157" s="722" t="s">
        <v>367</v>
      </c>
      <c r="F157" s="722" t="s">
        <v>367</v>
      </c>
      <c r="G157" s="856">
        <v>50000</v>
      </c>
    </row>
    <row r="158" spans="1:7" ht="11.25" customHeight="1" thickTop="1">
      <c r="A158" s="470"/>
      <c r="B158" s="472"/>
      <c r="C158" s="708"/>
      <c r="D158" s="472"/>
      <c r="E158" s="472"/>
      <c r="F158" s="472"/>
      <c r="G158" s="473"/>
    </row>
    <row r="159" spans="1:7" ht="11.25" customHeight="1">
      <c r="A159" s="474" t="s">
        <v>696</v>
      </c>
      <c r="G159" s="476"/>
    </row>
    <row r="160" spans="1:7" ht="11.25" customHeight="1">
      <c r="A160" s="479" t="s">
        <v>1051</v>
      </c>
      <c r="G160" s="476"/>
    </row>
    <row r="161" spans="1:7" ht="11.25" customHeight="1">
      <c r="A161" s="479" t="s">
        <v>540</v>
      </c>
      <c r="G161" s="476"/>
    </row>
    <row r="162" spans="1:7" ht="11.25" customHeight="1">
      <c r="A162" s="479" t="s">
        <v>299</v>
      </c>
      <c r="G162" s="476"/>
    </row>
    <row r="163" spans="1:7" ht="11.25" customHeight="1">
      <c r="A163" s="479" t="s">
        <v>190</v>
      </c>
      <c r="G163" s="476"/>
    </row>
    <row r="164" spans="1:7" ht="11.25" customHeight="1">
      <c r="A164" s="479" t="s">
        <v>458</v>
      </c>
      <c r="G164" s="476"/>
    </row>
    <row r="165" spans="1:7" ht="11.25" customHeight="1">
      <c r="A165" s="479" t="s">
        <v>49</v>
      </c>
      <c r="G165" s="476"/>
    </row>
    <row r="166" spans="1:7" ht="11.25" customHeight="1">
      <c r="A166" s="474" t="s">
        <v>488</v>
      </c>
      <c r="G166" s="476"/>
    </row>
    <row r="167" spans="1:7" ht="11.25" customHeight="1">
      <c r="A167" s="479" t="s">
        <v>459</v>
      </c>
      <c r="G167" s="476"/>
    </row>
    <row r="168" spans="1:7" ht="11.25" customHeight="1">
      <c r="A168" s="479" t="s">
        <v>1052</v>
      </c>
      <c r="G168" s="476"/>
    </row>
    <row r="169" spans="1:7" ht="11.25" customHeight="1">
      <c r="A169" s="479" t="s">
        <v>739</v>
      </c>
      <c r="G169" s="476"/>
    </row>
    <row r="170" spans="1:7" ht="11.25" customHeight="1">
      <c r="A170" s="479" t="s">
        <v>778</v>
      </c>
      <c r="G170" s="476"/>
    </row>
    <row r="171" spans="1:7" ht="11.25" customHeight="1" thickBot="1">
      <c r="A171" s="706" t="s">
        <v>740</v>
      </c>
      <c r="B171" s="663"/>
      <c r="C171" s="579"/>
      <c r="D171" s="663"/>
      <c r="E171" s="663"/>
      <c r="F171" s="663"/>
      <c r="G171" s="664"/>
    </row>
    <row r="172" spans="1:7" ht="10.5" thickTop="1"/>
  </sheetData>
  <sheetProtection algorithmName="SHA-512" hashValue="TdSkv8LzatwohmLKn77lHcNdfsFRg85uSSE5qfA3d1BTNHCGXVjZ0z4jAv7w5aLhFpJF+IZp9MwZ3luf6JjoJw==" saltValue="Z1BC5MhuLd8g90B9ObK2Tg==" spinCount="100000" sheet="1" objects="1" scenarios="1"/>
  <phoneticPr fontId="0" type="noConversion"/>
  <printOptions horizontalCentered="1"/>
  <pageMargins left="0.17" right="0.16" top="0.53" bottom="1" header="0.5" footer="0.5"/>
  <pageSetup scale="86" fitToHeight="4" orientation="landscape" r:id="rId1"/>
  <headerFooter alignWithMargins="0">
    <oddFooter>&amp;LHawai'i DOH
Spring 2024&amp;C&amp;8Page &amp;P of &amp;N&amp;R&amp;A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29"/>
    <pageSetUpPr fitToPage="1"/>
  </sheetPr>
  <dimension ref="A1:G169"/>
  <sheetViews>
    <sheetView zoomScaleNormal="100" workbookViewId="0">
      <pane ySplit="1935" topLeftCell="A4" activePane="bottomLeft"/>
      <selection activeCell="B7" sqref="B7"/>
      <selection pane="bottomLeft" activeCell="B7" sqref="B7"/>
    </sheetView>
  </sheetViews>
  <sheetFormatPr defaultColWidth="9.1328125" defaultRowHeight="10.15"/>
  <cols>
    <col min="1" max="1" width="40.73046875" style="1" customWidth="1"/>
    <col min="2" max="2" width="12.59765625" style="475" customWidth="1"/>
    <col min="3" max="3" width="20.73046875" style="609" customWidth="1"/>
    <col min="4" max="5" width="12.59765625" style="475" customWidth="1"/>
    <col min="6" max="6" width="13.59765625" style="475" customWidth="1"/>
    <col min="7" max="7" width="12.59765625" style="475" customWidth="1"/>
    <col min="8" max="16384" width="9.1328125" style="1"/>
  </cols>
  <sheetData>
    <row r="1" spans="1:7" ht="46.5" customHeight="1">
      <c r="A1" s="751" t="s">
        <v>187</v>
      </c>
      <c r="B1" s="444"/>
      <c r="C1" s="444"/>
      <c r="D1" s="444"/>
      <c r="E1" s="444"/>
      <c r="F1" s="444"/>
      <c r="G1" s="444"/>
    </row>
    <row r="2" spans="1:7" ht="15.95" customHeight="1" thickBot="1">
      <c r="A2" s="950"/>
      <c r="B2" s="444"/>
      <c r="D2" s="444"/>
      <c r="E2" s="444"/>
      <c r="F2" s="444"/>
      <c r="G2" s="444"/>
    </row>
    <row r="3" spans="1:7" s="510" customFormat="1" ht="21" thickTop="1" thickBot="1">
      <c r="A3" s="727" t="s">
        <v>232</v>
      </c>
      <c r="B3" s="728" t="s">
        <v>189</v>
      </c>
      <c r="C3" s="850" t="s">
        <v>485</v>
      </c>
      <c r="D3" s="947" t="s">
        <v>404</v>
      </c>
      <c r="E3" s="948" t="s">
        <v>405</v>
      </c>
      <c r="F3" s="948" t="s">
        <v>485</v>
      </c>
      <c r="G3" s="520" t="s">
        <v>406</v>
      </c>
    </row>
    <row r="4" spans="1:7" s="510" customFormat="1" ht="11.25" customHeight="1">
      <c r="A4" s="454" t="s">
        <v>548</v>
      </c>
      <c r="B4" s="497">
        <v>20</v>
      </c>
      <c r="C4" s="717" t="s">
        <v>1429</v>
      </c>
      <c r="D4" s="497">
        <v>1950</v>
      </c>
      <c r="E4" s="831">
        <v>20</v>
      </c>
      <c r="F4" s="831" t="s">
        <v>407</v>
      </c>
      <c r="G4" s="590">
        <v>50000</v>
      </c>
    </row>
    <row r="5" spans="1:7" s="510" customFormat="1" ht="11.25" customHeight="1">
      <c r="A5" s="458" t="s">
        <v>549</v>
      </c>
      <c r="B5" s="501">
        <v>1965</v>
      </c>
      <c r="C5" s="719" t="s">
        <v>1430</v>
      </c>
      <c r="D5" s="501">
        <v>1965</v>
      </c>
      <c r="E5" s="831" t="s">
        <v>367</v>
      </c>
      <c r="F5" s="831" t="s">
        <v>367</v>
      </c>
      <c r="G5" s="523">
        <v>50000</v>
      </c>
    </row>
    <row r="6" spans="1:7" s="510" customFormat="1" ht="11.25" customHeight="1">
      <c r="A6" s="458" t="s">
        <v>550</v>
      </c>
      <c r="B6" s="501">
        <v>20000</v>
      </c>
      <c r="C6" s="719" t="s">
        <v>1429</v>
      </c>
      <c r="D6" s="501">
        <v>500000000</v>
      </c>
      <c r="E6" s="831">
        <v>20000</v>
      </c>
      <c r="F6" s="831" t="s">
        <v>289</v>
      </c>
      <c r="G6" s="523">
        <v>50000</v>
      </c>
    </row>
    <row r="7" spans="1:7" s="510" customFormat="1" ht="11.25" customHeight="1">
      <c r="A7" s="458" t="s">
        <v>551</v>
      </c>
      <c r="B7" s="501">
        <v>8.5</v>
      </c>
      <c r="C7" s="719" t="s">
        <v>1430</v>
      </c>
      <c r="D7" s="501">
        <v>8.5</v>
      </c>
      <c r="E7" s="831">
        <v>17</v>
      </c>
      <c r="F7" s="831" t="s">
        <v>407</v>
      </c>
      <c r="G7" s="523">
        <v>50000</v>
      </c>
    </row>
    <row r="8" spans="1:7" s="510" customFormat="1" ht="11.25" customHeight="1">
      <c r="A8" s="458" t="s">
        <v>161</v>
      </c>
      <c r="B8" s="501">
        <v>50000</v>
      </c>
      <c r="C8" s="719" t="s">
        <v>406</v>
      </c>
      <c r="D8" s="501">
        <v>104500</v>
      </c>
      <c r="E8" s="831" t="s">
        <v>367</v>
      </c>
      <c r="F8" s="831" t="s">
        <v>367</v>
      </c>
      <c r="G8" s="523">
        <v>50000</v>
      </c>
    </row>
    <row r="9" spans="1:7" s="510" customFormat="1" ht="11.25" customHeight="1">
      <c r="A9" s="462" t="s">
        <v>162</v>
      </c>
      <c r="B9" s="501">
        <v>50000</v>
      </c>
      <c r="C9" s="719" t="s">
        <v>406</v>
      </c>
      <c r="D9" s="501">
        <v>610000</v>
      </c>
      <c r="E9" s="831" t="s">
        <v>367</v>
      </c>
      <c r="F9" s="831" t="s">
        <v>367</v>
      </c>
      <c r="G9" s="523">
        <v>50000</v>
      </c>
    </row>
    <row r="10" spans="1:7" s="510" customFormat="1" ht="11.25" customHeight="1">
      <c r="A10" s="462" t="s">
        <v>94</v>
      </c>
      <c r="B10" s="501">
        <v>50000</v>
      </c>
      <c r="C10" s="719" t="s">
        <v>406</v>
      </c>
      <c r="D10" s="501">
        <v>610000</v>
      </c>
      <c r="E10" s="831" t="s">
        <v>367</v>
      </c>
      <c r="F10" s="831" t="s">
        <v>367</v>
      </c>
      <c r="G10" s="523">
        <v>50000</v>
      </c>
    </row>
    <row r="11" spans="1:7" s="510" customFormat="1" ht="11.25" customHeight="1">
      <c r="A11" s="458" t="s">
        <v>552</v>
      </c>
      <c r="B11" s="501">
        <v>21.5</v>
      </c>
      <c r="C11" s="719" t="s">
        <v>1430</v>
      </c>
      <c r="D11" s="501">
        <v>21.5</v>
      </c>
      <c r="E11" s="831" t="s">
        <v>367</v>
      </c>
      <c r="F11" s="831" t="s">
        <v>367</v>
      </c>
      <c r="G11" s="523">
        <v>50000</v>
      </c>
    </row>
    <row r="12" spans="1:7" s="510" customFormat="1" ht="11.25" customHeight="1">
      <c r="A12" s="458" t="s">
        <v>553</v>
      </c>
      <c r="B12" s="501">
        <v>50000</v>
      </c>
      <c r="C12" s="719" t="s">
        <v>406</v>
      </c>
      <c r="D12" s="501" t="s">
        <v>954</v>
      </c>
      <c r="E12" s="831" t="s">
        <v>367</v>
      </c>
      <c r="F12" s="831" t="s">
        <v>367</v>
      </c>
      <c r="G12" s="523">
        <v>50000</v>
      </c>
    </row>
    <row r="13" spans="1:7" s="510" customFormat="1" ht="11.25" customHeight="1">
      <c r="A13" s="458" t="s">
        <v>686</v>
      </c>
      <c r="B13" s="501">
        <v>50000</v>
      </c>
      <c r="C13" s="719" t="s">
        <v>406</v>
      </c>
      <c r="D13" s="501" t="s">
        <v>954</v>
      </c>
      <c r="E13" s="831" t="s">
        <v>367</v>
      </c>
      <c r="F13" s="831" t="s">
        <v>367</v>
      </c>
      <c r="G13" s="523">
        <v>50000</v>
      </c>
    </row>
    <row r="14" spans="1:7" s="510" customFormat="1" ht="11.25" customHeight="1">
      <c r="A14" s="458" t="s">
        <v>95</v>
      </c>
      <c r="B14" s="501">
        <v>20</v>
      </c>
      <c r="C14" s="719" t="s">
        <v>1429</v>
      </c>
      <c r="D14" s="501">
        <v>17500</v>
      </c>
      <c r="E14" s="720">
        <v>20</v>
      </c>
      <c r="F14" s="831" t="s">
        <v>1038</v>
      </c>
      <c r="G14" s="523">
        <v>50000</v>
      </c>
    </row>
    <row r="15" spans="1:7" s="510" customFormat="1" ht="11.25" customHeight="1">
      <c r="A15" s="458" t="s">
        <v>687</v>
      </c>
      <c r="B15" s="501">
        <v>50000</v>
      </c>
      <c r="C15" s="719" t="s">
        <v>406</v>
      </c>
      <c r="D15" s="501" t="s">
        <v>954</v>
      </c>
      <c r="E15" s="831" t="s">
        <v>367</v>
      </c>
      <c r="F15" s="831" t="s">
        <v>367</v>
      </c>
      <c r="G15" s="523">
        <v>50000</v>
      </c>
    </row>
    <row r="16" spans="1:7" s="510" customFormat="1" ht="11.25" customHeight="1">
      <c r="A16" s="458" t="s">
        <v>1156</v>
      </c>
      <c r="B16" s="501">
        <v>1900</v>
      </c>
      <c r="C16" s="719" t="s">
        <v>1430</v>
      </c>
      <c r="D16" s="501">
        <v>1900</v>
      </c>
      <c r="E16" s="831" t="s">
        <v>367</v>
      </c>
      <c r="F16" s="831" t="s">
        <v>367</v>
      </c>
      <c r="G16" s="523">
        <v>50000</v>
      </c>
    </row>
    <row r="17" spans="1:7" s="510" customFormat="1" ht="11.25" customHeight="1">
      <c r="A17" s="458" t="s">
        <v>688</v>
      </c>
      <c r="B17" s="501">
        <v>170</v>
      </c>
      <c r="C17" s="719" t="s">
        <v>1429</v>
      </c>
      <c r="D17" s="501">
        <v>895000</v>
      </c>
      <c r="E17" s="831">
        <v>170</v>
      </c>
      <c r="F17" s="831" t="s">
        <v>289</v>
      </c>
      <c r="G17" s="523">
        <v>50000</v>
      </c>
    </row>
    <row r="18" spans="1:7" s="510" customFormat="1" ht="11.25" customHeight="1">
      <c r="A18" s="458" t="s">
        <v>689</v>
      </c>
      <c r="B18" s="501">
        <v>4.7</v>
      </c>
      <c r="C18" s="719" t="s">
        <v>1430</v>
      </c>
      <c r="D18" s="501">
        <v>4.7</v>
      </c>
      <c r="E18" s="831" t="s">
        <v>367</v>
      </c>
      <c r="F18" s="831" t="s">
        <v>367</v>
      </c>
      <c r="G18" s="523">
        <v>50000</v>
      </c>
    </row>
    <row r="19" spans="1:7" s="510" customFormat="1" ht="11.25" customHeight="1">
      <c r="A19" s="458" t="s">
        <v>690</v>
      </c>
      <c r="B19" s="501">
        <v>0.8</v>
      </c>
      <c r="C19" s="719" t="s">
        <v>1430</v>
      </c>
      <c r="D19" s="501">
        <v>0.8</v>
      </c>
      <c r="E19" s="831" t="s">
        <v>367</v>
      </c>
      <c r="F19" s="831" t="s">
        <v>367</v>
      </c>
      <c r="G19" s="523">
        <v>50000</v>
      </c>
    </row>
    <row r="20" spans="1:7" s="510" customFormat="1" ht="11.25" customHeight="1">
      <c r="A20" s="458" t="s">
        <v>691</v>
      </c>
      <c r="B20" s="501">
        <v>0.75</v>
      </c>
      <c r="C20" s="719" t="s">
        <v>1430</v>
      </c>
      <c r="D20" s="501">
        <v>0.75</v>
      </c>
      <c r="E20" s="831" t="s">
        <v>367</v>
      </c>
      <c r="F20" s="831" t="s">
        <v>367</v>
      </c>
      <c r="G20" s="523">
        <v>50000</v>
      </c>
    </row>
    <row r="21" spans="1:7" s="510" customFormat="1" ht="11.25" customHeight="1">
      <c r="A21" s="458" t="s">
        <v>692</v>
      </c>
      <c r="B21" s="501">
        <v>0.12999999999999998</v>
      </c>
      <c r="C21" s="719" t="s">
        <v>1430</v>
      </c>
      <c r="D21" s="501">
        <v>0.12999999999999998</v>
      </c>
      <c r="E21" s="831" t="s">
        <v>367</v>
      </c>
      <c r="F21" s="831" t="s">
        <v>367</v>
      </c>
      <c r="G21" s="523">
        <v>50000</v>
      </c>
    </row>
    <row r="22" spans="1:7" s="510" customFormat="1" ht="11.25" customHeight="1">
      <c r="A22" s="458" t="s">
        <v>693</v>
      </c>
      <c r="B22" s="501">
        <v>0.4</v>
      </c>
      <c r="C22" s="719" t="s">
        <v>1430</v>
      </c>
      <c r="D22" s="501">
        <v>0.4</v>
      </c>
      <c r="E22" s="831" t="s">
        <v>367</v>
      </c>
      <c r="F22" s="831" t="s">
        <v>367</v>
      </c>
      <c r="G22" s="523">
        <v>50000</v>
      </c>
    </row>
    <row r="23" spans="1:7" s="510" customFormat="1" ht="11.25" customHeight="1">
      <c r="A23" s="458" t="s">
        <v>126</v>
      </c>
      <c r="B23" s="501">
        <v>50000</v>
      </c>
      <c r="C23" s="719" t="s">
        <v>406</v>
      </c>
      <c r="D23" s="501" t="s">
        <v>954</v>
      </c>
      <c r="E23" s="831" t="s">
        <v>367</v>
      </c>
      <c r="F23" s="831" t="s">
        <v>367</v>
      </c>
      <c r="G23" s="523">
        <v>50000</v>
      </c>
    </row>
    <row r="24" spans="1:7" s="510" customFormat="1" ht="11.25" customHeight="1">
      <c r="A24" s="458" t="s">
        <v>233</v>
      </c>
      <c r="B24" s="501">
        <v>0.5</v>
      </c>
      <c r="C24" s="719" t="s">
        <v>1429</v>
      </c>
      <c r="D24" s="501">
        <v>3740</v>
      </c>
      <c r="E24" s="831">
        <v>0.5</v>
      </c>
      <c r="F24" s="831" t="s">
        <v>289</v>
      </c>
      <c r="G24" s="523">
        <v>50000</v>
      </c>
    </row>
    <row r="25" spans="1:7" s="510" customFormat="1" ht="11.25" customHeight="1">
      <c r="A25" s="458" t="s">
        <v>127</v>
      </c>
      <c r="B25" s="501">
        <v>360</v>
      </c>
      <c r="C25" s="719" t="s">
        <v>1429</v>
      </c>
      <c r="D25" s="501">
        <v>8600000</v>
      </c>
      <c r="E25" s="831">
        <v>360</v>
      </c>
      <c r="F25" s="831" t="s">
        <v>289</v>
      </c>
      <c r="G25" s="523">
        <v>50000</v>
      </c>
    </row>
    <row r="26" spans="1:7" s="510" customFormat="1" ht="11.25" customHeight="1">
      <c r="A26" s="503" t="s">
        <v>1103</v>
      </c>
      <c r="B26" s="501">
        <v>320</v>
      </c>
      <c r="C26" s="719" t="s">
        <v>1429</v>
      </c>
      <c r="D26" s="501">
        <v>850000</v>
      </c>
      <c r="E26" s="831">
        <v>320</v>
      </c>
      <c r="F26" s="831" t="s">
        <v>407</v>
      </c>
      <c r="G26" s="523">
        <v>50000</v>
      </c>
    </row>
    <row r="27" spans="1:7" s="510" customFormat="1" ht="11.25" customHeight="1">
      <c r="A27" s="458" t="s">
        <v>128</v>
      </c>
      <c r="B27" s="501">
        <v>135</v>
      </c>
      <c r="C27" s="719" t="s">
        <v>1430</v>
      </c>
      <c r="D27" s="501">
        <v>135</v>
      </c>
      <c r="E27" s="831" t="s">
        <v>367</v>
      </c>
      <c r="F27" s="831" t="s">
        <v>367</v>
      </c>
      <c r="G27" s="523">
        <v>50000</v>
      </c>
    </row>
    <row r="28" spans="1:7" s="510" customFormat="1" ht="11.25" customHeight="1">
      <c r="A28" s="458" t="s">
        <v>129</v>
      </c>
      <c r="B28" s="501">
        <v>50000</v>
      </c>
      <c r="C28" s="719" t="s">
        <v>406</v>
      </c>
      <c r="D28" s="501" t="s">
        <v>954</v>
      </c>
      <c r="E28" s="831" t="s">
        <v>367</v>
      </c>
      <c r="F28" s="831" t="s">
        <v>367</v>
      </c>
      <c r="G28" s="523">
        <v>50000</v>
      </c>
    </row>
    <row r="29" spans="1:7" s="510" customFormat="1" ht="11.25" customHeight="1">
      <c r="A29" s="458" t="s">
        <v>130</v>
      </c>
      <c r="B29" s="501">
        <v>50000</v>
      </c>
      <c r="C29" s="719" t="s">
        <v>406</v>
      </c>
      <c r="D29" s="501">
        <v>1516000</v>
      </c>
      <c r="E29" s="831" t="s">
        <v>367</v>
      </c>
      <c r="F29" s="831" t="s">
        <v>367</v>
      </c>
      <c r="G29" s="523">
        <v>50000</v>
      </c>
    </row>
    <row r="30" spans="1:7" s="510" customFormat="1" ht="11.25" customHeight="1">
      <c r="A30" s="458" t="s">
        <v>131</v>
      </c>
      <c r="B30" s="501">
        <v>510</v>
      </c>
      <c r="C30" s="719" t="s">
        <v>1429</v>
      </c>
      <c r="D30" s="501">
        <v>1550000</v>
      </c>
      <c r="E30" s="831">
        <v>510</v>
      </c>
      <c r="F30" s="831" t="s">
        <v>289</v>
      </c>
      <c r="G30" s="523">
        <v>50000</v>
      </c>
    </row>
    <row r="31" spans="1:7" s="510" customFormat="1" ht="11.25" customHeight="1">
      <c r="A31" s="458" t="s">
        <v>132</v>
      </c>
      <c r="B31" s="501">
        <v>50000</v>
      </c>
      <c r="C31" s="719" t="s">
        <v>406</v>
      </c>
      <c r="D31" s="501">
        <v>7600000</v>
      </c>
      <c r="E31" s="831" t="s">
        <v>367</v>
      </c>
      <c r="F31" s="831" t="s">
        <v>367</v>
      </c>
      <c r="G31" s="523">
        <v>50000</v>
      </c>
    </row>
    <row r="32" spans="1:7" s="510" customFormat="1" ht="11.25" customHeight="1">
      <c r="A32" s="458" t="s">
        <v>133</v>
      </c>
      <c r="B32" s="501">
        <v>50000</v>
      </c>
      <c r="C32" s="719" t="s">
        <v>406</v>
      </c>
      <c r="D32" s="501" t="s">
        <v>954</v>
      </c>
      <c r="E32" s="831" t="s">
        <v>367</v>
      </c>
      <c r="F32" s="831" t="s">
        <v>367</v>
      </c>
      <c r="G32" s="523">
        <v>50000</v>
      </c>
    </row>
    <row r="33" spans="1:7" s="510" customFormat="1" ht="11.25" customHeight="1">
      <c r="A33" s="458" t="s">
        <v>134</v>
      </c>
      <c r="B33" s="501">
        <v>520</v>
      </c>
      <c r="C33" s="719" t="s">
        <v>1429</v>
      </c>
      <c r="D33" s="501">
        <v>396500</v>
      </c>
      <c r="E33" s="831">
        <v>520</v>
      </c>
      <c r="F33" s="831" t="s">
        <v>289</v>
      </c>
      <c r="G33" s="523">
        <v>50000</v>
      </c>
    </row>
    <row r="34" spans="1:7" s="510" customFormat="1" ht="11.25" customHeight="1">
      <c r="A34" s="458" t="s">
        <v>614</v>
      </c>
      <c r="B34" s="501">
        <v>2.5</v>
      </c>
      <c r="C34" s="719" t="s">
        <v>1429</v>
      </c>
      <c r="D34" s="501">
        <v>28</v>
      </c>
      <c r="E34" s="831">
        <v>2.5</v>
      </c>
      <c r="F34" s="831" t="s">
        <v>407</v>
      </c>
      <c r="G34" s="523">
        <v>50000</v>
      </c>
    </row>
    <row r="35" spans="1:7" s="510" customFormat="1" ht="11.25" customHeight="1">
      <c r="A35" s="458" t="s">
        <v>135</v>
      </c>
      <c r="B35" s="501">
        <v>50000</v>
      </c>
      <c r="C35" s="719" t="s">
        <v>406</v>
      </c>
      <c r="D35" s="501">
        <v>1950000</v>
      </c>
      <c r="E35" s="831" t="s">
        <v>367</v>
      </c>
      <c r="F35" s="831" t="s">
        <v>367</v>
      </c>
      <c r="G35" s="523">
        <v>50000</v>
      </c>
    </row>
    <row r="36" spans="1:7" s="510" customFormat="1" ht="11.25" customHeight="1">
      <c r="A36" s="458" t="s">
        <v>136</v>
      </c>
      <c r="B36" s="501">
        <v>50</v>
      </c>
      <c r="C36" s="719" t="s">
        <v>1429</v>
      </c>
      <c r="D36" s="501">
        <v>249000</v>
      </c>
      <c r="E36" s="831">
        <v>50</v>
      </c>
      <c r="F36" s="831" t="s">
        <v>289</v>
      </c>
      <c r="G36" s="523">
        <v>50000</v>
      </c>
    </row>
    <row r="37" spans="1:7" s="510" customFormat="1" ht="11.25" customHeight="1">
      <c r="A37" s="458" t="s">
        <v>781</v>
      </c>
      <c r="B37" s="501">
        <v>16</v>
      </c>
      <c r="C37" s="719" t="s">
        <v>1429</v>
      </c>
      <c r="D37" s="501">
        <v>3355000</v>
      </c>
      <c r="E37" s="831">
        <v>16</v>
      </c>
      <c r="F37" s="831" t="s">
        <v>289</v>
      </c>
      <c r="G37" s="523">
        <v>50000</v>
      </c>
    </row>
    <row r="38" spans="1:7" ht="11.25" customHeight="1">
      <c r="A38" s="464" t="s">
        <v>137</v>
      </c>
      <c r="B38" s="501">
        <v>2400</v>
      </c>
      <c r="C38" s="719" t="s">
        <v>1429</v>
      </c>
      <c r="D38" s="501">
        <v>3975000</v>
      </c>
      <c r="E38" s="831">
        <v>2400</v>
      </c>
      <c r="F38" s="831" t="s">
        <v>289</v>
      </c>
      <c r="G38" s="856">
        <v>50000</v>
      </c>
    </row>
    <row r="39" spans="1:7" ht="11.25" customHeight="1">
      <c r="A39" s="458" t="s">
        <v>782</v>
      </c>
      <c r="B39" s="501">
        <v>50000</v>
      </c>
      <c r="C39" s="719" t="s">
        <v>406</v>
      </c>
      <c r="D39" s="501">
        <v>2660000</v>
      </c>
      <c r="E39" s="720"/>
      <c r="F39" s="831" t="s">
        <v>367</v>
      </c>
      <c r="G39" s="856">
        <v>50000</v>
      </c>
    </row>
    <row r="40" spans="1:7" ht="11.25" customHeight="1">
      <c r="A40" s="458" t="s">
        <v>138</v>
      </c>
      <c r="B40" s="501">
        <v>0.18</v>
      </c>
      <c r="C40" s="719" t="s">
        <v>1429</v>
      </c>
      <c r="D40" s="501">
        <v>5650000</v>
      </c>
      <c r="E40" s="720">
        <v>0.18</v>
      </c>
      <c r="F40" s="831" t="s">
        <v>407</v>
      </c>
      <c r="G40" s="856">
        <v>50000</v>
      </c>
    </row>
    <row r="41" spans="1:7" ht="11.25" customHeight="1">
      <c r="A41" s="458" t="s">
        <v>612</v>
      </c>
      <c r="B41" s="501">
        <v>50000</v>
      </c>
      <c r="C41" s="719" t="s">
        <v>406</v>
      </c>
      <c r="D41" s="501" t="s">
        <v>954</v>
      </c>
      <c r="E41" s="720" t="s">
        <v>367</v>
      </c>
      <c r="F41" s="831" t="s">
        <v>367</v>
      </c>
      <c r="G41" s="856">
        <v>50000</v>
      </c>
    </row>
    <row r="42" spans="1:7" ht="11.25" customHeight="1">
      <c r="A42" s="458" t="s">
        <v>779</v>
      </c>
      <c r="B42" s="501">
        <v>50000</v>
      </c>
      <c r="C42" s="719" t="s">
        <v>406</v>
      </c>
      <c r="D42" s="501" t="s">
        <v>954</v>
      </c>
      <c r="E42" s="720" t="s">
        <v>367</v>
      </c>
      <c r="F42" s="831" t="s">
        <v>367</v>
      </c>
      <c r="G42" s="856">
        <v>50000</v>
      </c>
    </row>
    <row r="43" spans="1:7" ht="11.25" customHeight="1">
      <c r="A43" s="458" t="s">
        <v>780</v>
      </c>
      <c r="B43" s="501">
        <v>50000</v>
      </c>
      <c r="C43" s="719" t="s">
        <v>406</v>
      </c>
      <c r="D43" s="501">
        <v>845000000</v>
      </c>
      <c r="E43" s="720" t="s">
        <v>367</v>
      </c>
      <c r="F43" s="831" t="s">
        <v>367</v>
      </c>
      <c r="G43" s="856">
        <v>50000</v>
      </c>
    </row>
    <row r="44" spans="1:7" ht="11.25" customHeight="1">
      <c r="A44" s="458" t="s">
        <v>139</v>
      </c>
      <c r="B44" s="501">
        <v>1</v>
      </c>
      <c r="C44" s="719" t="s">
        <v>1430</v>
      </c>
      <c r="D44" s="501">
        <v>1</v>
      </c>
      <c r="E44" s="720" t="s">
        <v>367</v>
      </c>
      <c r="F44" s="831" t="s">
        <v>367</v>
      </c>
      <c r="G44" s="856">
        <v>50000</v>
      </c>
    </row>
    <row r="45" spans="1:7" ht="11.25" customHeight="1">
      <c r="A45" s="458" t="s">
        <v>140</v>
      </c>
      <c r="B45" s="501">
        <v>50000</v>
      </c>
      <c r="C45" s="719" t="s">
        <v>406</v>
      </c>
      <c r="D45" s="501" t="s">
        <v>954</v>
      </c>
      <c r="E45" s="720" t="s">
        <v>367</v>
      </c>
      <c r="F45" s="831" t="s">
        <v>367</v>
      </c>
      <c r="G45" s="856">
        <v>50000</v>
      </c>
    </row>
    <row r="46" spans="1:7" ht="11.25" customHeight="1">
      <c r="A46" s="458" t="s">
        <v>141</v>
      </c>
      <c r="B46" s="501">
        <v>1000</v>
      </c>
      <c r="C46" s="719" t="s">
        <v>1429</v>
      </c>
      <c r="D46" s="501" t="s">
        <v>954</v>
      </c>
      <c r="E46" s="720">
        <v>1000</v>
      </c>
      <c r="F46" s="831" t="s">
        <v>290</v>
      </c>
      <c r="G46" s="856">
        <v>50000</v>
      </c>
    </row>
    <row r="47" spans="1:7" ht="11.25" customHeight="1">
      <c r="A47" s="458" t="s">
        <v>142</v>
      </c>
      <c r="B47" s="501">
        <v>170</v>
      </c>
      <c r="C47" s="719" t="s">
        <v>1429</v>
      </c>
      <c r="D47" s="501">
        <v>47700000</v>
      </c>
      <c r="E47" s="720">
        <v>170</v>
      </c>
      <c r="F47" s="831" t="s">
        <v>289</v>
      </c>
      <c r="G47" s="856">
        <v>50000</v>
      </c>
    </row>
    <row r="48" spans="1:7" ht="11.25" customHeight="1">
      <c r="A48" s="462" t="s">
        <v>96</v>
      </c>
      <c r="B48" s="501">
        <v>29850</v>
      </c>
      <c r="C48" s="719" t="s">
        <v>1430</v>
      </c>
      <c r="D48" s="501">
        <v>29850</v>
      </c>
      <c r="E48" s="720" t="s">
        <v>367</v>
      </c>
      <c r="F48" s="831" t="s">
        <v>367</v>
      </c>
      <c r="G48" s="856">
        <v>50000</v>
      </c>
    </row>
    <row r="49" spans="1:7" ht="11.25" customHeight="1">
      <c r="A49" s="458" t="s">
        <v>97</v>
      </c>
      <c r="B49" s="501">
        <v>50000</v>
      </c>
      <c r="C49" s="719" t="s">
        <v>406</v>
      </c>
      <c r="D49" s="501">
        <v>251000000</v>
      </c>
      <c r="E49" s="720" t="s">
        <v>367</v>
      </c>
      <c r="F49" s="831" t="s">
        <v>367</v>
      </c>
      <c r="G49" s="856">
        <v>50000</v>
      </c>
    </row>
    <row r="50" spans="1:7" ht="11.25" customHeight="1">
      <c r="A50" s="458" t="s">
        <v>143</v>
      </c>
      <c r="B50" s="501">
        <v>1.25</v>
      </c>
      <c r="C50" s="719" t="s">
        <v>1430</v>
      </c>
      <c r="D50" s="501">
        <v>1.25</v>
      </c>
      <c r="E50" s="720" t="s">
        <v>367</v>
      </c>
      <c r="F50" s="831" t="s">
        <v>367</v>
      </c>
      <c r="G50" s="856">
        <v>50000</v>
      </c>
    </row>
    <row r="51" spans="1:7" ht="11.25" customHeight="1">
      <c r="A51" s="458" t="s">
        <v>381</v>
      </c>
      <c r="B51" s="501">
        <v>10</v>
      </c>
      <c r="C51" s="719" t="s">
        <v>1429</v>
      </c>
      <c r="D51" s="501">
        <v>615000</v>
      </c>
      <c r="E51" s="720">
        <v>10</v>
      </c>
      <c r="F51" s="831" t="s">
        <v>289</v>
      </c>
      <c r="G51" s="856">
        <v>50000</v>
      </c>
    </row>
    <row r="52" spans="1:7" ht="11.25" customHeight="1">
      <c r="A52" s="458" t="s">
        <v>144</v>
      </c>
      <c r="B52" s="501">
        <v>50000</v>
      </c>
      <c r="C52" s="719" t="s">
        <v>406</v>
      </c>
      <c r="D52" s="501">
        <v>1350000</v>
      </c>
      <c r="E52" s="720" t="s">
        <v>367</v>
      </c>
      <c r="F52" s="831" t="s">
        <v>367</v>
      </c>
      <c r="G52" s="856">
        <v>50000</v>
      </c>
    </row>
    <row r="53" spans="1:7" ht="11.25" customHeight="1">
      <c r="A53" s="458" t="s">
        <v>487</v>
      </c>
      <c r="B53" s="501">
        <v>50000</v>
      </c>
      <c r="C53" s="719" t="s">
        <v>406</v>
      </c>
      <c r="D53" s="501">
        <v>1955000</v>
      </c>
      <c r="E53" s="720" t="s">
        <v>367</v>
      </c>
      <c r="F53" s="831" t="s">
        <v>367</v>
      </c>
      <c r="G53" s="856">
        <v>50000</v>
      </c>
    </row>
    <row r="54" spans="1:7" ht="11.25" customHeight="1">
      <c r="A54" s="458" t="s">
        <v>145</v>
      </c>
      <c r="B54" s="501">
        <v>10</v>
      </c>
      <c r="C54" s="719" t="s">
        <v>1429</v>
      </c>
      <c r="D54" s="501">
        <v>78000</v>
      </c>
      <c r="E54" s="720">
        <v>10</v>
      </c>
      <c r="F54" s="831" t="s">
        <v>291</v>
      </c>
      <c r="G54" s="856">
        <v>50000</v>
      </c>
    </row>
    <row r="55" spans="1:7" ht="11.25" customHeight="1">
      <c r="A55" s="458" t="s">
        <v>225</v>
      </c>
      <c r="B55" s="501">
        <v>50000</v>
      </c>
      <c r="C55" s="719" t="s">
        <v>406</v>
      </c>
      <c r="D55" s="501">
        <v>78000</v>
      </c>
      <c r="E55" s="720" t="s">
        <v>367</v>
      </c>
      <c r="F55" s="831" t="s">
        <v>367</v>
      </c>
      <c r="G55" s="856">
        <v>50000</v>
      </c>
    </row>
    <row r="56" spans="1:7" ht="11.25" customHeight="1">
      <c r="A56" s="458" t="s">
        <v>226</v>
      </c>
      <c r="B56" s="501">
        <v>5</v>
      </c>
      <c r="C56" s="719" t="s">
        <v>1429</v>
      </c>
      <c r="D56" s="501">
        <v>40650</v>
      </c>
      <c r="E56" s="720">
        <v>5</v>
      </c>
      <c r="F56" s="831" t="s">
        <v>291</v>
      </c>
      <c r="G56" s="856">
        <v>50000</v>
      </c>
    </row>
    <row r="57" spans="1:7" ht="11.25" customHeight="1">
      <c r="A57" s="458" t="s">
        <v>227</v>
      </c>
      <c r="B57" s="501">
        <v>1550</v>
      </c>
      <c r="C57" s="719" t="s">
        <v>1430</v>
      </c>
      <c r="D57" s="501">
        <v>1550</v>
      </c>
      <c r="E57" s="720" t="s">
        <v>367</v>
      </c>
      <c r="F57" s="831" t="s">
        <v>367</v>
      </c>
      <c r="G57" s="856">
        <v>50000</v>
      </c>
    </row>
    <row r="58" spans="1:7" ht="11.25" customHeight="1">
      <c r="A58" s="458" t="s">
        <v>361</v>
      </c>
      <c r="B58" s="501">
        <v>45</v>
      </c>
      <c r="C58" s="719" t="s">
        <v>1430</v>
      </c>
      <c r="D58" s="501">
        <v>45</v>
      </c>
      <c r="E58" s="720" t="s">
        <v>367</v>
      </c>
      <c r="F58" s="831" t="s">
        <v>367</v>
      </c>
      <c r="G58" s="856">
        <v>50000</v>
      </c>
    </row>
    <row r="59" spans="1:7" ht="11.25" customHeight="1">
      <c r="A59" s="458" t="s">
        <v>362</v>
      </c>
      <c r="B59" s="501">
        <v>20</v>
      </c>
      <c r="C59" s="719" t="s">
        <v>1430</v>
      </c>
      <c r="D59" s="501">
        <v>20</v>
      </c>
      <c r="E59" s="720" t="s">
        <v>367</v>
      </c>
      <c r="F59" s="831" t="s">
        <v>367</v>
      </c>
      <c r="G59" s="856">
        <v>50000</v>
      </c>
    </row>
    <row r="60" spans="1:7" ht="11.25" customHeight="1">
      <c r="A60" s="458" t="s">
        <v>363</v>
      </c>
      <c r="B60" s="501">
        <v>2.75</v>
      </c>
      <c r="C60" s="719" t="s">
        <v>1430</v>
      </c>
      <c r="D60" s="501">
        <v>2.75</v>
      </c>
      <c r="E60" s="720">
        <v>350</v>
      </c>
      <c r="F60" s="831" t="s">
        <v>407</v>
      </c>
      <c r="G60" s="856">
        <v>50000</v>
      </c>
    </row>
    <row r="61" spans="1:7" ht="11.25" customHeight="1">
      <c r="A61" s="458" t="s">
        <v>234</v>
      </c>
      <c r="B61" s="501">
        <v>50000</v>
      </c>
      <c r="C61" s="719" t="s">
        <v>406</v>
      </c>
      <c r="D61" s="501">
        <v>2520000</v>
      </c>
      <c r="E61" s="720" t="s">
        <v>367</v>
      </c>
      <c r="F61" s="831" t="s">
        <v>367</v>
      </c>
      <c r="G61" s="856">
        <v>50000</v>
      </c>
    </row>
    <row r="62" spans="1:7" ht="11.25" customHeight="1">
      <c r="A62" s="458" t="s">
        <v>235</v>
      </c>
      <c r="B62" s="501">
        <v>7000</v>
      </c>
      <c r="C62" s="719" t="s">
        <v>1429</v>
      </c>
      <c r="D62" s="501">
        <v>4300000</v>
      </c>
      <c r="E62" s="720">
        <v>7000</v>
      </c>
      <c r="F62" s="831" t="s">
        <v>289</v>
      </c>
      <c r="G62" s="856">
        <v>50000</v>
      </c>
    </row>
    <row r="63" spans="1:7" ht="11.25" customHeight="1">
      <c r="A63" s="458" t="s">
        <v>294</v>
      </c>
      <c r="B63" s="501">
        <v>1500</v>
      </c>
      <c r="C63" s="719" t="s">
        <v>1429</v>
      </c>
      <c r="D63" s="501">
        <v>1210000</v>
      </c>
      <c r="E63" s="720">
        <v>1500</v>
      </c>
      <c r="F63" s="831" t="s">
        <v>289</v>
      </c>
      <c r="G63" s="856">
        <v>50000</v>
      </c>
    </row>
    <row r="64" spans="1:7" ht="11.25" customHeight="1">
      <c r="A64" s="458" t="s">
        <v>295</v>
      </c>
      <c r="B64" s="501">
        <v>50000</v>
      </c>
      <c r="C64" s="719" t="s">
        <v>406</v>
      </c>
      <c r="D64" s="501">
        <v>3205000</v>
      </c>
      <c r="E64" s="720" t="s">
        <v>367</v>
      </c>
      <c r="F64" s="831" t="s">
        <v>367</v>
      </c>
      <c r="G64" s="856">
        <v>50000</v>
      </c>
    </row>
    <row r="65" spans="1:7" ht="11.25" customHeight="1">
      <c r="A65" s="458" t="s">
        <v>228</v>
      </c>
      <c r="B65" s="501">
        <v>260</v>
      </c>
      <c r="C65" s="719" t="s">
        <v>1429</v>
      </c>
      <c r="D65" s="501">
        <v>2260000</v>
      </c>
      <c r="E65" s="720">
        <v>260</v>
      </c>
      <c r="F65" s="831" t="s">
        <v>289</v>
      </c>
      <c r="G65" s="856">
        <v>50000</v>
      </c>
    </row>
    <row r="66" spans="1:7" ht="11.25" customHeight="1">
      <c r="A66" s="458" t="s">
        <v>942</v>
      </c>
      <c r="B66" s="501">
        <v>0.3</v>
      </c>
      <c r="C66" s="719" t="s">
        <v>1429</v>
      </c>
      <c r="D66" s="501">
        <v>2775000</v>
      </c>
      <c r="E66" s="720">
        <v>0.3</v>
      </c>
      <c r="F66" s="831" t="s">
        <v>407</v>
      </c>
      <c r="G66" s="856">
        <v>50000</v>
      </c>
    </row>
    <row r="67" spans="1:7" ht="11.25" customHeight="1">
      <c r="A67" s="458" t="s">
        <v>98</v>
      </c>
      <c r="B67" s="501">
        <v>50000</v>
      </c>
      <c r="C67" s="719" t="s">
        <v>406</v>
      </c>
      <c r="D67" s="501">
        <v>338500</v>
      </c>
      <c r="E67" s="720" t="s">
        <v>367</v>
      </c>
      <c r="F67" s="831" t="s">
        <v>367</v>
      </c>
      <c r="G67" s="856">
        <v>50000</v>
      </c>
    </row>
    <row r="68" spans="1:7" ht="11.25" customHeight="1">
      <c r="A68" s="458" t="s">
        <v>943</v>
      </c>
      <c r="B68" s="501">
        <v>10</v>
      </c>
      <c r="C68" s="719" t="s">
        <v>1429</v>
      </c>
      <c r="D68" s="501">
        <v>1400000</v>
      </c>
      <c r="E68" s="720">
        <v>10</v>
      </c>
      <c r="F68" s="831" t="s">
        <v>407</v>
      </c>
      <c r="G68" s="856">
        <v>50000</v>
      </c>
    </row>
    <row r="69" spans="1:7" ht="11.25" customHeight="1">
      <c r="A69" s="458" t="s">
        <v>296</v>
      </c>
      <c r="B69" s="501">
        <v>50000</v>
      </c>
      <c r="C69" s="719" t="s">
        <v>406</v>
      </c>
      <c r="D69" s="501">
        <v>1400000</v>
      </c>
      <c r="E69" s="720" t="s">
        <v>367</v>
      </c>
      <c r="F69" s="831" t="s">
        <v>367</v>
      </c>
      <c r="G69" s="856">
        <v>50000</v>
      </c>
    </row>
    <row r="70" spans="1:7" ht="11.25" customHeight="1">
      <c r="A70" s="458" t="s">
        <v>944</v>
      </c>
      <c r="B70" s="501">
        <v>41</v>
      </c>
      <c r="C70" s="719" t="s">
        <v>1429</v>
      </c>
      <c r="D70" s="501">
        <v>97.5</v>
      </c>
      <c r="E70" s="720">
        <v>41</v>
      </c>
      <c r="F70" s="831" t="s">
        <v>407</v>
      </c>
      <c r="G70" s="856">
        <v>50000</v>
      </c>
    </row>
    <row r="71" spans="1:7" ht="11.25" customHeight="1">
      <c r="A71" s="458" t="s">
        <v>945</v>
      </c>
      <c r="B71" s="501">
        <v>50000</v>
      </c>
      <c r="C71" s="719" t="s">
        <v>406</v>
      </c>
      <c r="D71" s="501">
        <v>540000</v>
      </c>
      <c r="E71" s="720" t="s">
        <v>367</v>
      </c>
      <c r="F71" s="831" t="s">
        <v>367</v>
      </c>
      <c r="G71" s="856">
        <v>50000</v>
      </c>
    </row>
    <row r="72" spans="1:7" ht="11.25" customHeight="1">
      <c r="A72" s="458" t="s">
        <v>947</v>
      </c>
      <c r="B72" s="501">
        <v>400</v>
      </c>
      <c r="C72" s="719" t="s">
        <v>1429</v>
      </c>
      <c r="D72" s="501">
        <v>3935000</v>
      </c>
      <c r="E72" s="720">
        <v>400</v>
      </c>
      <c r="F72" s="831" t="s">
        <v>369</v>
      </c>
      <c r="G72" s="856">
        <v>50000</v>
      </c>
    </row>
    <row r="73" spans="1:7" ht="11.25" customHeight="1">
      <c r="A73" s="458" t="s">
        <v>946</v>
      </c>
      <c r="B73" s="501">
        <v>50000</v>
      </c>
      <c r="C73" s="719" t="s">
        <v>406</v>
      </c>
      <c r="D73" s="501">
        <v>2500000</v>
      </c>
      <c r="E73" s="720" t="s">
        <v>367</v>
      </c>
      <c r="F73" s="831" t="s">
        <v>367</v>
      </c>
      <c r="G73" s="856">
        <v>50000</v>
      </c>
    </row>
    <row r="74" spans="1:7" ht="11.25" customHeight="1">
      <c r="A74" s="462" t="s">
        <v>99</v>
      </c>
      <c r="B74" s="501">
        <v>50000</v>
      </c>
      <c r="C74" s="719" t="s">
        <v>406</v>
      </c>
      <c r="D74" s="501">
        <v>266500</v>
      </c>
      <c r="E74" s="720" t="s">
        <v>367</v>
      </c>
      <c r="F74" s="831" t="s">
        <v>367</v>
      </c>
      <c r="G74" s="856">
        <v>50000</v>
      </c>
    </row>
    <row r="75" spans="1:7" ht="11.25" customHeight="1">
      <c r="A75" s="458" t="s">
        <v>297</v>
      </c>
      <c r="B75" s="501">
        <v>50000</v>
      </c>
      <c r="C75" s="719" t="s">
        <v>406</v>
      </c>
      <c r="D75" s="501">
        <v>1395000</v>
      </c>
      <c r="E75" s="720" t="s">
        <v>367</v>
      </c>
      <c r="F75" s="831" t="s">
        <v>367</v>
      </c>
      <c r="G75" s="856">
        <v>50000</v>
      </c>
    </row>
    <row r="76" spans="1:7" ht="11.25" customHeight="1">
      <c r="A76" s="462" t="s">
        <v>100</v>
      </c>
      <c r="B76" s="501">
        <v>50000</v>
      </c>
      <c r="C76" s="719" t="s">
        <v>406</v>
      </c>
      <c r="D76" s="501">
        <v>100000</v>
      </c>
      <c r="E76" s="720" t="s">
        <v>367</v>
      </c>
      <c r="F76" s="831" t="s">
        <v>367</v>
      </c>
      <c r="G76" s="856">
        <v>50000</v>
      </c>
    </row>
    <row r="77" spans="1:7" ht="11.25" customHeight="1">
      <c r="A77" s="462" t="s">
        <v>101</v>
      </c>
      <c r="B77" s="501">
        <v>50000</v>
      </c>
      <c r="C77" s="719" t="s">
        <v>406</v>
      </c>
      <c r="D77" s="501">
        <v>91000</v>
      </c>
      <c r="E77" s="720" t="s">
        <v>367</v>
      </c>
      <c r="F77" s="831" t="s">
        <v>367</v>
      </c>
      <c r="G77" s="856">
        <v>50000</v>
      </c>
    </row>
    <row r="78" spans="1:7" ht="11.25" customHeight="1">
      <c r="A78" s="458" t="s">
        <v>382</v>
      </c>
      <c r="B78" s="501">
        <v>50000</v>
      </c>
      <c r="C78" s="719" t="s">
        <v>406</v>
      </c>
      <c r="D78" s="501">
        <v>500000000</v>
      </c>
      <c r="E78" s="720">
        <v>230000</v>
      </c>
      <c r="F78" s="831" t="s">
        <v>289</v>
      </c>
      <c r="G78" s="856">
        <v>50000</v>
      </c>
    </row>
    <row r="79" spans="1:7" ht="11.25" customHeight="1">
      <c r="A79" s="458" t="s">
        <v>594</v>
      </c>
      <c r="B79" s="501">
        <v>0.1</v>
      </c>
      <c r="C79" s="719" t="s">
        <v>1430</v>
      </c>
      <c r="D79" s="501">
        <v>0.1</v>
      </c>
      <c r="E79" s="720" t="s">
        <v>367</v>
      </c>
      <c r="F79" s="831" t="s">
        <v>367</v>
      </c>
      <c r="G79" s="856">
        <v>50000</v>
      </c>
    </row>
    <row r="80" spans="1:7" ht="11.25" customHeight="1">
      <c r="A80" s="458" t="s">
        <v>102</v>
      </c>
      <c r="B80" s="501">
        <v>21000</v>
      </c>
      <c r="C80" s="719" t="s">
        <v>1430</v>
      </c>
      <c r="D80" s="501">
        <v>21000</v>
      </c>
      <c r="E80" s="720" t="s">
        <v>367</v>
      </c>
      <c r="F80" s="831" t="s">
        <v>367</v>
      </c>
      <c r="G80" s="856">
        <v>50000</v>
      </c>
    </row>
    <row r="81" spans="1:7" ht="11.25" customHeight="1">
      <c r="A81" s="458" t="s">
        <v>370</v>
      </c>
      <c r="B81" s="501">
        <v>162.5</v>
      </c>
      <c r="C81" s="719" t="s">
        <v>1430</v>
      </c>
      <c r="D81" s="501">
        <v>162.5</v>
      </c>
      <c r="E81" s="720" t="s">
        <v>367</v>
      </c>
      <c r="F81" s="831" t="s">
        <v>367</v>
      </c>
      <c r="G81" s="856">
        <v>50000</v>
      </c>
    </row>
    <row r="82" spans="1:7" ht="11.25" customHeight="1">
      <c r="A82" s="458" t="s">
        <v>337</v>
      </c>
      <c r="B82" s="501">
        <v>41</v>
      </c>
      <c r="C82" s="719" t="s">
        <v>1429</v>
      </c>
      <c r="D82" s="501">
        <v>125</v>
      </c>
      <c r="E82" s="720">
        <v>41</v>
      </c>
      <c r="F82" s="831" t="s">
        <v>407</v>
      </c>
      <c r="G82" s="856">
        <v>50000</v>
      </c>
    </row>
    <row r="83" spans="1:7" ht="11.25" customHeight="1">
      <c r="A83" s="458" t="s">
        <v>28</v>
      </c>
      <c r="B83" s="501">
        <v>50000</v>
      </c>
      <c r="C83" s="719" t="s">
        <v>406</v>
      </c>
      <c r="D83" s="501">
        <v>500000000</v>
      </c>
      <c r="E83" s="720">
        <v>760000</v>
      </c>
      <c r="F83" s="831" t="s">
        <v>289</v>
      </c>
      <c r="G83" s="856">
        <v>50000</v>
      </c>
    </row>
    <row r="84" spans="1:7" ht="11.25" customHeight="1">
      <c r="A84" s="458" t="s">
        <v>338</v>
      </c>
      <c r="B84" s="501">
        <v>30</v>
      </c>
      <c r="C84" s="719" t="s">
        <v>1429</v>
      </c>
      <c r="D84" s="501">
        <v>84500</v>
      </c>
      <c r="E84" s="720">
        <v>30</v>
      </c>
      <c r="F84" s="831" t="s">
        <v>291</v>
      </c>
      <c r="G84" s="856">
        <v>50000</v>
      </c>
    </row>
    <row r="85" spans="1:7" ht="11.25" customHeight="1">
      <c r="A85" s="458" t="s">
        <v>339</v>
      </c>
      <c r="B85" s="501">
        <v>130</v>
      </c>
      <c r="C85" s="719" t="s">
        <v>1430</v>
      </c>
      <c r="D85" s="501">
        <v>130</v>
      </c>
      <c r="E85" s="720" t="s">
        <v>367</v>
      </c>
      <c r="F85" s="831" t="s">
        <v>367</v>
      </c>
      <c r="G85" s="856">
        <v>50000</v>
      </c>
    </row>
    <row r="86" spans="1:7" ht="11.25" customHeight="1">
      <c r="A86" s="458" t="s">
        <v>340</v>
      </c>
      <c r="B86" s="501">
        <v>845</v>
      </c>
      <c r="C86" s="719" t="s">
        <v>1430</v>
      </c>
      <c r="D86" s="501">
        <v>845</v>
      </c>
      <c r="E86" s="720" t="s">
        <v>367</v>
      </c>
      <c r="F86" s="831" t="s">
        <v>367</v>
      </c>
      <c r="G86" s="856">
        <v>50000</v>
      </c>
    </row>
    <row r="87" spans="1:7" ht="11.25" customHeight="1">
      <c r="A87" s="458" t="s">
        <v>103</v>
      </c>
      <c r="B87" s="501">
        <v>50000</v>
      </c>
      <c r="C87" s="719" t="s">
        <v>406</v>
      </c>
      <c r="D87" s="501">
        <v>5250000</v>
      </c>
      <c r="E87" s="720" t="s">
        <v>367</v>
      </c>
      <c r="F87" s="831" t="s">
        <v>367</v>
      </c>
      <c r="G87" s="856">
        <v>50000</v>
      </c>
    </row>
    <row r="88" spans="1:7" ht="11.25" customHeight="1">
      <c r="A88" s="458" t="s">
        <v>341</v>
      </c>
      <c r="B88" s="501">
        <v>20</v>
      </c>
      <c r="C88" s="719" t="s">
        <v>1429</v>
      </c>
      <c r="D88" s="501">
        <v>90</v>
      </c>
      <c r="E88" s="720">
        <v>20</v>
      </c>
      <c r="F88" s="831" t="s">
        <v>407</v>
      </c>
      <c r="G88" s="856">
        <v>50000</v>
      </c>
    </row>
    <row r="89" spans="1:7" ht="11.25" customHeight="1">
      <c r="A89" s="458" t="s">
        <v>342</v>
      </c>
      <c r="B89" s="501">
        <v>100</v>
      </c>
      <c r="C89" s="719" t="s">
        <v>1430</v>
      </c>
      <c r="D89" s="501">
        <v>100</v>
      </c>
      <c r="E89" s="720" t="s">
        <v>367</v>
      </c>
      <c r="F89" s="831" t="s">
        <v>367</v>
      </c>
      <c r="G89" s="856">
        <v>50000</v>
      </c>
    </row>
    <row r="90" spans="1:7" ht="11.25" customHeight="1">
      <c r="A90" s="458" t="s">
        <v>371</v>
      </c>
      <c r="B90" s="501">
        <v>3.1</v>
      </c>
      <c r="C90" s="719" t="s">
        <v>1430</v>
      </c>
      <c r="D90" s="501">
        <v>3.1</v>
      </c>
      <c r="E90" s="720">
        <v>3000</v>
      </c>
      <c r="F90" s="831" t="s">
        <v>407</v>
      </c>
      <c r="G90" s="856">
        <v>50000</v>
      </c>
    </row>
    <row r="91" spans="1:7" ht="11.25" customHeight="1">
      <c r="A91" s="458" t="s">
        <v>343</v>
      </c>
      <c r="B91" s="501">
        <v>6</v>
      </c>
      <c r="C91" s="719" t="s">
        <v>1429</v>
      </c>
      <c r="D91" s="501">
        <v>1600</v>
      </c>
      <c r="E91" s="720">
        <v>6</v>
      </c>
      <c r="F91" s="831" t="s">
        <v>407</v>
      </c>
      <c r="G91" s="856">
        <v>50000</v>
      </c>
    </row>
    <row r="92" spans="1:7" ht="11.25" customHeight="1">
      <c r="A92" s="458" t="s">
        <v>364</v>
      </c>
      <c r="B92" s="501">
        <v>3650</v>
      </c>
      <c r="C92" s="719" t="s">
        <v>1430</v>
      </c>
      <c r="D92" s="501">
        <v>3650</v>
      </c>
      <c r="E92" s="720">
        <v>12000</v>
      </c>
      <c r="F92" s="831" t="s">
        <v>407</v>
      </c>
      <c r="G92" s="856">
        <v>50000</v>
      </c>
    </row>
    <row r="93" spans="1:7" ht="11.25" customHeight="1">
      <c r="A93" s="458" t="s">
        <v>344</v>
      </c>
      <c r="B93" s="501">
        <v>10</v>
      </c>
      <c r="C93" s="719" t="s">
        <v>1429</v>
      </c>
      <c r="D93" s="501">
        <v>25000</v>
      </c>
      <c r="E93" s="720">
        <v>10</v>
      </c>
      <c r="F93" s="831" t="s">
        <v>289</v>
      </c>
      <c r="G93" s="856">
        <v>50000</v>
      </c>
    </row>
    <row r="94" spans="1:7" ht="11.25" customHeight="1">
      <c r="A94" s="458" t="s">
        <v>104</v>
      </c>
      <c r="B94" s="501">
        <v>50000</v>
      </c>
      <c r="C94" s="719" t="s">
        <v>406</v>
      </c>
      <c r="D94" s="501">
        <v>16500000</v>
      </c>
      <c r="E94" s="720" t="s">
        <v>367</v>
      </c>
      <c r="F94" s="831" t="s">
        <v>367</v>
      </c>
      <c r="G94" s="856">
        <v>50000</v>
      </c>
    </row>
    <row r="95" spans="1:7" ht="11.25" customHeight="1">
      <c r="A95" s="458" t="s">
        <v>345</v>
      </c>
      <c r="B95" s="501">
        <v>9.5000000000000001E-2</v>
      </c>
      <c r="C95" s="719" t="s">
        <v>1430</v>
      </c>
      <c r="D95" s="501">
        <v>9.5000000000000001E-2</v>
      </c>
      <c r="E95" s="720" t="s">
        <v>367</v>
      </c>
      <c r="F95" s="831" t="s">
        <v>367</v>
      </c>
      <c r="G95" s="856">
        <v>50000</v>
      </c>
    </row>
    <row r="96" spans="1:7" ht="11.25" customHeight="1">
      <c r="A96" s="458" t="s">
        <v>105</v>
      </c>
      <c r="B96" s="501">
        <v>50000</v>
      </c>
      <c r="C96" s="719" t="s">
        <v>406</v>
      </c>
      <c r="D96" s="501">
        <v>6000000</v>
      </c>
      <c r="E96" s="720" t="s">
        <v>367</v>
      </c>
      <c r="F96" s="831" t="s">
        <v>367</v>
      </c>
      <c r="G96" s="856">
        <v>50000</v>
      </c>
    </row>
    <row r="97" spans="1:7" ht="11.25" customHeight="1">
      <c r="A97" s="458" t="s">
        <v>346</v>
      </c>
      <c r="B97" s="501">
        <v>50000</v>
      </c>
      <c r="C97" s="719" t="s">
        <v>406</v>
      </c>
      <c r="D97" s="501" t="s">
        <v>954</v>
      </c>
      <c r="E97" s="720" t="s">
        <v>367</v>
      </c>
      <c r="F97" s="831" t="s">
        <v>367</v>
      </c>
      <c r="G97" s="856">
        <v>50000</v>
      </c>
    </row>
    <row r="98" spans="1:7" ht="11.25" customHeight="1">
      <c r="A98" s="458" t="s">
        <v>347</v>
      </c>
      <c r="B98" s="501">
        <v>50000</v>
      </c>
      <c r="C98" s="719" t="s">
        <v>406</v>
      </c>
      <c r="D98" s="501">
        <v>34500000</v>
      </c>
      <c r="E98" s="720" t="s">
        <v>367</v>
      </c>
      <c r="F98" s="831" t="s">
        <v>367</v>
      </c>
      <c r="G98" s="856">
        <v>50000</v>
      </c>
    </row>
    <row r="99" spans="1:7" ht="11.25" customHeight="1">
      <c r="A99" s="458" t="s">
        <v>348</v>
      </c>
      <c r="B99" s="501">
        <v>50</v>
      </c>
      <c r="C99" s="719" t="s">
        <v>1430</v>
      </c>
      <c r="D99" s="501">
        <v>50</v>
      </c>
      <c r="E99" s="720">
        <v>4700</v>
      </c>
      <c r="F99" s="831" t="s">
        <v>289</v>
      </c>
      <c r="G99" s="856">
        <v>50000</v>
      </c>
    </row>
    <row r="100" spans="1:7" ht="11.25" customHeight="1">
      <c r="A100" s="458" t="s">
        <v>350</v>
      </c>
      <c r="B100" s="501">
        <v>8400</v>
      </c>
      <c r="C100" s="719" t="s">
        <v>1429</v>
      </c>
      <c r="D100" s="501">
        <v>111500000</v>
      </c>
      <c r="E100" s="720">
        <v>8400</v>
      </c>
      <c r="F100" s="831" t="s">
        <v>289</v>
      </c>
      <c r="G100" s="856">
        <v>50000</v>
      </c>
    </row>
    <row r="101" spans="1:7" ht="11.25" customHeight="1">
      <c r="A101" s="458" t="s">
        <v>351</v>
      </c>
      <c r="B101" s="501">
        <v>1300</v>
      </c>
      <c r="C101" s="719" t="s">
        <v>1429</v>
      </c>
      <c r="D101" s="501">
        <v>9500000</v>
      </c>
      <c r="E101" s="720">
        <v>1300</v>
      </c>
      <c r="F101" s="831" t="s">
        <v>289</v>
      </c>
      <c r="G101" s="856">
        <v>50000</v>
      </c>
    </row>
    <row r="102" spans="1:7" ht="11.25" customHeight="1">
      <c r="A102" s="458" t="s">
        <v>352</v>
      </c>
      <c r="B102" s="501">
        <v>50000</v>
      </c>
      <c r="C102" s="719" t="s">
        <v>406</v>
      </c>
      <c r="D102" s="501" t="s">
        <v>954</v>
      </c>
      <c r="E102" s="720" t="s">
        <v>367</v>
      </c>
      <c r="F102" s="831" t="s">
        <v>367</v>
      </c>
      <c r="G102" s="856">
        <v>50000</v>
      </c>
    </row>
    <row r="103" spans="1:7" ht="11.25" customHeight="1">
      <c r="A103" s="458" t="s">
        <v>353</v>
      </c>
      <c r="B103" s="501">
        <v>5</v>
      </c>
      <c r="C103" s="719" t="s">
        <v>1429</v>
      </c>
      <c r="D103" s="501">
        <v>25500000</v>
      </c>
      <c r="E103" s="720">
        <v>5</v>
      </c>
      <c r="F103" s="831" t="s">
        <v>292</v>
      </c>
      <c r="G103" s="856">
        <v>50000</v>
      </c>
    </row>
    <row r="104" spans="1:7" ht="11.25" customHeight="1">
      <c r="A104" s="458" t="s">
        <v>349</v>
      </c>
      <c r="B104" s="501">
        <v>9100</v>
      </c>
      <c r="C104" s="719" t="s">
        <v>1429</v>
      </c>
      <c r="D104" s="501">
        <v>6500000</v>
      </c>
      <c r="E104" s="720">
        <v>9100</v>
      </c>
      <c r="F104" s="831" t="s">
        <v>407</v>
      </c>
      <c r="G104" s="856">
        <v>50000</v>
      </c>
    </row>
    <row r="105" spans="1:7" ht="11.25" customHeight="1">
      <c r="A105" s="458" t="s">
        <v>590</v>
      </c>
      <c r="B105" s="501">
        <v>10</v>
      </c>
      <c r="C105" s="719" t="s">
        <v>1429</v>
      </c>
      <c r="D105" s="501">
        <v>12900</v>
      </c>
      <c r="E105" s="720">
        <v>10</v>
      </c>
      <c r="F105" s="831" t="s">
        <v>407</v>
      </c>
      <c r="G105" s="856">
        <v>50000</v>
      </c>
    </row>
    <row r="106" spans="1:7" ht="11.25" customHeight="1">
      <c r="A106" s="458" t="s">
        <v>591</v>
      </c>
      <c r="B106" s="501">
        <v>10</v>
      </c>
      <c r="C106" s="719" t="s">
        <v>1429</v>
      </c>
      <c r="D106" s="501">
        <v>12300</v>
      </c>
      <c r="E106" s="720">
        <v>10</v>
      </c>
      <c r="F106" s="831" t="s">
        <v>407</v>
      </c>
      <c r="G106" s="856">
        <v>50000</v>
      </c>
    </row>
    <row r="107" spans="1:7" ht="11.25" customHeight="1">
      <c r="A107" s="458" t="s">
        <v>465</v>
      </c>
      <c r="B107" s="501">
        <v>50000</v>
      </c>
      <c r="C107" s="719" t="s">
        <v>406</v>
      </c>
      <c r="D107" s="501" t="s">
        <v>954</v>
      </c>
      <c r="E107" s="720" t="s">
        <v>367</v>
      </c>
      <c r="F107" s="831" t="s">
        <v>367</v>
      </c>
      <c r="G107" s="856">
        <v>50000</v>
      </c>
    </row>
    <row r="108" spans="1:7" ht="11.25" customHeight="1">
      <c r="A108" s="458" t="s">
        <v>466</v>
      </c>
      <c r="B108" s="501">
        <v>21</v>
      </c>
      <c r="C108" s="719" t="s">
        <v>1429</v>
      </c>
      <c r="D108" s="501">
        <v>15500</v>
      </c>
      <c r="E108" s="720">
        <v>21</v>
      </c>
      <c r="F108" s="831" t="s">
        <v>289</v>
      </c>
      <c r="G108" s="856">
        <v>50000</v>
      </c>
    </row>
    <row r="109" spans="1:7" ht="11.25" customHeight="1">
      <c r="A109" s="458" t="s">
        <v>812</v>
      </c>
      <c r="B109" s="501">
        <v>50000</v>
      </c>
      <c r="C109" s="719" t="s">
        <v>406</v>
      </c>
      <c r="D109" s="501" t="s">
        <v>954</v>
      </c>
      <c r="E109" s="720" t="s">
        <v>367</v>
      </c>
      <c r="F109" s="831" t="s">
        <v>367</v>
      </c>
      <c r="G109" s="856">
        <v>50000</v>
      </c>
    </row>
    <row r="110" spans="1:7" ht="11.25" customHeight="1">
      <c r="A110" s="462" t="s">
        <v>106</v>
      </c>
      <c r="B110" s="501">
        <v>50000</v>
      </c>
      <c r="C110" s="719" t="s">
        <v>406</v>
      </c>
      <c r="D110" s="501">
        <v>1045000</v>
      </c>
      <c r="E110" s="720" t="s">
        <v>367</v>
      </c>
      <c r="F110" s="831" t="s">
        <v>367</v>
      </c>
      <c r="G110" s="856">
        <v>50000</v>
      </c>
    </row>
    <row r="111" spans="1:7" ht="11.25" customHeight="1">
      <c r="A111" s="462" t="s">
        <v>107</v>
      </c>
      <c r="B111" s="501">
        <v>50000</v>
      </c>
      <c r="C111" s="719" t="s">
        <v>406</v>
      </c>
      <c r="D111" s="501">
        <v>690000</v>
      </c>
      <c r="E111" s="720" t="s">
        <v>367</v>
      </c>
      <c r="F111" s="831" t="s">
        <v>367</v>
      </c>
      <c r="G111" s="856">
        <v>50000</v>
      </c>
    </row>
    <row r="112" spans="1:7" ht="11.25" customHeight="1">
      <c r="A112" s="462" t="s">
        <v>108</v>
      </c>
      <c r="B112" s="501">
        <v>50000</v>
      </c>
      <c r="C112" s="719" t="s">
        <v>406</v>
      </c>
      <c r="D112" s="501">
        <v>325000</v>
      </c>
      <c r="E112" s="720" t="s">
        <v>367</v>
      </c>
      <c r="F112" s="831" t="s">
        <v>367</v>
      </c>
      <c r="G112" s="856">
        <v>50000</v>
      </c>
    </row>
    <row r="113" spans="1:7" ht="11.25" customHeight="1">
      <c r="A113" s="462" t="s">
        <v>109</v>
      </c>
      <c r="B113" s="501">
        <v>50000</v>
      </c>
      <c r="C113" s="719" t="s">
        <v>406</v>
      </c>
      <c r="D113" s="501">
        <v>250000</v>
      </c>
      <c r="E113" s="720" t="s">
        <v>367</v>
      </c>
      <c r="F113" s="831" t="s">
        <v>367</v>
      </c>
      <c r="G113" s="856">
        <v>50000</v>
      </c>
    </row>
    <row r="114" spans="1:7" ht="11.25" customHeight="1">
      <c r="A114" s="462" t="s">
        <v>110</v>
      </c>
      <c r="B114" s="501">
        <v>50000</v>
      </c>
      <c r="C114" s="719" t="s">
        <v>406</v>
      </c>
      <c r="D114" s="501">
        <v>221000</v>
      </c>
      <c r="E114" s="720" t="s">
        <v>367</v>
      </c>
      <c r="F114" s="831" t="s">
        <v>367</v>
      </c>
      <c r="G114" s="856">
        <v>50000</v>
      </c>
    </row>
    <row r="115" spans="1:7" ht="11.25" customHeight="1">
      <c r="A115" s="458" t="s">
        <v>467</v>
      </c>
      <c r="B115" s="501">
        <v>30</v>
      </c>
      <c r="C115" s="719" t="s">
        <v>1429</v>
      </c>
      <c r="D115" s="501">
        <v>7000</v>
      </c>
      <c r="E115" s="720">
        <v>30</v>
      </c>
      <c r="F115" s="831" t="s">
        <v>289</v>
      </c>
      <c r="G115" s="856">
        <v>50000</v>
      </c>
    </row>
    <row r="116" spans="1:7" ht="11.25" customHeight="1">
      <c r="A116" s="462" t="s">
        <v>111</v>
      </c>
      <c r="B116" s="501">
        <v>21500</v>
      </c>
      <c r="C116" s="719" t="s">
        <v>1430</v>
      </c>
      <c r="D116" s="501">
        <v>21500</v>
      </c>
      <c r="E116" s="720" t="s">
        <v>367</v>
      </c>
      <c r="F116" s="831" t="s">
        <v>367</v>
      </c>
      <c r="G116" s="856">
        <v>50000</v>
      </c>
    </row>
    <row r="117" spans="1:7" ht="11.25" customHeight="1">
      <c r="A117" s="458" t="s">
        <v>231</v>
      </c>
      <c r="B117" s="501">
        <v>50000</v>
      </c>
      <c r="C117" s="719" t="s">
        <v>406</v>
      </c>
      <c r="D117" s="501">
        <v>122500000</v>
      </c>
      <c r="E117" s="720" t="s">
        <v>367</v>
      </c>
      <c r="F117" s="831" t="s">
        <v>367</v>
      </c>
      <c r="G117" s="856">
        <v>50000</v>
      </c>
    </row>
    <row r="118" spans="1:7" ht="11.25" customHeight="1">
      <c r="A118" s="458" t="s">
        <v>468</v>
      </c>
      <c r="B118" s="501">
        <v>408</v>
      </c>
      <c r="C118" s="719" t="s">
        <v>1430</v>
      </c>
      <c r="D118" s="501">
        <v>408</v>
      </c>
      <c r="E118" s="720">
        <v>1000</v>
      </c>
      <c r="F118" s="831" t="s">
        <v>407</v>
      </c>
      <c r="G118" s="856">
        <v>50000</v>
      </c>
    </row>
    <row r="119" spans="1:7" ht="11.25" customHeight="1">
      <c r="A119" s="458" t="s">
        <v>469</v>
      </c>
      <c r="B119" s="501">
        <v>7900</v>
      </c>
      <c r="C119" s="719" t="s">
        <v>1429</v>
      </c>
      <c r="D119" s="501">
        <v>41400000</v>
      </c>
      <c r="E119" s="720">
        <v>7900</v>
      </c>
      <c r="F119" s="831" t="s">
        <v>289</v>
      </c>
      <c r="G119" s="856">
        <v>50000</v>
      </c>
    </row>
    <row r="120" spans="1:7" ht="11.25" customHeight="1">
      <c r="A120" s="458" t="s">
        <v>365</v>
      </c>
      <c r="B120" s="501">
        <v>21.5</v>
      </c>
      <c r="C120" s="719" t="s">
        <v>1430</v>
      </c>
      <c r="D120" s="501">
        <v>21.5</v>
      </c>
      <c r="E120" s="720" t="s">
        <v>367</v>
      </c>
      <c r="F120" s="831" t="s">
        <v>367</v>
      </c>
      <c r="G120" s="856">
        <v>50000</v>
      </c>
    </row>
    <row r="121" spans="1:7" ht="11.25" customHeight="1">
      <c r="A121" s="458" t="s">
        <v>112</v>
      </c>
      <c r="B121" s="501">
        <v>50000</v>
      </c>
      <c r="C121" s="719" t="s">
        <v>406</v>
      </c>
      <c r="D121" s="501">
        <v>55000</v>
      </c>
      <c r="E121" s="720" t="s">
        <v>367</v>
      </c>
      <c r="F121" s="831" t="s">
        <v>367</v>
      </c>
      <c r="G121" s="856">
        <v>50000</v>
      </c>
    </row>
    <row r="122" spans="1:7" ht="11.25" customHeight="1">
      <c r="A122" s="458" t="s">
        <v>470</v>
      </c>
      <c r="B122" s="501">
        <v>67.5</v>
      </c>
      <c r="C122" s="719" t="s">
        <v>1430</v>
      </c>
      <c r="D122" s="501">
        <v>67.5</v>
      </c>
      <c r="E122" s="720" t="s">
        <v>367</v>
      </c>
      <c r="F122" s="831" t="s">
        <v>367</v>
      </c>
      <c r="G122" s="856">
        <v>50000</v>
      </c>
    </row>
    <row r="123" spans="1:7" ht="11.25" customHeight="1">
      <c r="A123" s="458" t="s">
        <v>471</v>
      </c>
      <c r="B123" s="501">
        <v>50000</v>
      </c>
      <c r="C123" s="719" t="s">
        <v>406</v>
      </c>
      <c r="D123" s="501" t="s">
        <v>954</v>
      </c>
      <c r="E123" s="720" t="s">
        <v>367</v>
      </c>
      <c r="F123" s="831" t="s">
        <v>367</v>
      </c>
      <c r="G123" s="856">
        <v>50000</v>
      </c>
    </row>
    <row r="124" spans="1:7" ht="11.25" customHeight="1">
      <c r="A124" s="458" t="s">
        <v>813</v>
      </c>
      <c r="B124" s="501">
        <v>100</v>
      </c>
      <c r="C124" s="719" t="s">
        <v>1429</v>
      </c>
      <c r="D124" s="501" t="s">
        <v>954</v>
      </c>
      <c r="E124" s="720">
        <v>100</v>
      </c>
      <c r="F124" s="831" t="s">
        <v>292</v>
      </c>
      <c r="G124" s="856">
        <v>50000</v>
      </c>
    </row>
    <row r="125" spans="1:7" ht="11.25" customHeight="1">
      <c r="A125" s="458" t="s">
        <v>113</v>
      </c>
      <c r="B125" s="501">
        <v>3100</v>
      </c>
      <c r="C125" s="719" t="s">
        <v>1430</v>
      </c>
      <c r="D125" s="501">
        <v>3100</v>
      </c>
      <c r="E125" s="720" t="s">
        <v>367</v>
      </c>
      <c r="F125" s="831" t="s">
        <v>367</v>
      </c>
      <c r="G125" s="856">
        <v>50000</v>
      </c>
    </row>
    <row r="126" spans="1:7" ht="11.25" customHeight="1">
      <c r="A126" s="458" t="s">
        <v>472</v>
      </c>
      <c r="B126" s="501">
        <v>10</v>
      </c>
      <c r="C126" s="719" t="s">
        <v>1429</v>
      </c>
      <c r="D126" s="501">
        <v>155000</v>
      </c>
      <c r="E126" s="720">
        <v>10</v>
      </c>
      <c r="F126" s="831" t="s">
        <v>291</v>
      </c>
      <c r="G126" s="856">
        <v>50000</v>
      </c>
    </row>
    <row r="127" spans="1:7" ht="11.25" customHeight="1">
      <c r="A127" s="458" t="s">
        <v>114</v>
      </c>
      <c r="B127" s="501">
        <v>50000</v>
      </c>
      <c r="C127" s="719" t="s">
        <v>406</v>
      </c>
      <c r="D127" s="501">
        <v>355000</v>
      </c>
      <c r="E127" s="720" t="s">
        <v>367</v>
      </c>
      <c r="F127" s="831" t="s">
        <v>367</v>
      </c>
      <c r="G127" s="856">
        <v>50000</v>
      </c>
    </row>
    <row r="128" spans="1:7" ht="11.25" customHeight="1">
      <c r="A128" s="458" t="s">
        <v>19</v>
      </c>
      <c r="B128" s="501">
        <v>50000</v>
      </c>
      <c r="C128" s="719" t="s">
        <v>406</v>
      </c>
      <c r="D128" s="501">
        <v>500000000</v>
      </c>
      <c r="E128" s="720" t="s">
        <v>367</v>
      </c>
      <c r="F128" s="831" t="s">
        <v>367</v>
      </c>
      <c r="G128" s="856">
        <v>50000</v>
      </c>
    </row>
    <row r="129" spans="1:7" ht="11.25" customHeight="1">
      <c r="A129" s="458" t="s">
        <v>473</v>
      </c>
      <c r="B129" s="501">
        <v>50000</v>
      </c>
      <c r="C129" s="719" t="s">
        <v>406</v>
      </c>
      <c r="D129" s="501">
        <v>535000</v>
      </c>
      <c r="E129" s="720" t="s">
        <v>367</v>
      </c>
      <c r="F129" s="831" t="s">
        <v>367</v>
      </c>
      <c r="G129" s="856">
        <v>50000</v>
      </c>
    </row>
    <row r="130" spans="1:7" ht="11.25" customHeight="1">
      <c r="A130" s="458" t="s">
        <v>474</v>
      </c>
      <c r="B130" s="501">
        <v>500</v>
      </c>
      <c r="C130" s="719" t="s">
        <v>1429</v>
      </c>
      <c r="D130" s="501">
        <v>1415000</v>
      </c>
      <c r="E130" s="720">
        <v>500</v>
      </c>
      <c r="F130" s="831" t="s">
        <v>289</v>
      </c>
      <c r="G130" s="856">
        <v>50000</v>
      </c>
    </row>
    <row r="131" spans="1:7" ht="11.25" customHeight="1">
      <c r="A131" s="458" t="s">
        <v>475</v>
      </c>
      <c r="B131" s="501">
        <v>170</v>
      </c>
      <c r="C131" s="719" t="s">
        <v>1429</v>
      </c>
      <c r="D131" s="501">
        <v>103000</v>
      </c>
      <c r="E131" s="720">
        <v>170</v>
      </c>
      <c r="F131" s="831" t="s">
        <v>289</v>
      </c>
      <c r="G131" s="856">
        <v>50000</v>
      </c>
    </row>
    <row r="132" spans="1:7" ht="11.25" customHeight="1">
      <c r="A132" s="458" t="s">
        <v>115</v>
      </c>
      <c r="B132" s="501">
        <v>11500</v>
      </c>
      <c r="C132" s="719" t="s">
        <v>1430</v>
      </c>
      <c r="D132" s="501">
        <v>11500</v>
      </c>
      <c r="E132" s="720" t="s">
        <v>367</v>
      </c>
      <c r="F132" s="831" t="s">
        <v>367</v>
      </c>
      <c r="G132" s="856">
        <v>50000</v>
      </c>
    </row>
    <row r="133" spans="1:7" ht="11.25" customHeight="1">
      <c r="A133" s="462" t="s">
        <v>116</v>
      </c>
      <c r="B133" s="501">
        <v>2500</v>
      </c>
      <c r="C133" s="719" t="s">
        <v>1430</v>
      </c>
      <c r="D133" s="501">
        <v>2500</v>
      </c>
      <c r="E133" s="720" t="s">
        <v>367</v>
      </c>
      <c r="F133" s="831" t="s">
        <v>367</v>
      </c>
      <c r="G133" s="856">
        <v>50000</v>
      </c>
    </row>
    <row r="134" spans="1:7" ht="11.25" customHeight="1">
      <c r="A134" s="458" t="s">
        <v>476</v>
      </c>
      <c r="B134" s="501">
        <v>50000</v>
      </c>
      <c r="C134" s="719" t="s">
        <v>406</v>
      </c>
      <c r="D134" s="501" t="s">
        <v>954</v>
      </c>
      <c r="E134" s="720" t="s">
        <v>367</v>
      </c>
      <c r="F134" s="831" t="s">
        <v>367</v>
      </c>
      <c r="G134" s="856">
        <v>50000</v>
      </c>
    </row>
    <row r="135" spans="1:7" ht="11.25" customHeight="1">
      <c r="A135" s="458" t="s">
        <v>366</v>
      </c>
      <c r="B135" s="501">
        <v>40</v>
      </c>
      <c r="C135" s="719" t="s">
        <v>1429</v>
      </c>
      <c r="D135" s="501">
        <v>263000</v>
      </c>
      <c r="E135" s="720">
        <v>40</v>
      </c>
      <c r="F135" s="831" t="s">
        <v>291</v>
      </c>
      <c r="G135" s="856">
        <v>50000</v>
      </c>
    </row>
    <row r="136" spans="1:7" ht="11.25" customHeight="1">
      <c r="A136" s="458" t="s">
        <v>20</v>
      </c>
      <c r="B136" s="501">
        <v>140</v>
      </c>
      <c r="C136" s="719" t="s">
        <v>1429</v>
      </c>
      <c r="D136" s="501">
        <v>275</v>
      </c>
      <c r="E136" s="720">
        <v>140</v>
      </c>
      <c r="F136" s="831" t="s">
        <v>291</v>
      </c>
      <c r="G136" s="856">
        <v>50000</v>
      </c>
    </row>
    <row r="137" spans="1:7" ht="11.25" customHeight="1">
      <c r="A137" s="458" t="s">
        <v>57</v>
      </c>
      <c r="B137" s="501">
        <v>500</v>
      </c>
      <c r="C137" s="719" t="s">
        <v>1429</v>
      </c>
      <c r="D137" s="501">
        <v>75000</v>
      </c>
      <c r="E137" s="720">
        <v>500</v>
      </c>
      <c r="F137" s="831" t="s">
        <v>1332</v>
      </c>
      <c r="G137" s="856">
        <v>50000</v>
      </c>
    </row>
    <row r="138" spans="1:7" ht="11.25" customHeight="1">
      <c r="A138" s="458" t="s">
        <v>56</v>
      </c>
      <c r="B138" s="501">
        <v>500</v>
      </c>
      <c r="C138" s="719" t="s">
        <v>1429</v>
      </c>
      <c r="D138" s="501">
        <v>25500</v>
      </c>
      <c r="E138" s="720">
        <v>500</v>
      </c>
      <c r="F138" s="831" t="s">
        <v>1332</v>
      </c>
      <c r="G138" s="856">
        <v>50000</v>
      </c>
    </row>
    <row r="139" spans="1:7" ht="11.25" customHeight="1">
      <c r="A139" s="458" t="s">
        <v>777</v>
      </c>
      <c r="B139" s="501">
        <v>500</v>
      </c>
      <c r="C139" s="719" t="s">
        <v>1429</v>
      </c>
      <c r="D139" s="501" t="s">
        <v>954</v>
      </c>
      <c r="E139" s="720">
        <v>500</v>
      </c>
      <c r="F139" s="831" t="s">
        <v>1332</v>
      </c>
      <c r="G139" s="856">
        <v>50000</v>
      </c>
    </row>
    <row r="140" spans="1:7" ht="11.25" customHeight="1">
      <c r="A140" s="458" t="s">
        <v>814</v>
      </c>
      <c r="B140" s="501">
        <v>3000</v>
      </c>
      <c r="C140" s="719" t="s">
        <v>1429</v>
      </c>
      <c r="D140" s="501">
        <v>24500</v>
      </c>
      <c r="E140" s="720">
        <v>3000</v>
      </c>
      <c r="F140" s="831" t="s">
        <v>293</v>
      </c>
      <c r="G140" s="856">
        <v>50000</v>
      </c>
    </row>
    <row r="141" spans="1:7" ht="11.25" customHeight="1">
      <c r="A141" s="458" t="s">
        <v>815</v>
      </c>
      <c r="B141" s="501">
        <v>970</v>
      </c>
      <c r="C141" s="719" t="s">
        <v>1429</v>
      </c>
      <c r="D141" s="501">
        <v>645000</v>
      </c>
      <c r="E141" s="720">
        <v>970</v>
      </c>
      <c r="F141" s="831" t="s">
        <v>289</v>
      </c>
      <c r="G141" s="856">
        <v>50000</v>
      </c>
    </row>
    <row r="142" spans="1:7" ht="11.25" customHeight="1">
      <c r="A142" s="458" t="s">
        <v>477</v>
      </c>
      <c r="B142" s="501">
        <v>50000</v>
      </c>
      <c r="C142" s="719" t="s">
        <v>406</v>
      </c>
      <c r="D142" s="501">
        <v>2295000</v>
      </c>
      <c r="E142" s="720" t="s">
        <v>367</v>
      </c>
      <c r="F142" s="831" t="s">
        <v>367</v>
      </c>
      <c r="G142" s="856">
        <v>50000</v>
      </c>
    </row>
    <row r="143" spans="1:7" ht="11.25" customHeight="1">
      <c r="A143" s="458" t="s">
        <v>478</v>
      </c>
      <c r="B143" s="501">
        <v>310</v>
      </c>
      <c r="C143" s="719" t="s">
        <v>1429</v>
      </c>
      <c r="D143" s="501">
        <v>640000</v>
      </c>
      <c r="E143" s="720">
        <v>310</v>
      </c>
      <c r="F143" s="831" t="s">
        <v>289</v>
      </c>
      <c r="G143" s="856">
        <v>50000</v>
      </c>
    </row>
    <row r="144" spans="1:7" ht="11.25" customHeight="1">
      <c r="A144" s="458" t="s">
        <v>479</v>
      </c>
      <c r="B144" s="501">
        <v>200</v>
      </c>
      <c r="C144" s="719" t="s">
        <v>1429</v>
      </c>
      <c r="D144" s="501">
        <v>600000</v>
      </c>
      <c r="E144" s="720">
        <v>200</v>
      </c>
      <c r="F144" s="831" t="s">
        <v>407</v>
      </c>
      <c r="G144" s="856">
        <v>50000</v>
      </c>
    </row>
    <row r="145" spans="1:7" ht="11.25" customHeight="1">
      <c r="A145" s="458" t="s">
        <v>480</v>
      </c>
      <c r="B145" s="501">
        <v>100</v>
      </c>
      <c r="C145" s="719" t="s">
        <v>1429</v>
      </c>
      <c r="D145" s="501">
        <v>400000</v>
      </c>
      <c r="E145" s="720">
        <v>100</v>
      </c>
      <c r="F145" s="831" t="s">
        <v>407</v>
      </c>
      <c r="G145" s="856">
        <v>50000</v>
      </c>
    </row>
    <row r="146" spans="1:7" ht="11.25" customHeight="1">
      <c r="A146" s="462" t="s">
        <v>117</v>
      </c>
      <c r="B146" s="501">
        <v>50000</v>
      </c>
      <c r="C146" s="719" t="s">
        <v>406</v>
      </c>
      <c r="D146" s="501">
        <v>139000</v>
      </c>
      <c r="E146" s="720" t="s">
        <v>367</v>
      </c>
      <c r="F146" s="831" t="s">
        <v>367</v>
      </c>
      <c r="G146" s="856">
        <v>50000</v>
      </c>
    </row>
    <row r="147" spans="1:7" ht="11.25" customHeight="1">
      <c r="A147" s="458" t="s">
        <v>118</v>
      </c>
      <c r="B147" s="501">
        <v>35500</v>
      </c>
      <c r="C147" s="719" t="s">
        <v>1430</v>
      </c>
      <c r="D147" s="501">
        <v>35500</v>
      </c>
      <c r="E147" s="720" t="s">
        <v>367</v>
      </c>
      <c r="F147" s="831" t="s">
        <v>367</v>
      </c>
      <c r="G147" s="856">
        <v>50000</v>
      </c>
    </row>
    <row r="148" spans="1:7" ht="11.25" customHeight="1">
      <c r="A148" s="458" t="s">
        <v>119</v>
      </c>
      <c r="B148" s="501">
        <v>50000</v>
      </c>
      <c r="C148" s="719" t="s">
        <v>406</v>
      </c>
      <c r="D148" s="501">
        <v>875000</v>
      </c>
      <c r="E148" s="720" t="s">
        <v>367</v>
      </c>
      <c r="F148" s="831" t="s">
        <v>367</v>
      </c>
      <c r="G148" s="856">
        <v>50000</v>
      </c>
    </row>
    <row r="149" spans="1:7" ht="11.25" customHeight="1">
      <c r="A149" s="458" t="s">
        <v>120</v>
      </c>
      <c r="B149" s="501">
        <v>50000</v>
      </c>
      <c r="C149" s="719" t="s">
        <v>406</v>
      </c>
      <c r="D149" s="501">
        <v>167100</v>
      </c>
      <c r="E149" s="720" t="s">
        <v>367</v>
      </c>
      <c r="F149" s="831" t="s">
        <v>367</v>
      </c>
      <c r="G149" s="856">
        <v>50000</v>
      </c>
    </row>
    <row r="150" spans="1:7" ht="11.25" customHeight="1">
      <c r="A150" s="458" t="s">
        <v>602</v>
      </c>
      <c r="B150" s="501">
        <v>90</v>
      </c>
      <c r="C150" s="719" t="s">
        <v>1430</v>
      </c>
      <c r="D150" s="501">
        <v>90</v>
      </c>
      <c r="E150" s="720" t="s">
        <v>367</v>
      </c>
      <c r="F150" s="831" t="s">
        <v>367</v>
      </c>
      <c r="G150" s="856">
        <v>50000</v>
      </c>
    </row>
    <row r="151" spans="1:7" ht="11.25" customHeight="1">
      <c r="A151" s="462" t="s">
        <v>939</v>
      </c>
      <c r="B151" s="501">
        <v>50000</v>
      </c>
      <c r="C151" s="719" t="s">
        <v>406</v>
      </c>
      <c r="D151" s="501">
        <v>139000</v>
      </c>
      <c r="E151" s="720" t="s">
        <v>367</v>
      </c>
      <c r="F151" s="831" t="s">
        <v>367</v>
      </c>
      <c r="G151" s="856">
        <v>50000</v>
      </c>
    </row>
    <row r="152" spans="1:7" ht="11.25" customHeight="1">
      <c r="A152" s="462" t="s">
        <v>603</v>
      </c>
      <c r="B152" s="501">
        <v>37000</v>
      </c>
      <c r="C152" s="719" t="s">
        <v>1430</v>
      </c>
      <c r="D152" s="501">
        <v>37000</v>
      </c>
      <c r="E152" s="720" t="s">
        <v>367</v>
      </c>
      <c r="F152" s="831" t="s">
        <v>367</v>
      </c>
      <c r="G152" s="856">
        <v>50000</v>
      </c>
    </row>
    <row r="153" spans="1:7" ht="11.25" customHeight="1">
      <c r="A153" s="462" t="s">
        <v>605</v>
      </c>
      <c r="B153" s="501">
        <v>50000</v>
      </c>
      <c r="C153" s="719" t="s">
        <v>406</v>
      </c>
      <c r="D153" s="501">
        <v>57500</v>
      </c>
      <c r="E153" s="720" t="s">
        <v>367</v>
      </c>
      <c r="F153" s="831" t="s">
        <v>367</v>
      </c>
      <c r="G153" s="856">
        <v>50000</v>
      </c>
    </row>
    <row r="154" spans="1:7" ht="11.25" customHeight="1">
      <c r="A154" s="458" t="s">
        <v>481</v>
      </c>
      <c r="B154" s="501">
        <v>50000</v>
      </c>
      <c r="C154" s="719" t="s">
        <v>406</v>
      </c>
      <c r="D154" s="501" t="s">
        <v>954</v>
      </c>
      <c r="E154" s="720" t="s">
        <v>367</v>
      </c>
      <c r="F154" s="831" t="s">
        <v>367</v>
      </c>
      <c r="G154" s="856">
        <v>50000</v>
      </c>
    </row>
    <row r="155" spans="1:7" ht="11.25" customHeight="1">
      <c r="A155" s="458" t="s">
        <v>482</v>
      </c>
      <c r="B155" s="501">
        <v>3400</v>
      </c>
      <c r="C155" s="719" t="s">
        <v>1429</v>
      </c>
      <c r="D155" s="501">
        <v>4400000</v>
      </c>
      <c r="E155" s="720">
        <v>3400</v>
      </c>
      <c r="F155" s="831" t="s">
        <v>289</v>
      </c>
      <c r="G155" s="856">
        <v>50000</v>
      </c>
    </row>
    <row r="156" spans="1:7" ht="11.25" customHeight="1">
      <c r="A156" s="458" t="s">
        <v>483</v>
      </c>
      <c r="B156" s="501">
        <v>20</v>
      </c>
      <c r="C156" s="719" t="s">
        <v>1429</v>
      </c>
      <c r="D156" s="501">
        <v>53000</v>
      </c>
      <c r="E156" s="720">
        <v>20</v>
      </c>
      <c r="F156" s="831" t="s">
        <v>291</v>
      </c>
      <c r="G156" s="856">
        <v>50000</v>
      </c>
    </row>
    <row r="157" spans="1:7" ht="11.25" customHeight="1" thickBot="1">
      <c r="A157" s="516" t="s">
        <v>484</v>
      </c>
      <c r="B157" s="501">
        <v>5000</v>
      </c>
      <c r="C157" s="719" t="s">
        <v>1429</v>
      </c>
      <c r="D157" s="627" t="s">
        <v>954</v>
      </c>
      <c r="E157" s="722">
        <v>5000</v>
      </c>
      <c r="F157" s="722" t="s">
        <v>292</v>
      </c>
      <c r="G157" s="856">
        <v>50000</v>
      </c>
    </row>
    <row r="158" spans="1:7" ht="11.25" customHeight="1" thickTop="1">
      <c r="A158" s="470"/>
      <c r="B158" s="472"/>
      <c r="C158" s="708"/>
      <c r="D158" s="472"/>
      <c r="E158" s="472"/>
      <c r="F158" s="472"/>
      <c r="G158" s="473"/>
    </row>
    <row r="159" spans="1:7" ht="11.25" customHeight="1">
      <c r="A159" s="474" t="s">
        <v>696</v>
      </c>
      <c r="G159" s="476"/>
    </row>
    <row r="160" spans="1:7" ht="11.25" customHeight="1">
      <c r="A160" s="479" t="s">
        <v>1053</v>
      </c>
      <c r="G160" s="476"/>
    </row>
    <row r="161" spans="1:7" ht="11.25" customHeight="1">
      <c r="A161" s="479" t="s">
        <v>539</v>
      </c>
      <c r="G161" s="476"/>
    </row>
    <row r="162" spans="1:7" ht="11.25" customHeight="1">
      <c r="A162" s="479" t="s">
        <v>299</v>
      </c>
      <c r="G162" s="476"/>
    </row>
    <row r="163" spans="1:7" ht="11.25" customHeight="1">
      <c r="A163" s="479" t="s">
        <v>190</v>
      </c>
      <c r="G163" s="476"/>
    </row>
    <row r="164" spans="1:7" ht="11.25" customHeight="1">
      <c r="A164" s="474" t="s">
        <v>488</v>
      </c>
      <c r="G164" s="476"/>
    </row>
    <row r="165" spans="1:7" ht="11.25" customHeight="1">
      <c r="A165" s="479" t="s">
        <v>1050</v>
      </c>
      <c r="G165" s="476"/>
    </row>
    <row r="166" spans="1:7" ht="11.25" customHeight="1">
      <c r="A166" s="479" t="s">
        <v>778</v>
      </c>
      <c r="G166" s="476"/>
    </row>
    <row r="167" spans="1:7" ht="11.25" customHeight="1">
      <c r="A167" s="479" t="s">
        <v>83</v>
      </c>
      <c r="G167" s="476"/>
    </row>
    <row r="168" spans="1:7" ht="11.25" customHeight="1" thickBot="1">
      <c r="A168" s="706" t="s">
        <v>1333</v>
      </c>
      <c r="B168" s="663"/>
      <c r="C168" s="579"/>
      <c r="D168" s="663"/>
      <c r="E168" s="663"/>
      <c r="F168" s="663"/>
      <c r="G168" s="664"/>
    </row>
    <row r="169" spans="1:7" ht="10.5" thickTop="1"/>
  </sheetData>
  <sheetProtection algorithmName="SHA-512" hashValue="USqe/Bk4dLY7HbOiujnvAmgnxMFqv+dCAGSMPkEbWUG6KsBywV/8CHbAOaZSFu1Hun6GYBb7fAnTZ2UIerpKjQ==" saltValue="dJqE0ASMHr5/IrPE9AX2TQ==" spinCount="100000" sheet="1" objects="1" scenarios="1"/>
  <phoneticPr fontId="0" type="noConversion"/>
  <printOptions horizontalCentered="1"/>
  <pageMargins left="0.17" right="0.16" top="0.53" bottom="1" header="0.5" footer="0.5"/>
  <pageSetup scale="87" fitToHeight="4" orientation="landscape" r:id="rId1"/>
  <headerFooter alignWithMargins="0">
    <oddFooter>&amp;LHawai'i DOH
Spring 2024&amp;C&amp;8Page &amp;P of &amp;N&amp;R&amp;A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29"/>
    <pageSetUpPr fitToPage="1"/>
  </sheetPr>
  <dimension ref="A1:G172"/>
  <sheetViews>
    <sheetView zoomScaleNormal="100" workbookViewId="0">
      <pane ySplit="2175" topLeftCell="A4" activePane="bottomLeft"/>
      <selection activeCell="B7" sqref="B7"/>
      <selection pane="bottomLeft" activeCell="B7" sqref="B7"/>
    </sheetView>
  </sheetViews>
  <sheetFormatPr defaultColWidth="9.1328125" defaultRowHeight="10.15"/>
  <cols>
    <col min="1" max="1" width="40.73046875" style="1" customWidth="1"/>
    <col min="2" max="2" width="12.59765625" style="475" customWidth="1"/>
    <col min="3" max="3" width="20.73046875" style="609" customWidth="1"/>
    <col min="4" max="5" width="12.59765625" style="475" customWidth="1"/>
    <col min="6" max="6" width="12.86328125" style="475" customWidth="1"/>
    <col min="7" max="7" width="12.59765625" style="475" customWidth="1"/>
    <col min="8" max="16384" width="9.1328125" style="1"/>
  </cols>
  <sheetData>
    <row r="1" spans="1:7" s="510" customFormat="1" ht="46.5" customHeight="1">
      <c r="A1" s="751" t="s">
        <v>188</v>
      </c>
      <c r="B1" s="530"/>
      <c r="C1" s="530"/>
      <c r="D1" s="530"/>
      <c r="E1" s="530"/>
      <c r="F1" s="444"/>
      <c r="G1" s="530"/>
    </row>
    <row r="2" spans="1:7" s="510" customFormat="1" ht="15.95" customHeight="1" thickBot="1">
      <c r="A2" s="694"/>
      <c r="B2" s="530"/>
      <c r="C2" s="695"/>
      <c r="D2" s="530"/>
      <c r="E2" s="530"/>
      <c r="F2" s="444"/>
      <c r="G2" s="530"/>
    </row>
    <row r="3" spans="1:7" s="510" customFormat="1" ht="33.75" customHeight="1" thickTop="1" thickBot="1">
      <c r="A3" s="727" t="s">
        <v>232</v>
      </c>
      <c r="B3" s="728" t="s">
        <v>189</v>
      </c>
      <c r="C3" s="850" t="s">
        <v>485</v>
      </c>
      <c r="D3" s="947" t="s">
        <v>404</v>
      </c>
      <c r="E3" s="948" t="s">
        <v>706</v>
      </c>
      <c r="F3" s="948" t="s">
        <v>485</v>
      </c>
      <c r="G3" s="520" t="s">
        <v>406</v>
      </c>
    </row>
    <row r="4" spans="1:7" s="510" customFormat="1" ht="11.25" customHeight="1">
      <c r="A4" s="454" t="s">
        <v>548</v>
      </c>
      <c r="B4" s="502">
        <v>20</v>
      </c>
      <c r="C4" s="719" t="s">
        <v>1431</v>
      </c>
      <c r="D4" s="497">
        <v>1950</v>
      </c>
      <c r="E4" s="831">
        <v>20</v>
      </c>
      <c r="F4" s="831" t="s">
        <v>407</v>
      </c>
      <c r="G4" s="523">
        <v>50000</v>
      </c>
    </row>
    <row r="5" spans="1:7" s="510" customFormat="1" ht="11.25" customHeight="1">
      <c r="A5" s="458" t="s">
        <v>549</v>
      </c>
      <c r="B5" s="502">
        <v>1965</v>
      </c>
      <c r="C5" s="719" t="s">
        <v>1430</v>
      </c>
      <c r="D5" s="501">
        <v>1965</v>
      </c>
      <c r="E5" s="831" t="s">
        <v>367</v>
      </c>
      <c r="F5" s="831" t="s">
        <v>367</v>
      </c>
      <c r="G5" s="523">
        <v>50000</v>
      </c>
    </row>
    <row r="6" spans="1:7" s="510" customFormat="1" ht="11.25" customHeight="1">
      <c r="A6" s="458" t="s">
        <v>550</v>
      </c>
      <c r="B6" s="502">
        <v>20000</v>
      </c>
      <c r="C6" s="719" t="s">
        <v>1431</v>
      </c>
      <c r="D6" s="501">
        <v>500000000</v>
      </c>
      <c r="E6" s="831">
        <v>20000</v>
      </c>
      <c r="F6" s="831" t="s">
        <v>407</v>
      </c>
      <c r="G6" s="523">
        <v>50000</v>
      </c>
    </row>
    <row r="7" spans="1:7" s="510" customFormat="1" ht="11.25" customHeight="1">
      <c r="A7" s="458" t="s">
        <v>551</v>
      </c>
      <c r="B7" s="502">
        <v>8.5</v>
      </c>
      <c r="C7" s="719" t="s">
        <v>1430</v>
      </c>
      <c r="D7" s="501">
        <v>8.5</v>
      </c>
      <c r="E7" s="831">
        <v>17</v>
      </c>
      <c r="F7" s="831" t="s">
        <v>407</v>
      </c>
      <c r="G7" s="523">
        <v>50000</v>
      </c>
    </row>
    <row r="8" spans="1:7" s="510" customFormat="1" ht="11.25" customHeight="1">
      <c r="A8" s="458" t="s">
        <v>161</v>
      </c>
      <c r="B8" s="502">
        <v>50000</v>
      </c>
      <c r="C8" s="719" t="s">
        <v>406</v>
      </c>
      <c r="D8" s="501">
        <v>104500</v>
      </c>
      <c r="E8" s="831" t="s">
        <v>367</v>
      </c>
      <c r="F8" s="831" t="s">
        <v>367</v>
      </c>
      <c r="G8" s="523">
        <v>50000</v>
      </c>
    </row>
    <row r="9" spans="1:7" s="510" customFormat="1" ht="11.25" customHeight="1">
      <c r="A9" s="462" t="s">
        <v>162</v>
      </c>
      <c r="B9" s="502">
        <v>50000</v>
      </c>
      <c r="C9" s="719" t="s">
        <v>406</v>
      </c>
      <c r="D9" s="501">
        <v>610000</v>
      </c>
      <c r="E9" s="831" t="s">
        <v>367</v>
      </c>
      <c r="F9" s="831" t="s">
        <v>367</v>
      </c>
      <c r="G9" s="523">
        <v>50000</v>
      </c>
    </row>
    <row r="10" spans="1:7" s="510" customFormat="1" ht="11.25" customHeight="1">
      <c r="A10" s="462" t="s">
        <v>94</v>
      </c>
      <c r="B10" s="502">
        <v>50000</v>
      </c>
      <c r="C10" s="719" t="s">
        <v>406</v>
      </c>
      <c r="D10" s="501">
        <v>610000</v>
      </c>
      <c r="E10" s="831" t="s">
        <v>367</v>
      </c>
      <c r="F10" s="831" t="s">
        <v>367</v>
      </c>
      <c r="G10" s="523">
        <v>50000</v>
      </c>
    </row>
    <row r="11" spans="1:7" s="510" customFormat="1" ht="11.25" customHeight="1">
      <c r="A11" s="458" t="s">
        <v>552</v>
      </c>
      <c r="B11" s="502">
        <v>21.5</v>
      </c>
      <c r="C11" s="719" t="s">
        <v>1430</v>
      </c>
      <c r="D11" s="501">
        <v>21.5</v>
      </c>
      <c r="E11" s="831" t="s">
        <v>367</v>
      </c>
      <c r="F11" s="831" t="s">
        <v>367</v>
      </c>
      <c r="G11" s="523">
        <v>50000</v>
      </c>
    </row>
    <row r="12" spans="1:7" s="510" customFormat="1" ht="11.25" customHeight="1">
      <c r="A12" s="458" t="s">
        <v>553</v>
      </c>
      <c r="B12" s="502">
        <v>50000</v>
      </c>
      <c r="C12" s="719" t="s">
        <v>406</v>
      </c>
      <c r="D12" s="501" t="s">
        <v>954</v>
      </c>
      <c r="E12" s="831" t="s">
        <v>367</v>
      </c>
      <c r="F12" s="831" t="s">
        <v>367</v>
      </c>
      <c r="G12" s="523">
        <v>50000</v>
      </c>
    </row>
    <row r="13" spans="1:7" s="510" customFormat="1" ht="11.25" customHeight="1">
      <c r="A13" s="458" t="s">
        <v>686</v>
      </c>
      <c r="B13" s="502">
        <v>50000</v>
      </c>
      <c r="C13" s="719" t="s">
        <v>406</v>
      </c>
      <c r="D13" s="501" t="s">
        <v>954</v>
      </c>
      <c r="E13" s="831" t="s">
        <v>367</v>
      </c>
      <c r="F13" s="831" t="s">
        <v>367</v>
      </c>
      <c r="G13" s="523">
        <v>50000</v>
      </c>
    </row>
    <row r="14" spans="1:7" s="510" customFormat="1" ht="11.25" customHeight="1">
      <c r="A14" s="458" t="s">
        <v>95</v>
      </c>
      <c r="B14" s="502">
        <v>17500</v>
      </c>
      <c r="C14" s="719" t="s">
        <v>1430</v>
      </c>
      <c r="D14" s="501">
        <v>17500</v>
      </c>
      <c r="E14" s="831" t="s">
        <v>367</v>
      </c>
      <c r="F14" s="831" t="s">
        <v>367</v>
      </c>
      <c r="G14" s="523">
        <v>50000</v>
      </c>
    </row>
    <row r="15" spans="1:7" s="510" customFormat="1" ht="11.25" customHeight="1">
      <c r="A15" s="458" t="s">
        <v>687</v>
      </c>
      <c r="B15" s="502">
        <v>50000</v>
      </c>
      <c r="C15" s="719" t="s">
        <v>406</v>
      </c>
      <c r="D15" s="501" t="s">
        <v>954</v>
      </c>
      <c r="E15" s="831" t="s">
        <v>367</v>
      </c>
      <c r="F15" s="831" t="s">
        <v>367</v>
      </c>
      <c r="G15" s="523">
        <v>50000</v>
      </c>
    </row>
    <row r="16" spans="1:7" s="510" customFormat="1" ht="11.25" customHeight="1">
      <c r="A16" s="458" t="s">
        <v>1156</v>
      </c>
      <c r="B16" s="502">
        <v>1900</v>
      </c>
      <c r="C16" s="719" t="s">
        <v>1430</v>
      </c>
      <c r="D16" s="501">
        <v>1900</v>
      </c>
      <c r="E16" s="831" t="s">
        <v>367</v>
      </c>
      <c r="F16" s="831" t="s">
        <v>367</v>
      </c>
      <c r="G16" s="523">
        <v>50000</v>
      </c>
    </row>
    <row r="17" spans="1:7" s="510" customFormat="1" ht="11.25" customHeight="1">
      <c r="A17" s="458" t="s">
        <v>688</v>
      </c>
      <c r="B17" s="502">
        <v>2000</v>
      </c>
      <c r="C17" s="719" t="s">
        <v>1431</v>
      </c>
      <c r="D17" s="501">
        <v>895000</v>
      </c>
      <c r="E17" s="831">
        <v>2000</v>
      </c>
      <c r="F17" s="831" t="s">
        <v>407</v>
      </c>
      <c r="G17" s="523">
        <v>50000</v>
      </c>
    </row>
    <row r="18" spans="1:7" s="510" customFormat="1" ht="11.25" customHeight="1">
      <c r="A18" s="458" t="s">
        <v>689</v>
      </c>
      <c r="B18" s="502">
        <v>4.7</v>
      </c>
      <c r="C18" s="719" t="s">
        <v>1430</v>
      </c>
      <c r="D18" s="501">
        <v>4.7</v>
      </c>
      <c r="E18" s="831" t="s">
        <v>367</v>
      </c>
      <c r="F18" s="831" t="s">
        <v>367</v>
      </c>
      <c r="G18" s="523">
        <v>50000</v>
      </c>
    </row>
    <row r="19" spans="1:7" s="510" customFormat="1" ht="11.25" customHeight="1">
      <c r="A19" s="458" t="s">
        <v>690</v>
      </c>
      <c r="B19" s="502">
        <v>0.8</v>
      </c>
      <c r="C19" s="719" t="s">
        <v>1430</v>
      </c>
      <c r="D19" s="501">
        <v>0.8</v>
      </c>
      <c r="E19" s="831" t="s">
        <v>367</v>
      </c>
      <c r="F19" s="831" t="s">
        <v>367</v>
      </c>
      <c r="G19" s="523">
        <v>50000</v>
      </c>
    </row>
    <row r="20" spans="1:7" s="510" customFormat="1" ht="11.25" customHeight="1">
      <c r="A20" s="458" t="s">
        <v>691</v>
      </c>
      <c r="B20" s="502">
        <v>0.75</v>
      </c>
      <c r="C20" s="719" t="s">
        <v>1430</v>
      </c>
      <c r="D20" s="501">
        <v>0.75</v>
      </c>
      <c r="E20" s="831" t="s">
        <v>367</v>
      </c>
      <c r="F20" s="831" t="s">
        <v>367</v>
      </c>
      <c r="G20" s="523">
        <v>50000</v>
      </c>
    </row>
    <row r="21" spans="1:7" s="510" customFormat="1" ht="11.25" customHeight="1">
      <c r="A21" s="458" t="s">
        <v>692</v>
      </c>
      <c r="B21" s="502">
        <v>0.12999999999999998</v>
      </c>
      <c r="C21" s="719" t="s">
        <v>1430</v>
      </c>
      <c r="D21" s="501">
        <v>0.12999999999999998</v>
      </c>
      <c r="E21" s="831" t="s">
        <v>367</v>
      </c>
      <c r="F21" s="831" t="s">
        <v>367</v>
      </c>
      <c r="G21" s="523">
        <v>50000</v>
      </c>
    </row>
    <row r="22" spans="1:7" s="510" customFormat="1" ht="11.25" customHeight="1">
      <c r="A22" s="458" t="s">
        <v>693</v>
      </c>
      <c r="B22" s="502">
        <v>0.4</v>
      </c>
      <c r="C22" s="719" t="s">
        <v>1430</v>
      </c>
      <c r="D22" s="501">
        <v>0.4</v>
      </c>
      <c r="E22" s="831" t="s">
        <v>367</v>
      </c>
      <c r="F22" s="831" t="s">
        <v>367</v>
      </c>
      <c r="G22" s="523">
        <v>50000</v>
      </c>
    </row>
    <row r="23" spans="1:7" s="510" customFormat="1" ht="11.25" customHeight="1">
      <c r="A23" s="458" t="s">
        <v>126</v>
      </c>
      <c r="B23" s="502">
        <v>50000</v>
      </c>
      <c r="C23" s="719" t="s">
        <v>406</v>
      </c>
      <c r="D23" s="501" t="s">
        <v>954</v>
      </c>
      <c r="E23" s="831" t="s">
        <v>367</v>
      </c>
      <c r="F23" s="831" t="s">
        <v>367</v>
      </c>
      <c r="G23" s="523">
        <v>50000</v>
      </c>
    </row>
    <row r="24" spans="1:7" s="510" customFormat="1" ht="11.25" customHeight="1">
      <c r="A24" s="458" t="s">
        <v>233</v>
      </c>
      <c r="B24" s="502">
        <v>0.5</v>
      </c>
      <c r="C24" s="719" t="s">
        <v>1431</v>
      </c>
      <c r="D24" s="501">
        <v>3740</v>
      </c>
      <c r="E24" s="831">
        <v>0.5</v>
      </c>
      <c r="F24" s="831" t="s">
        <v>289</v>
      </c>
      <c r="G24" s="523">
        <v>50000</v>
      </c>
    </row>
    <row r="25" spans="1:7" s="510" customFormat="1" ht="11.25" customHeight="1">
      <c r="A25" s="458" t="s">
        <v>127</v>
      </c>
      <c r="B25" s="502">
        <v>360</v>
      </c>
      <c r="C25" s="719" t="s">
        <v>1431</v>
      </c>
      <c r="D25" s="501">
        <v>8600000</v>
      </c>
      <c r="E25" s="831">
        <v>360</v>
      </c>
      <c r="F25" s="831" t="s">
        <v>289</v>
      </c>
      <c r="G25" s="523">
        <v>50000</v>
      </c>
    </row>
    <row r="26" spans="1:7" s="510" customFormat="1" ht="11.25" customHeight="1">
      <c r="A26" s="503" t="s">
        <v>1103</v>
      </c>
      <c r="B26" s="502">
        <v>320</v>
      </c>
      <c r="C26" s="719" t="s">
        <v>1431</v>
      </c>
      <c r="D26" s="501">
        <v>850000</v>
      </c>
      <c r="E26" s="831">
        <v>320</v>
      </c>
      <c r="F26" s="831" t="s">
        <v>407</v>
      </c>
      <c r="G26" s="523">
        <v>50000</v>
      </c>
    </row>
    <row r="27" spans="1:7" s="510" customFormat="1" ht="11.25" customHeight="1">
      <c r="A27" s="458" t="s">
        <v>128</v>
      </c>
      <c r="B27" s="502">
        <v>135</v>
      </c>
      <c r="C27" s="719" t="s">
        <v>1430</v>
      </c>
      <c r="D27" s="501">
        <v>135</v>
      </c>
      <c r="E27" s="831" t="s">
        <v>367</v>
      </c>
      <c r="F27" s="831" t="s">
        <v>367</v>
      </c>
      <c r="G27" s="523">
        <v>50000</v>
      </c>
    </row>
    <row r="28" spans="1:7" s="510" customFormat="1" ht="11.25" customHeight="1">
      <c r="A28" s="458" t="s">
        <v>129</v>
      </c>
      <c r="B28" s="502">
        <v>50000</v>
      </c>
      <c r="C28" s="719" t="s">
        <v>406</v>
      </c>
      <c r="D28" s="501" t="s">
        <v>954</v>
      </c>
      <c r="E28" s="831" t="s">
        <v>367</v>
      </c>
      <c r="F28" s="831" t="s">
        <v>367</v>
      </c>
      <c r="G28" s="523">
        <v>50000</v>
      </c>
    </row>
    <row r="29" spans="1:7" s="510" customFormat="1" ht="11.25" customHeight="1">
      <c r="A29" s="458" t="s">
        <v>130</v>
      </c>
      <c r="B29" s="502">
        <v>50000</v>
      </c>
      <c r="C29" s="719" t="s">
        <v>406</v>
      </c>
      <c r="D29" s="501">
        <v>1516000</v>
      </c>
      <c r="E29" s="831" t="s">
        <v>367</v>
      </c>
      <c r="F29" s="831" t="s">
        <v>367</v>
      </c>
      <c r="G29" s="523">
        <v>50000</v>
      </c>
    </row>
    <row r="30" spans="1:7" s="510" customFormat="1" ht="11.25" customHeight="1">
      <c r="A30" s="458" t="s">
        <v>131</v>
      </c>
      <c r="B30" s="502">
        <v>510</v>
      </c>
      <c r="C30" s="719" t="s">
        <v>1431</v>
      </c>
      <c r="D30" s="501">
        <v>1550000</v>
      </c>
      <c r="E30" s="831">
        <v>510</v>
      </c>
      <c r="F30" s="831" t="s">
        <v>407</v>
      </c>
      <c r="G30" s="523">
        <v>50000</v>
      </c>
    </row>
    <row r="31" spans="1:7" s="510" customFormat="1" ht="11.25" customHeight="1">
      <c r="A31" s="458" t="s">
        <v>132</v>
      </c>
      <c r="B31" s="502">
        <v>50000</v>
      </c>
      <c r="C31" s="719" t="s">
        <v>406</v>
      </c>
      <c r="D31" s="501">
        <v>7600000</v>
      </c>
      <c r="E31" s="831" t="s">
        <v>367</v>
      </c>
      <c r="F31" s="831" t="s">
        <v>367</v>
      </c>
      <c r="G31" s="523">
        <v>50000</v>
      </c>
    </row>
    <row r="32" spans="1:7" s="510" customFormat="1" ht="11.25" customHeight="1">
      <c r="A32" s="458" t="s">
        <v>133</v>
      </c>
      <c r="B32" s="502">
        <v>50000</v>
      </c>
      <c r="C32" s="719" t="s">
        <v>406</v>
      </c>
      <c r="D32" s="501" t="s">
        <v>954</v>
      </c>
      <c r="E32" s="831" t="s">
        <v>367</v>
      </c>
      <c r="F32" s="831" t="s">
        <v>367</v>
      </c>
      <c r="G32" s="523">
        <v>50000</v>
      </c>
    </row>
    <row r="33" spans="1:7" s="510" customFormat="1" ht="11.25" customHeight="1">
      <c r="A33" s="458" t="s">
        <v>134</v>
      </c>
      <c r="B33" s="502">
        <v>520</v>
      </c>
      <c r="C33" s="719" t="s">
        <v>1431</v>
      </c>
      <c r="D33" s="501">
        <v>396500</v>
      </c>
      <c r="E33" s="831">
        <v>520</v>
      </c>
      <c r="F33" s="831" t="s">
        <v>407</v>
      </c>
      <c r="G33" s="523">
        <v>50000</v>
      </c>
    </row>
    <row r="34" spans="1:7" s="510" customFormat="1" ht="11.25" customHeight="1">
      <c r="A34" s="458" t="s">
        <v>614</v>
      </c>
      <c r="B34" s="502">
        <v>2.5</v>
      </c>
      <c r="C34" s="719" t="s">
        <v>1431</v>
      </c>
      <c r="D34" s="501">
        <v>28</v>
      </c>
      <c r="E34" s="831">
        <v>2.5</v>
      </c>
      <c r="F34" s="831" t="s">
        <v>407</v>
      </c>
      <c r="G34" s="523">
        <v>50000</v>
      </c>
    </row>
    <row r="35" spans="1:7" s="510" customFormat="1" ht="11.25" customHeight="1">
      <c r="A35" s="458" t="s">
        <v>135</v>
      </c>
      <c r="B35" s="502">
        <v>50000</v>
      </c>
      <c r="C35" s="719" t="s">
        <v>406</v>
      </c>
      <c r="D35" s="501">
        <v>1950000</v>
      </c>
      <c r="E35" s="831" t="s">
        <v>367</v>
      </c>
      <c r="F35" s="831" t="s">
        <v>367</v>
      </c>
      <c r="G35" s="523">
        <v>50000</v>
      </c>
    </row>
    <row r="36" spans="1:7" s="510" customFormat="1" ht="11.25" customHeight="1">
      <c r="A36" s="458" t="s">
        <v>136</v>
      </c>
      <c r="B36" s="502">
        <v>50</v>
      </c>
      <c r="C36" s="719" t="s">
        <v>1431</v>
      </c>
      <c r="D36" s="501">
        <v>249000</v>
      </c>
      <c r="E36" s="831">
        <v>50</v>
      </c>
      <c r="F36" s="831" t="s">
        <v>407</v>
      </c>
      <c r="G36" s="523">
        <v>50000</v>
      </c>
    </row>
    <row r="37" spans="1:7" s="510" customFormat="1" ht="11.25" customHeight="1">
      <c r="A37" s="458" t="s">
        <v>781</v>
      </c>
      <c r="B37" s="502">
        <v>16</v>
      </c>
      <c r="C37" s="719" t="s">
        <v>1431</v>
      </c>
      <c r="D37" s="501">
        <v>3355000</v>
      </c>
      <c r="E37" s="720">
        <v>16</v>
      </c>
      <c r="F37" s="720" t="s">
        <v>289</v>
      </c>
      <c r="G37" s="523">
        <v>50000</v>
      </c>
    </row>
    <row r="38" spans="1:7" ht="11.25" customHeight="1">
      <c r="A38" s="458" t="s">
        <v>137</v>
      </c>
      <c r="B38" s="502">
        <v>2400</v>
      </c>
      <c r="C38" s="719" t="s">
        <v>1431</v>
      </c>
      <c r="D38" s="501">
        <v>3975000</v>
      </c>
      <c r="E38" s="720">
        <v>2400</v>
      </c>
      <c r="F38" s="720" t="s">
        <v>407</v>
      </c>
      <c r="G38" s="523">
        <v>50000</v>
      </c>
    </row>
    <row r="39" spans="1:7" ht="11.25" customHeight="1">
      <c r="A39" s="458" t="s">
        <v>782</v>
      </c>
      <c r="B39" s="502">
        <v>50000</v>
      </c>
      <c r="C39" s="719" t="s">
        <v>406</v>
      </c>
      <c r="D39" s="501">
        <v>2660000</v>
      </c>
      <c r="E39" s="720" t="s">
        <v>367</v>
      </c>
      <c r="F39" s="720" t="s">
        <v>367</v>
      </c>
      <c r="G39" s="523">
        <v>50000</v>
      </c>
    </row>
    <row r="40" spans="1:7" ht="11.25" customHeight="1">
      <c r="A40" s="458" t="s">
        <v>138</v>
      </c>
      <c r="B40" s="502">
        <v>0.18</v>
      </c>
      <c r="C40" s="719" t="s">
        <v>1431</v>
      </c>
      <c r="D40" s="501">
        <v>5650000</v>
      </c>
      <c r="E40" s="720">
        <v>0.18</v>
      </c>
      <c r="F40" s="720" t="s">
        <v>407</v>
      </c>
      <c r="G40" s="523">
        <v>50000</v>
      </c>
    </row>
    <row r="41" spans="1:7" ht="11.25" customHeight="1">
      <c r="A41" s="458" t="s">
        <v>612</v>
      </c>
      <c r="B41" s="502">
        <v>50000</v>
      </c>
      <c r="C41" s="719" t="s">
        <v>406</v>
      </c>
      <c r="D41" s="501" t="s">
        <v>954</v>
      </c>
      <c r="E41" s="720" t="s">
        <v>367</v>
      </c>
      <c r="F41" s="720" t="s">
        <v>367</v>
      </c>
      <c r="G41" s="523">
        <v>50000</v>
      </c>
    </row>
    <row r="42" spans="1:7" ht="11.25" customHeight="1">
      <c r="A42" s="458" t="s">
        <v>779</v>
      </c>
      <c r="B42" s="502">
        <v>50000</v>
      </c>
      <c r="C42" s="719" t="s">
        <v>406</v>
      </c>
      <c r="D42" s="501" t="s">
        <v>954</v>
      </c>
      <c r="E42" s="720" t="s">
        <v>367</v>
      </c>
      <c r="F42" s="720" t="s">
        <v>367</v>
      </c>
      <c r="G42" s="523">
        <v>50000</v>
      </c>
    </row>
    <row r="43" spans="1:7" ht="11.25" customHeight="1">
      <c r="A43" s="458" t="s">
        <v>780</v>
      </c>
      <c r="B43" s="502">
        <v>50000</v>
      </c>
      <c r="C43" s="719" t="s">
        <v>406</v>
      </c>
      <c r="D43" s="501">
        <v>845000000</v>
      </c>
      <c r="E43" s="720" t="s">
        <v>367</v>
      </c>
      <c r="F43" s="720" t="s">
        <v>367</v>
      </c>
      <c r="G43" s="523">
        <v>50000</v>
      </c>
    </row>
    <row r="44" spans="1:7" ht="11.25" customHeight="1">
      <c r="A44" s="458" t="s">
        <v>139</v>
      </c>
      <c r="B44" s="502">
        <v>1</v>
      </c>
      <c r="C44" s="719" t="s">
        <v>1430</v>
      </c>
      <c r="D44" s="501">
        <v>1</v>
      </c>
      <c r="E44" s="720" t="s">
        <v>367</v>
      </c>
      <c r="F44" s="720" t="s">
        <v>367</v>
      </c>
      <c r="G44" s="523">
        <v>50000</v>
      </c>
    </row>
    <row r="45" spans="1:7" ht="11.25" customHeight="1">
      <c r="A45" s="458" t="s">
        <v>140</v>
      </c>
      <c r="B45" s="502">
        <v>50000</v>
      </c>
      <c r="C45" s="719" t="s">
        <v>406</v>
      </c>
      <c r="D45" s="501" t="s">
        <v>954</v>
      </c>
      <c r="E45" s="720" t="s">
        <v>367</v>
      </c>
      <c r="F45" s="831" t="s">
        <v>367</v>
      </c>
      <c r="G45" s="856">
        <v>50000</v>
      </c>
    </row>
    <row r="46" spans="1:7" ht="11.25" customHeight="1">
      <c r="A46" s="458" t="s">
        <v>141</v>
      </c>
      <c r="B46" s="502">
        <v>50000</v>
      </c>
      <c r="C46" s="719" t="s">
        <v>406</v>
      </c>
      <c r="D46" s="501" t="s">
        <v>954</v>
      </c>
      <c r="E46" s="720" t="s">
        <v>367</v>
      </c>
      <c r="F46" s="831" t="s">
        <v>367</v>
      </c>
      <c r="G46" s="856">
        <v>50000</v>
      </c>
    </row>
    <row r="47" spans="1:7" ht="11.25" customHeight="1">
      <c r="A47" s="458" t="s">
        <v>142</v>
      </c>
      <c r="B47" s="502">
        <v>170</v>
      </c>
      <c r="C47" s="719" t="s">
        <v>1431</v>
      </c>
      <c r="D47" s="501">
        <v>47700000</v>
      </c>
      <c r="E47" s="720">
        <v>170</v>
      </c>
      <c r="F47" s="831" t="s">
        <v>407</v>
      </c>
      <c r="G47" s="856">
        <v>50000</v>
      </c>
    </row>
    <row r="48" spans="1:7" ht="11.25" customHeight="1">
      <c r="A48" s="462" t="s">
        <v>96</v>
      </c>
      <c r="B48" s="502">
        <v>29850</v>
      </c>
      <c r="C48" s="719" t="s">
        <v>1430</v>
      </c>
      <c r="D48" s="501">
        <v>29850</v>
      </c>
      <c r="E48" s="720" t="s">
        <v>367</v>
      </c>
      <c r="F48" s="831" t="s">
        <v>367</v>
      </c>
      <c r="G48" s="856">
        <v>50000</v>
      </c>
    </row>
    <row r="49" spans="1:7" ht="11.25" customHeight="1">
      <c r="A49" s="458" t="s">
        <v>97</v>
      </c>
      <c r="B49" s="502">
        <v>50000</v>
      </c>
      <c r="C49" s="719" t="s">
        <v>406</v>
      </c>
      <c r="D49" s="501">
        <v>251000000</v>
      </c>
      <c r="E49" s="720" t="s">
        <v>367</v>
      </c>
      <c r="F49" s="831" t="s">
        <v>367</v>
      </c>
      <c r="G49" s="856">
        <v>50000</v>
      </c>
    </row>
    <row r="50" spans="1:7" ht="11.25" customHeight="1">
      <c r="A50" s="458" t="s">
        <v>143</v>
      </c>
      <c r="B50" s="502">
        <v>1.25</v>
      </c>
      <c r="C50" s="719" t="s">
        <v>1430</v>
      </c>
      <c r="D50" s="501">
        <v>1.25</v>
      </c>
      <c r="E50" s="720" t="s">
        <v>367</v>
      </c>
      <c r="F50" s="831" t="s">
        <v>367</v>
      </c>
      <c r="G50" s="856">
        <v>50000</v>
      </c>
    </row>
    <row r="51" spans="1:7" ht="11.25" customHeight="1">
      <c r="A51" s="458" t="s">
        <v>381</v>
      </c>
      <c r="B51" s="502">
        <v>10</v>
      </c>
      <c r="C51" s="719" t="s">
        <v>1431</v>
      </c>
      <c r="D51" s="501">
        <v>615000</v>
      </c>
      <c r="E51" s="720">
        <v>10</v>
      </c>
      <c r="F51" s="831" t="s">
        <v>289</v>
      </c>
      <c r="G51" s="856">
        <v>50000</v>
      </c>
    </row>
    <row r="52" spans="1:7" ht="11.25" customHeight="1">
      <c r="A52" s="458" t="s">
        <v>144</v>
      </c>
      <c r="B52" s="502">
        <v>50000</v>
      </c>
      <c r="C52" s="719" t="s">
        <v>406</v>
      </c>
      <c r="D52" s="501">
        <v>1350000</v>
      </c>
      <c r="E52" s="720" t="s">
        <v>367</v>
      </c>
      <c r="F52" s="831" t="s">
        <v>367</v>
      </c>
      <c r="G52" s="856">
        <v>50000</v>
      </c>
    </row>
    <row r="53" spans="1:7" ht="11.25" customHeight="1">
      <c r="A53" s="458" t="s">
        <v>487</v>
      </c>
      <c r="B53" s="502">
        <v>50000</v>
      </c>
      <c r="C53" s="719" t="s">
        <v>406</v>
      </c>
      <c r="D53" s="501">
        <v>1955000</v>
      </c>
      <c r="E53" s="720" t="s">
        <v>367</v>
      </c>
      <c r="F53" s="831" t="s">
        <v>367</v>
      </c>
      <c r="G53" s="856">
        <v>50000</v>
      </c>
    </row>
    <row r="54" spans="1:7" ht="11.25" customHeight="1">
      <c r="A54" s="458" t="s">
        <v>145</v>
      </c>
      <c r="B54" s="502">
        <v>10</v>
      </c>
      <c r="C54" s="719" t="s">
        <v>1431</v>
      </c>
      <c r="D54" s="501">
        <v>78000</v>
      </c>
      <c r="E54" s="720">
        <v>10</v>
      </c>
      <c r="F54" s="831" t="s">
        <v>407</v>
      </c>
      <c r="G54" s="856">
        <v>50000</v>
      </c>
    </row>
    <row r="55" spans="1:7" ht="11.25" customHeight="1">
      <c r="A55" s="458" t="s">
        <v>225</v>
      </c>
      <c r="B55" s="502">
        <v>50000</v>
      </c>
      <c r="C55" s="719" t="s">
        <v>406</v>
      </c>
      <c r="D55" s="501">
        <v>78000</v>
      </c>
      <c r="E55" s="720" t="s">
        <v>367</v>
      </c>
      <c r="F55" s="831" t="s">
        <v>367</v>
      </c>
      <c r="G55" s="856">
        <v>50000</v>
      </c>
    </row>
    <row r="56" spans="1:7" ht="11.25" customHeight="1">
      <c r="A56" s="458" t="s">
        <v>226</v>
      </c>
      <c r="B56" s="502">
        <v>11</v>
      </c>
      <c r="C56" s="719" t="s">
        <v>1431</v>
      </c>
      <c r="D56" s="501">
        <v>40650</v>
      </c>
      <c r="E56" s="720">
        <v>11</v>
      </c>
      <c r="F56" s="831" t="s">
        <v>407</v>
      </c>
      <c r="G56" s="856">
        <v>50000</v>
      </c>
    </row>
    <row r="57" spans="1:7" ht="11.25" customHeight="1">
      <c r="A57" s="458" t="s">
        <v>227</v>
      </c>
      <c r="B57" s="502">
        <v>1550</v>
      </c>
      <c r="C57" s="719" t="s">
        <v>1430</v>
      </c>
      <c r="D57" s="501">
        <v>1550</v>
      </c>
      <c r="E57" s="720" t="s">
        <v>367</v>
      </c>
      <c r="F57" s="831" t="s">
        <v>367</v>
      </c>
      <c r="G57" s="856">
        <v>50000</v>
      </c>
    </row>
    <row r="58" spans="1:7" ht="11.25" customHeight="1">
      <c r="A58" s="458" t="s">
        <v>361</v>
      </c>
      <c r="B58" s="502">
        <v>45</v>
      </c>
      <c r="C58" s="719" t="s">
        <v>1430</v>
      </c>
      <c r="D58" s="501">
        <v>45</v>
      </c>
      <c r="E58" s="720" t="s">
        <v>367</v>
      </c>
      <c r="F58" s="831" t="s">
        <v>367</v>
      </c>
      <c r="G58" s="856">
        <v>50000</v>
      </c>
    </row>
    <row r="59" spans="1:7" ht="11.25" customHeight="1">
      <c r="A59" s="458" t="s">
        <v>362</v>
      </c>
      <c r="B59" s="502">
        <v>20</v>
      </c>
      <c r="C59" s="719" t="s">
        <v>1430</v>
      </c>
      <c r="D59" s="501">
        <v>20</v>
      </c>
      <c r="E59" s="720" t="s">
        <v>367</v>
      </c>
      <c r="F59" s="831" t="s">
        <v>367</v>
      </c>
      <c r="G59" s="856">
        <v>50000</v>
      </c>
    </row>
    <row r="60" spans="1:7" ht="11.25" customHeight="1">
      <c r="A60" s="458" t="s">
        <v>363</v>
      </c>
      <c r="B60" s="502">
        <v>2.75</v>
      </c>
      <c r="C60" s="719" t="s">
        <v>1430</v>
      </c>
      <c r="D60" s="501">
        <v>2.75</v>
      </c>
      <c r="E60" s="720">
        <v>350</v>
      </c>
      <c r="F60" s="831" t="s">
        <v>407</v>
      </c>
      <c r="G60" s="856">
        <v>50000</v>
      </c>
    </row>
    <row r="61" spans="1:7" ht="11.25" customHeight="1">
      <c r="A61" s="458" t="s">
        <v>234</v>
      </c>
      <c r="B61" s="502">
        <v>50000</v>
      </c>
      <c r="C61" s="719" t="s">
        <v>406</v>
      </c>
      <c r="D61" s="501">
        <v>2520000</v>
      </c>
      <c r="E61" s="720" t="s">
        <v>367</v>
      </c>
      <c r="F61" s="831" t="s">
        <v>367</v>
      </c>
      <c r="G61" s="856">
        <v>50000</v>
      </c>
    </row>
    <row r="62" spans="1:7" ht="11.25" customHeight="1">
      <c r="A62" s="458" t="s">
        <v>235</v>
      </c>
      <c r="B62" s="502">
        <v>20000</v>
      </c>
      <c r="C62" s="719" t="s">
        <v>1431</v>
      </c>
      <c r="D62" s="501">
        <v>4300000</v>
      </c>
      <c r="E62" s="720">
        <v>20000</v>
      </c>
      <c r="F62" s="831" t="s">
        <v>407</v>
      </c>
      <c r="G62" s="856">
        <v>50000</v>
      </c>
    </row>
    <row r="63" spans="1:7" ht="11.25" customHeight="1">
      <c r="A63" s="458" t="s">
        <v>294</v>
      </c>
      <c r="B63" s="502">
        <v>1500</v>
      </c>
      <c r="C63" s="719" t="s">
        <v>1431</v>
      </c>
      <c r="D63" s="501">
        <v>1210000</v>
      </c>
      <c r="E63" s="720">
        <v>1500</v>
      </c>
      <c r="F63" s="831" t="s">
        <v>289</v>
      </c>
      <c r="G63" s="856">
        <v>50000</v>
      </c>
    </row>
    <row r="64" spans="1:7" ht="11.25" customHeight="1">
      <c r="A64" s="458" t="s">
        <v>295</v>
      </c>
      <c r="B64" s="502">
        <v>50000</v>
      </c>
      <c r="C64" s="719" t="s">
        <v>406</v>
      </c>
      <c r="D64" s="501">
        <v>3205000</v>
      </c>
      <c r="E64" s="720" t="s">
        <v>367</v>
      </c>
      <c r="F64" s="831" t="s">
        <v>367</v>
      </c>
      <c r="G64" s="856">
        <v>50000</v>
      </c>
    </row>
    <row r="65" spans="1:7" ht="11.25" customHeight="1">
      <c r="A65" s="458" t="s">
        <v>228</v>
      </c>
      <c r="B65" s="502">
        <v>260</v>
      </c>
      <c r="C65" s="719" t="s">
        <v>1431</v>
      </c>
      <c r="D65" s="501">
        <v>2260000</v>
      </c>
      <c r="E65" s="720">
        <v>260</v>
      </c>
      <c r="F65" s="831" t="s">
        <v>407</v>
      </c>
      <c r="G65" s="856">
        <v>50000</v>
      </c>
    </row>
    <row r="66" spans="1:7" ht="11.25" customHeight="1">
      <c r="A66" s="458" t="s">
        <v>942</v>
      </c>
      <c r="B66" s="502">
        <v>0.3</v>
      </c>
      <c r="C66" s="719" t="s">
        <v>1431</v>
      </c>
      <c r="D66" s="501">
        <v>2775000</v>
      </c>
      <c r="E66" s="720">
        <v>0.3</v>
      </c>
      <c r="F66" s="831" t="s">
        <v>407</v>
      </c>
      <c r="G66" s="856">
        <v>50000</v>
      </c>
    </row>
    <row r="67" spans="1:7" ht="11.25" customHeight="1">
      <c r="A67" s="458" t="s">
        <v>98</v>
      </c>
      <c r="B67" s="502">
        <v>50000</v>
      </c>
      <c r="C67" s="719" t="s">
        <v>406</v>
      </c>
      <c r="D67" s="501">
        <v>338500</v>
      </c>
      <c r="E67" s="720" t="s">
        <v>367</v>
      </c>
      <c r="F67" s="831" t="s">
        <v>367</v>
      </c>
      <c r="G67" s="856">
        <v>50000</v>
      </c>
    </row>
    <row r="68" spans="1:7" ht="11.25" customHeight="1">
      <c r="A68" s="458" t="s">
        <v>943</v>
      </c>
      <c r="B68" s="502">
        <v>10</v>
      </c>
      <c r="C68" s="719" t="s">
        <v>1431</v>
      </c>
      <c r="D68" s="501">
        <v>1400000</v>
      </c>
      <c r="E68" s="720">
        <v>10</v>
      </c>
      <c r="F68" s="831" t="s">
        <v>407</v>
      </c>
      <c r="G68" s="856">
        <v>50000</v>
      </c>
    </row>
    <row r="69" spans="1:7" ht="11.25" customHeight="1">
      <c r="A69" s="458" t="s">
        <v>296</v>
      </c>
      <c r="B69" s="502">
        <v>50000</v>
      </c>
      <c r="C69" s="719" t="s">
        <v>406</v>
      </c>
      <c r="D69" s="501">
        <v>1400000</v>
      </c>
      <c r="E69" s="720" t="s">
        <v>367</v>
      </c>
      <c r="F69" s="831" t="s">
        <v>367</v>
      </c>
      <c r="G69" s="856">
        <v>50000</v>
      </c>
    </row>
    <row r="70" spans="1:7" ht="11.25" customHeight="1">
      <c r="A70" s="458" t="s">
        <v>944</v>
      </c>
      <c r="B70" s="502">
        <v>41</v>
      </c>
      <c r="C70" s="719" t="s">
        <v>1431</v>
      </c>
      <c r="D70" s="501">
        <v>97.5</v>
      </c>
      <c r="E70" s="720">
        <v>41</v>
      </c>
      <c r="F70" s="831" t="s">
        <v>407</v>
      </c>
      <c r="G70" s="856">
        <v>50000</v>
      </c>
    </row>
    <row r="71" spans="1:7" ht="11.25" customHeight="1">
      <c r="A71" s="458" t="s">
        <v>945</v>
      </c>
      <c r="B71" s="502">
        <v>50000</v>
      </c>
      <c r="C71" s="719" t="s">
        <v>406</v>
      </c>
      <c r="D71" s="501">
        <v>540000</v>
      </c>
      <c r="E71" s="720" t="s">
        <v>367</v>
      </c>
      <c r="F71" s="831" t="s">
        <v>367</v>
      </c>
      <c r="G71" s="856">
        <v>50000</v>
      </c>
    </row>
    <row r="72" spans="1:7" ht="11.25" customHeight="1">
      <c r="A72" s="458" t="s">
        <v>947</v>
      </c>
      <c r="B72" s="502">
        <v>400</v>
      </c>
      <c r="C72" s="719" t="s">
        <v>1431</v>
      </c>
      <c r="D72" s="501">
        <v>3935000</v>
      </c>
      <c r="E72" s="720">
        <v>400</v>
      </c>
      <c r="F72" s="831" t="s">
        <v>407</v>
      </c>
      <c r="G72" s="856">
        <v>50000</v>
      </c>
    </row>
    <row r="73" spans="1:7" ht="11.25" customHeight="1">
      <c r="A73" s="458" t="s">
        <v>946</v>
      </c>
      <c r="B73" s="502">
        <v>50000</v>
      </c>
      <c r="C73" s="719" t="s">
        <v>406</v>
      </c>
      <c r="D73" s="501">
        <v>2500000</v>
      </c>
      <c r="E73" s="720" t="s">
        <v>367</v>
      </c>
      <c r="F73" s="831" t="s">
        <v>367</v>
      </c>
      <c r="G73" s="856">
        <v>50000</v>
      </c>
    </row>
    <row r="74" spans="1:7" ht="11.25" customHeight="1">
      <c r="A74" s="462" t="s">
        <v>99</v>
      </c>
      <c r="B74" s="502">
        <v>50000</v>
      </c>
      <c r="C74" s="719" t="s">
        <v>406</v>
      </c>
      <c r="D74" s="501">
        <v>266500</v>
      </c>
      <c r="E74" s="720" t="s">
        <v>367</v>
      </c>
      <c r="F74" s="831" t="s">
        <v>367</v>
      </c>
      <c r="G74" s="856">
        <v>50000</v>
      </c>
    </row>
    <row r="75" spans="1:7" ht="11.25" customHeight="1">
      <c r="A75" s="458" t="s">
        <v>297</v>
      </c>
      <c r="B75" s="502">
        <v>50000</v>
      </c>
      <c r="C75" s="719" t="s">
        <v>406</v>
      </c>
      <c r="D75" s="501">
        <v>1395000</v>
      </c>
      <c r="E75" s="720" t="s">
        <v>367</v>
      </c>
      <c r="F75" s="831" t="s">
        <v>367</v>
      </c>
      <c r="G75" s="856">
        <v>50000</v>
      </c>
    </row>
    <row r="76" spans="1:7" ht="11.25" customHeight="1">
      <c r="A76" s="462" t="s">
        <v>100</v>
      </c>
      <c r="B76" s="502">
        <v>50000</v>
      </c>
      <c r="C76" s="719" t="s">
        <v>406</v>
      </c>
      <c r="D76" s="501">
        <v>100000</v>
      </c>
      <c r="E76" s="720" t="s">
        <v>367</v>
      </c>
      <c r="F76" s="831" t="s">
        <v>367</v>
      </c>
      <c r="G76" s="856">
        <v>50000</v>
      </c>
    </row>
    <row r="77" spans="1:7" ht="11.25" customHeight="1">
      <c r="A77" s="462" t="s">
        <v>101</v>
      </c>
      <c r="B77" s="502">
        <v>50000</v>
      </c>
      <c r="C77" s="719" t="s">
        <v>406</v>
      </c>
      <c r="D77" s="501">
        <v>91000</v>
      </c>
      <c r="E77" s="720" t="s">
        <v>367</v>
      </c>
      <c r="F77" s="831" t="s">
        <v>367</v>
      </c>
      <c r="G77" s="856">
        <v>50000</v>
      </c>
    </row>
    <row r="78" spans="1:7" ht="11.25" customHeight="1">
      <c r="A78" s="458" t="s">
        <v>382</v>
      </c>
      <c r="B78" s="502">
        <v>50000</v>
      </c>
      <c r="C78" s="719" t="s">
        <v>406</v>
      </c>
      <c r="D78" s="501">
        <v>500000000</v>
      </c>
      <c r="E78" s="720" t="s">
        <v>367</v>
      </c>
      <c r="F78" s="831" t="s">
        <v>367</v>
      </c>
      <c r="G78" s="856">
        <v>50000</v>
      </c>
    </row>
    <row r="79" spans="1:7" ht="11.25" customHeight="1">
      <c r="A79" s="458" t="s">
        <v>594</v>
      </c>
      <c r="B79" s="502">
        <v>0.1</v>
      </c>
      <c r="C79" s="719" t="s">
        <v>1430</v>
      </c>
      <c r="D79" s="501">
        <v>0.1</v>
      </c>
      <c r="E79" s="720" t="s">
        <v>367</v>
      </c>
      <c r="F79" s="831" t="s">
        <v>367</v>
      </c>
      <c r="G79" s="856">
        <v>50000</v>
      </c>
    </row>
    <row r="80" spans="1:7" ht="11.25" customHeight="1">
      <c r="A80" s="458" t="s">
        <v>102</v>
      </c>
      <c r="B80" s="502">
        <v>21000</v>
      </c>
      <c r="C80" s="719" t="s">
        <v>1430</v>
      </c>
      <c r="D80" s="501">
        <v>21000</v>
      </c>
      <c r="E80" s="720" t="s">
        <v>367</v>
      </c>
      <c r="F80" s="831" t="s">
        <v>367</v>
      </c>
      <c r="G80" s="856">
        <v>50000</v>
      </c>
    </row>
    <row r="81" spans="1:7" ht="11.25" customHeight="1">
      <c r="A81" s="458" t="s">
        <v>370</v>
      </c>
      <c r="B81" s="502">
        <v>162.5</v>
      </c>
      <c r="C81" s="719" t="s">
        <v>1430</v>
      </c>
      <c r="D81" s="501">
        <v>162.5</v>
      </c>
      <c r="E81" s="720" t="s">
        <v>367</v>
      </c>
      <c r="F81" s="831" t="s">
        <v>367</v>
      </c>
      <c r="G81" s="856">
        <v>50000</v>
      </c>
    </row>
    <row r="82" spans="1:7" ht="11.25" customHeight="1">
      <c r="A82" s="458" t="s">
        <v>337</v>
      </c>
      <c r="B82" s="502">
        <v>41</v>
      </c>
      <c r="C82" s="719" t="s">
        <v>1431</v>
      </c>
      <c r="D82" s="501">
        <v>125</v>
      </c>
      <c r="E82" s="720">
        <v>41</v>
      </c>
      <c r="F82" s="831" t="s">
        <v>407</v>
      </c>
      <c r="G82" s="856">
        <v>50000</v>
      </c>
    </row>
    <row r="83" spans="1:7" ht="11.25" customHeight="1">
      <c r="A83" s="458" t="s">
        <v>28</v>
      </c>
      <c r="B83" s="502">
        <v>50000</v>
      </c>
      <c r="C83" s="719" t="s">
        <v>406</v>
      </c>
      <c r="D83" s="501">
        <v>500000000</v>
      </c>
      <c r="E83" s="720">
        <v>760000</v>
      </c>
      <c r="F83" s="831" t="s">
        <v>289</v>
      </c>
      <c r="G83" s="856">
        <v>50000</v>
      </c>
    </row>
    <row r="84" spans="1:7" ht="11.25" customHeight="1">
      <c r="A84" s="458" t="s">
        <v>338</v>
      </c>
      <c r="B84" s="502">
        <v>30</v>
      </c>
      <c r="C84" s="719" t="s">
        <v>1431</v>
      </c>
      <c r="D84" s="501">
        <v>84500</v>
      </c>
      <c r="E84" s="720">
        <v>30</v>
      </c>
      <c r="F84" s="831" t="s">
        <v>291</v>
      </c>
      <c r="G84" s="856">
        <v>50000</v>
      </c>
    </row>
    <row r="85" spans="1:7" ht="11.25" customHeight="1">
      <c r="A85" s="458" t="s">
        <v>339</v>
      </c>
      <c r="B85" s="502">
        <v>130</v>
      </c>
      <c r="C85" s="719" t="s">
        <v>1430</v>
      </c>
      <c r="D85" s="501">
        <v>130</v>
      </c>
      <c r="E85" s="720" t="s">
        <v>367</v>
      </c>
      <c r="F85" s="831" t="s">
        <v>367</v>
      </c>
      <c r="G85" s="856">
        <v>50000</v>
      </c>
    </row>
    <row r="86" spans="1:7" ht="11.25" customHeight="1">
      <c r="A86" s="458" t="s">
        <v>340</v>
      </c>
      <c r="B86" s="502">
        <v>845</v>
      </c>
      <c r="C86" s="719" t="s">
        <v>1430</v>
      </c>
      <c r="D86" s="501">
        <v>845</v>
      </c>
      <c r="E86" s="720" t="s">
        <v>367</v>
      </c>
      <c r="F86" s="831" t="s">
        <v>367</v>
      </c>
      <c r="G86" s="856">
        <v>50000</v>
      </c>
    </row>
    <row r="87" spans="1:7" ht="11.25" customHeight="1">
      <c r="A87" s="458" t="s">
        <v>103</v>
      </c>
      <c r="B87" s="502">
        <v>50000</v>
      </c>
      <c r="C87" s="719" t="s">
        <v>406</v>
      </c>
      <c r="D87" s="501">
        <v>5250000</v>
      </c>
      <c r="E87" s="720" t="s">
        <v>367</v>
      </c>
      <c r="F87" s="831" t="s">
        <v>367</v>
      </c>
      <c r="G87" s="856">
        <v>50000</v>
      </c>
    </row>
    <row r="88" spans="1:7" ht="11.25" customHeight="1">
      <c r="A88" s="458" t="s">
        <v>341</v>
      </c>
      <c r="B88" s="502">
        <v>20</v>
      </c>
      <c r="C88" s="719" t="s">
        <v>1431</v>
      </c>
      <c r="D88" s="501">
        <v>90</v>
      </c>
      <c r="E88" s="720">
        <v>20</v>
      </c>
      <c r="F88" s="831" t="s">
        <v>407</v>
      </c>
      <c r="G88" s="856">
        <v>50000</v>
      </c>
    </row>
    <row r="89" spans="1:7" ht="11.25" customHeight="1">
      <c r="A89" s="458" t="s">
        <v>342</v>
      </c>
      <c r="B89" s="502">
        <v>100</v>
      </c>
      <c r="C89" s="719" t="s">
        <v>1430</v>
      </c>
      <c r="D89" s="501">
        <v>100</v>
      </c>
      <c r="E89" s="720" t="s">
        <v>367</v>
      </c>
      <c r="F89" s="831" t="s">
        <v>367</v>
      </c>
      <c r="G89" s="856">
        <v>50000</v>
      </c>
    </row>
    <row r="90" spans="1:7" ht="11.25" customHeight="1">
      <c r="A90" s="458" t="s">
        <v>371</v>
      </c>
      <c r="B90" s="502">
        <v>3.1</v>
      </c>
      <c r="C90" s="719" t="s">
        <v>1430</v>
      </c>
      <c r="D90" s="501">
        <v>3.1</v>
      </c>
      <c r="E90" s="720">
        <v>3000</v>
      </c>
      <c r="F90" s="831" t="s">
        <v>407</v>
      </c>
      <c r="G90" s="856">
        <v>50000</v>
      </c>
    </row>
    <row r="91" spans="1:7" ht="11.25" customHeight="1">
      <c r="A91" s="458" t="s">
        <v>343</v>
      </c>
      <c r="B91" s="502">
        <v>6</v>
      </c>
      <c r="C91" s="719" t="s">
        <v>1431</v>
      </c>
      <c r="D91" s="501">
        <v>1600</v>
      </c>
      <c r="E91" s="720">
        <v>6</v>
      </c>
      <c r="F91" s="831" t="s">
        <v>407</v>
      </c>
      <c r="G91" s="856">
        <v>50000</v>
      </c>
    </row>
    <row r="92" spans="1:7" ht="11.25" customHeight="1">
      <c r="A92" s="458" t="s">
        <v>364</v>
      </c>
      <c r="B92" s="502">
        <v>3650</v>
      </c>
      <c r="C92" s="719" t="s">
        <v>1430</v>
      </c>
      <c r="D92" s="501">
        <v>3650</v>
      </c>
      <c r="E92" s="720">
        <v>12000</v>
      </c>
      <c r="F92" s="831" t="s">
        <v>407</v>
      </c>
      <c r="G92" s="856">
        <v>50000</v>
      </c>
    </row>
    <row r="93" spans="1:7" ht="11.25" customHeight="1">
      <c r="A93" s="458" t="s">
        <v>344</v>
      </c>
      <c r="B93" s="502">
        <v>10</v>
      </c>
      <c r="C93" s="719" t="s">
        <v>1431</v>
      </c>
      <c r="D93" s="501">
        <v>25000</v>
      </c>
      <c r="E93" s="720">
        <v>10</v>
      </c>
      <c r="F93" s="831" t="s">
        <v>407</v>
      </c>
      <c r="G93" s="856">
        <v>50000</v>
      </c>
    </row>
    <row r="94" spans="1:7" ht="11.25" customHeight="1">
      <c r="A94" s="458" t="s">
        <v>104</v>
      </c>
      <c r="B94" s="502">
        <v>50000</v>
      </c>
      <c r="C94" s="719" t="s">
        <v>406</v>
      </c>
      <c r="D94" s="501">
        <v>16500000</v>
      </c>
      <c r="E94" s="720" t="s">
        <v>367</v>
      </c>
      <c r="F94" s="831" t="s">
        <v>367</v>
      </c>
      <c r="G94" s="856">
        <v>50000</v>
      </c>
    </row>
    <row r="95" spans="1:7" ht="11.25" customHeight="1">
      <c r="A95" s="458" t="s">
        <v>345</v>
      </c>
      <c r="B95" s="502">
        <v>9.5000000000000001E-2</v>
      </c>
      <c r="C95" s="719" t="s">
        <v>1430</v>
      </c>
      <c r="D95" s="501">
        <v>9.5000000000000001E-2</v>
      </c>
      <c r="E95" s="720" t="s">
        <v>367</v>
      </c>
      <c r="F95" s="831" t="s">
        <v>367</v>
      </c>
      <c r="G95" s="856">
        <v>50000</v>
      </c>
    </row>
    <row r="96" spans="1:7" ht="11.25" customHeight="1">
      <c r="A96" s="458" t="s">
        <v>105</v>
      </c>
      <c r="B96" s="502">
        <v>50000</v>
      </c>
      <c r="C96" s="719" t="s">
        <v>406</v>
      </c>
      <c r="D96" s="501">
        <v>6000000</v>
      </c>
      <c r="E96" s="720" t="s">
        <v>367</v>
      </c>
      <c r="F96" s="831" t="s">
        <v>367</v>
      </c>
      <c r="G96" s="856">
        <v>50000</v>
      </c>
    </row>
    <row r="97" spans="1:7" ht="11.25" customHeight="1">
      <c r="A97" s="458" t="s">
        <v>346</v>
      </c>
      <c r="B97" s="502">
        <v>50000</v>
      </c>
      <c r="C97" s="719" t="s">
        <v>406</v>
      </c>
      <c r="D97" s="501" t="s">
        <v>954</v>
      </c>
      <c r="E97" s="720" t="s">
        <v>367</v>
      </c>
      <c r="F97" s="831" t="s">
        <v>367</v>
      </c>
      <c r="G97" s="856">
        <v>50000</v>
      </c>
    </row>
    <row r="98" spans="1:7" ht="11.25" customHeight="1">
      <c r="A98" s="458" t="s">
        <v>347</v>
      </c>
      <c r="B98" s="502">
        <v>50000</v>
      </c>
      <c r="C98" s="719" t="s">
        <v>406</v>
      </c>
      <c r="D98" s="501">
        <v>34500000</v>
      </c>
      <c r="E98" s="720" t="s">
        <v>367</v>
      </c>
      <c r="F98" s="831" t="s">
        <v>367</v>
      </c>
      <c r="G98" s="856">
        <v>50000</v>
      </c>
    </row>
    <row r="99" spans="1:7" ht="11.25" customHeight="1">
      <c r="A99" s="458" t="s">
        <v>348</v>
      </c>
      <c r="B99" s="502">
        <v>50</v>
      </c>
      <c r="C99" s="719" t="s">
        <v>1430</v>
      </c>
      <c r="D99" s="501">
        <v>50</v>
      </c>
      <c r="E99" s="720">
        <v>4700</v>
      </c>
      <c r="F99" s="831" t="s">
        <v>407</v>
      </c>
      <c r="G99" s="856">
        <v>50000</v>
      </c>
    </row>
    <row r="100" spans="1:7" ht="11.25" customHeight="1">
      <c r="A100" s="458" t="s">
        <v>350</v>
      </c>
      <c r="B100" s="502">
        <v>8400</v>
      </c>
      <c r="C100" s="719" t="s">
        <v>1431</v>
      </c>
      <c r="D100" s="501">
        <v>111500000</v>
      </c>
      <c r="E100" s="720">
        <v>8400</v>
      </c>
      <c r="F100" s="831" t="s">
        <v>289</v>
      </c>
      <c r="G100" s="856">
        <v>50000</v>
      </c>
    </row>
    <row r="101" spans="1:7" ht="11.25" customHeight="1">
      <c r="A101" s="458" t="s">
        <v>351</v>
      </c>
      <c r="B101" s="502">
        <v>1300</v>
      </c>
      <c r="C101" s="719" t="s">
        <v>1431</v>
      </c>
      <c r="D101" s="501">
        <v>9500000</v>
      </c>
      <c r="E101" s="720">
        <v>1300</v>
      </c>
      <c r="F101" s="831" t="s">
        <v>289</v>
      </c>
      <c r="G101" s="856">
        <v>50000</v>
      </c>
    </row>
    <row r="102" spans="1:7" ht="11.25" customHeight="1">
      <c r="A102" s="458" t="s">
        <v>352</v>
      </c>
      <c r="B102" s="502">
        <v>50000</v>
      </c>
      <c r="C102" s="719" t="s">
        <v>406</v>
      </c>
      <c r="D102" s="501" t="s">
        <v>954</v>
      </c>
      <c r="E102" s="720" t="s">
        <v>367</v>
      </c>
      <c r="F102" s="831" t="s">
        <v>367</v>
      </c>
      <c r="G102" s="856">
        <v>50000</v>
      </c>
    </row>
    <row r="103" spans="1:7" ht="11.25" customHeight="1">
      <c r="A103" s="458" t="s">
        <v>353</v>
      </c>
      <c r="B103" s="502">
        <v>180</v>
      </c>
      <c r="C103" s="719" t="s">
        <v>1431</v>
      </c>
      <c r="D103" s="501">
        <v>25500000</v>
      </c>
      <c r="E103" s="720">
        <v>180</v>
      </c>
      <c r="F103" s="831" t="s">
        <v>707</v>
      </c>
      <c r="G103" s="856">
        <v>50000</v>
      </c>
    </row>
    <row r="104" spans="1:7" ht="11.25" customHeight="1">
      <c r="A104" s="458" t="s">
        <v>349</v>
      </c>
      <c r="B104" s="502">
        <v>9100</v>
      </c>
      <c r="C104" s="719" t="s">
        <v>1431</v>
      </c>
      <c r="D104" s="501">
        <v>6500000</v>
      </c>
      <c r="E104" s="720">
        <v>9100</v>
      </c>
      <c r="F104" s="831" t="s">
        <v>407</v>
      </c>
      <c r="G104" s="856">
        <v>50000</v>
      </c>
    </row>
    <row r="105" spans="1:7" ht="11.25" customHeight="1">
      <c r="A105" s="458" t="s">
        <v>590</v>
      </c>
      <c r="B105" s="502">
        <v>10</v>
      </c>
      <c r="C105" s="719" t="s">
        <v>1431</v>
      </c>
      <c r="D105" s="501">
        <v>12900</v>
      </c>
      <c r="E105" s="720">
        <v>10</v>
      </c>
      <c r="F105" s="831" t="s">
        <v>407</v>
      </c>
      <c r="G105" s="856">
        <v>50000</v>
      </c>
    </row>
    <row r="106" spans="1:7" ht="11.25" customHeight="1">
      <c r="A106" s="458" t="s">
        <v>591</v>
      </c>
      <c r="B106" s="502">
        <v>10</v>
      </c>
      <c r="C106" s="719" t="s">
        <v>1431</v>
      </c>
      <c r="D106" s="501">
        <v>12300</v>
      </c>
      <c r="E106" s="720">
        <v>10</v>
      </c>
      <c r="F106" s="831" t="s">
        <v>407</v>
      </c>
      <c r="G106" s="856">
        <v>50000</v>
      </c>
    </row>
    <row r="107" spans="1:7" ht="11.25" customHeight="1">
      <c r="A107" s="458" t="s">
        <v>465</v>
      </c>
      <c r="B107" s="502">
        <v>50000</v>
      </c>
      <c r="C107" s="719" t="s">
        <v>406</v>
      </c>
      <c r="D107" s="501" t="s">
        <v>954</v>
      </c>
      <c r="E107" s="720" t="s">
        <v>367</v>
      </c>
      <c r="F107" s="831" t="s">
        <v>367</v>
      </c>
      <c r="G107" s="856">
        <v>50000</v>
      </c>
    </row>
    <row r="108" spans="1:7" ht="11.25" customHeight="1">
      <c r="A108" s="458" t="s">
        <v>466</v>
      </c>
      <c r="B108" s="502">
        <v>21</v>
      </c>
      <c r="C108" s="719" t="s">
        <v>1431</v>
      </c>
      <c r="D108" s="501">
        <v>15500</v>
      </c>
      <c r="E108" s="720">
        <v>21</v>
      </c>
      <c r="F108" s="831" t="s">
        <v>407</v>
      </c>
      <c r="G108" s="856">
        <v>50000</v>
      </c>
    </row>
    <row r="109" spans="1:7" ht="11.25" customHeight="1">
      <c r="A109" s="458" t="s">
        <v>812</v>
      </c>
      <c r="B109" s="502">
        <v>50000</v>
      </c>
      <c r="C109" s="719" t="s">
        <v>406</v>
      </c>
      <c r="D109" s="501" t="s">
        <v>954</v>
      </c>
      <c r="E109" s="720" t="s">
        <v>367</v>
      </c>
      <c r="F109" s="831" t="s">
        <v>367</v>
      </c>
      <c r="G109" s="856">
        <v>50000</v>
      </c>
    </row>
    <row r="110" spans="1:7" ht="11.25" customHeight="1">
      <c r="A110" s="462" t="s">
        <v>106</v>
      </c>
      <c r="B110" s="502">
        <v>50000</v>
      </c>
      <c r="C110" s="719" t="s">
        <v>406</v>
      </c>
      <c r="D110" s="501">
        <v>1045000</v>
      </c>
      <c r="E110" s="720" t="s">
        <v>367</v>
      </c>
      <c r="F110" s="831" t="s">
        <v>367</v>
      </c>
      <c r="G110" s="856">
        <v>50000</v>
      </c>
    </row>
    <row r="111" spans="1:7" ht="11.25" customHeight="1">
      <c r="A111" s="462" t="s">
        <v>107</v>
      </c>
      <c r="B111" s="502">
        <v>50000</v>
      </c>
      <c r="C111" s="719" t="s">
        <v>406</v>
      </c>
      <c r="D111" s="501">
        <v>690000</v>
      </c>
      <c r="E111" s="720" t="s">
        <v>367</v>
      </c>
      <c r="F111" s="831" t="s">
        <v>367</v>
      </c>
      <c r="G111" s="856">
        <v>50000</v>
      </c>
    </row>
    <row r="112" spans="1:7" ht="11.25" customHeight="1">
      <c r="A112" s="462" t="s">
        <v>108</v>
      </c>
      <c r="B112" s="502">
        <v>50000</v>
      </c>
      <c r="C112" s="719" t="s">
        <v>406</v>
      </c>
      <c r="D112" s="501">
        <v>325000</v>
      </c>
      <c r="E112" s="720" t="s">
        <v>367</v>
      </c>
      <c r="F112" s="831" t="s">
        <v>367</v>
      </c>
      <c r="G112" s="856">
        <v>50000</v>
      </c>
    </row>
    <row r="113" spans="1:7" ht="11.25" customHeight="1">
      <c r="A113" s="462" t="s">
        <v>109</v>
      </c>
      <c r="B113" s="502">
        <v>50000</v>
      </c>
      <c r="C113" s="719" t="s">
        <v>406</v>
      </c>
      <c r="D113" s="501">
        <v>250000</v>
      </c>
      <c r="E113" s="720" t="s">
        <v>367</v>
      </c>
      <c r="F113" s="831" t="s">
        <v>367</v>
      </c>
      <c r="G113" s="856">
        <v>50000</v>
      </c>
    </row>
    <row r="114" spans="1:7" ht="11.25" customHeight="1">
      <c r="A114" s="462" t="s">
        <v>110</v>
      </c>
      <c r="B114" s="502">
        <v>50000</v>
      </c>
      <c r="C114" s="719" t="s">
        <v>406</v>
      </c>
      <c r="D114" s="501">
        <v>221000</v>
      </c>
      <c r="E114" s="720" t="s">
        <v>367</v>
      </c>
      <c r="F114" s="831" t="s">
        <v>367</v>
      </c>
      <c r="G114" s="856">
        <v>50000</v>
      </c>
    </row>
    <row r="115" spans="1:7" ht="11.25" customHeight="1">
      <c r="A115" s="458" t="s">
        <v>467</v>
      </c>
      <c r="B115" s="502">
        <v>590</v>
      </c>
      <c r="C115" s="719" t="s">
        <v>1431</v>
      </c>
      <c r="D115" s="501">
        <v>7000</v>
      </c>
      <c r="E115" s="720">
        <v>590</v>
      </c>
      <c r="F115" s="831" t="s">
        <v>407</v>
      </c>
      <c r="G115" s="856">
        <v>50000</v>
      </c>
    </row>
    <row r="116" spans="1:7" ht="11.25" customHeight="1">
      <c r="A116" s="462" t="s">
        <v>111</v>
      </c>
      <c r="B116" s="502">
        <v>21500</v>
      </c>
      <c r="C116" s="719" t="s">
        <v>1430</v>
      </c>
      <c r="D116" s="501">
        <v>21500</v>
      </c>
      <c r="E116" s="720" t="s">
        <v>367</v>
      </c>
      <c r="F116" s="831" t="s">
        <v>367</v>
      </c>
      <c r="G116" s="856">
        <v>50000</v>
      </c>
    </row>
    <row r="117" spans="1:7" ht="11.25" customHeight="1">
      <c r="A117" s="458" t="s">
        <v>231</v>
      </c>
      <c r="B117" s="502">
        <v>50000</v>
      </c>
      <c r="C117" s="719" t="s">
        <v>406</v>
      </c>
      <c r="D117" s="501">
        <v>122500000</v>
      </c>
      <c r="E117" s="720" t="s">
        <v>367</v>
      </c>
      <c r="F117" s="831" t="s">
        <v>367</v>
      </c>
      <c r="G117" s="856">
        <v>50000</v>
      </c>
    </row>
    <row r="118" spans="1:7" ht="11.25" customHeight="1">
      <c r="A118" s="458" t="s">
        <v>468</v>
      </c>
      <c r="B118" s="502">
        <v>408</v>
      </c>
      <c r="C118" s="719" t="s">
        <v>1430</v>
      </c>
      <c r="D118" s="501">
        <v>408</v>
      </c>
      <c r="E118" s="720">
        <v>1000</v>
      </c>
      <c r="F118" s="831" t="s">
        <v>407</v>
      </c>
      <c r="G118" s="856">
        <v>50000</v>
      </c>
    </row>
    <row r="119" spans="1:7" ht="11.25" customHeight="1">
      <c r="A119" s="458" t="s">
        <v>469</v>
      </c>
      <c r="B119" s="502">
        <v>7900</v>
      </c>
      <c r="C119" s="719" t="s">
        <v>1431</v>
      </c>
      <c r="D119" s="501">
        <v>41400000</v>
      </c>
      <c r="E119" s="720">
        <v>7900</v>
      </c>
      <c r="F119" s="831" t="s">
        <v>289</v>
      </c>
      <c r="G119" s="856">
        <v>50000</v>
      </c>
    </row>
    <row r="120" spans="1:7" ht="11.25" customHeight="1">
      <c r="A120" s="458" t="s">
        <v>365</v>
      </c>
      <c r="B120" s="502">
        <v>21.5</v>
      </c>
      <c r="C120" s="719" t="s">
        <v>1430</v>
      </c>
      <c r="D120" s="501">
        <v>21.5</v>
      </c>
      <c r="E120" s="720" t="s">
        <v>367</v>
      </c>
      <c r="F120" s="831" t="s">
        <v>367</v>
      </c>
      <c r="G120" s="856">
        <v>50000</v>
      </c>
    </row>
    <row r="121" spans="1:7" ht="11.25" customHeight="1">
      <c r="A121" s="458" t="s">
        <v>112</v>
      </c>
      <c r="B121" s="502">
        <v>50000</v>
      </c>
      <c r="C121" s="719" t="s">
        <v>406</v>
      </c>
      <c r="D121" s="501">
        <v>55000</v>
      </c>
      <c r="E121" s="720" t="s">
        <v>367</v>
      </c>
      <c r="F121" s="831" t="s">
        <v>367</v>
      </c>
      <c r="G121" s="856">
        <v>50000</v>
      </c>
    </row>
    <row r="122" spans="1:7" ht="11.25" customHeight="1">
      <c r="A122" s="458" t="s">
        <v>470</v>
      </c>
      <c r="B122" s="502">
        <v>67.5</v>
      </c>
      <c r="C122" s="719" t="s">
        <v>1430</v>
      </c>
      <c r="D122" s="501">
        <v>67.5</v>
      </c>
      <c r="E122" s="720" t="s">
        <v>367</v>
      </c>
      <c r="F122" s="831" t="s">
        <v>367</v>
      </c>
      <c r="G122" s="856">
        <v>50000</v>
      </c>
    </row>
    <row r="123" spans="1:7" ht="11.25" customHeight="1">
      <c r="A123" s="458" t="s">
        <v>471</v>
      </c>
      <c r="B123" s="502">
        <v>50000</v>
      </c>
      <c r="C123" s="719" t="s">
        <v>406</v>
      </c>
      <c r="D123" s="501" t="s">
        <v>954</v>
      </c>
      <c r="E123" s="720" t="s">
        <v>367</v>
      </c>
      <c r="F123" s="831" t="s">
        <v>367</v>
      </c>
      <c r="G123" s="856">
        <v>50000</v>
      </c>
    </row>
    <row r="124" spans="1:7" ht="11.25" customHeight="1">
      <c r="A124" s="458" t="s">
        <v>813</v>
      </c>
      <c r="B124" s="502">
        <v>50000</v>
      </c>
      <c r="C124" s="719" t="s">
        <v>406</v>
      </c>
      <c r="D124" s="501" t="s">
        <v>954</v>
      </c>
      <c r="E124" s="720" t="s">
        <v>367</v>
      </c>
      <c r="F124" s="831" t="s">
        <v>367</v>
      </c>
      <c r="G124" s="856">
        <v>50000</v>
      </c>
    </row>
    <row r="125" spans="1:7" ht="11.25" customHeight="1">
      <c r="A125" s="458" t="s">
        <v>113</v>
      </c>
      <c r="B125" s="502">
        <v>3100</v>
      </c>
      <c r="C125" s="719" t="s">
        <v>1430</v>
      </c>
      <c r="D125" s="501">
        <v>3100</v>
      </c>
      <c r="E125" s="720" t="s">
        <v>367</v>
      </c>
      <c r="F125" s="831" t="s">
        <v>367</v>
      </c>
      <c r="G125" s="856">
        <v>50000</v>
      </c>
    </row>
    <row r="126" spans="1:7" ht="11.25" customHeight="1">
      <c r="A126" s="458" t="s">
        <v>472</v>
      </c>
      <c r="B126" s="502">
        <v>11</v>
      </c>
      <c r="C126" s="719" t="s">
        <v>1431</v>
      </c>
      <c r="D126" s="501">
        <v>155000</v>
      </c>
      <c r="E126" s="720">
        <v>11</v>
      </c>
      <c r="F126" s="831" t="s">
        <v>407</v>
      </c>
      <c r="G126" s="856">
        <v>50000</v>
      </c>
    </row>
    <row r="127" spans="1:7" ht="11.25" customHeight="1">
      <c r="A127" s="458" t="s">
        <v>114</v>
      </c>
      <c r="B127" s="502">
        <v>50000</v>
      </c>
      <c r="C127" s="719" t="s">
        <v>406</v>
      </c>
      <c r="D127" s="501">
        <v>355000</v>
      </c>
      <c r="E127" s="720" t="s">
        <v>367</v>
      </c>
      <c r="F127" s="831" t="s">
        <v>367</v>
      </c>
      <c r="G127" s="856">
        <v>50000</v>
      </c>
    </row>
    <row r="128" spans="1:7" ht="11.25" customHeight="1">
      <c r="A128" s="458" t="s">
        <v>19</v>
      </c>
      <c r="B128" s="502">
        <v>50000</v>
      </c>
      <c r="C128" s="719" t="s">
        <v>406</v>
      </c>
      <c r="D128" s="501">
        <v>500000000</v>
      </c>
      <c r="E128" s="720" t="s">
        <v>367</v>
      </c>
      <c r="F128" s="831" t="s">
        <v>367</v>
      </c>
      <c r="G128" s="856">
        <v>50000</v>
      </c>
    </row>
    <row r="129" spans="1:7" ht="11.25" customHeight="1">
      <c r="A129" s="458" t="s">
        <v>473</v>
      </c>
      <c r="B129" s="502">
        <v>50000</v>
      </c>
      <c r="C129" s="719" t="s">
        <v>406</v>
      </c>
      <c r="D129" s="501">
        <v>535000</v>
      </c>
      <c r="E129" s="720" t="s">
        <v>367</v>
      </c>
      <c r="F129" s="831" t="s">
        <v>367</v>
      </c>
      <c r="G129" s="856">
        <v>50000</v>
      </c>
    </row>
    <row r="130" spans="1:7" ht="11.25" customHeight="1">
      <c r="A130" s="458" t="s">
        <v>474</v>
      </c>
      <c r="B130" s="502">
        <v>500</v>
      </c>
      <c r="C130" s="719" t="s">
        <v>1431</v>
      </c>
      <c r="D130" s="501">
        <v>1415000</v>
      </c>
      <c r="E130" s="720">
        <v>500</v>
      </c>
      <c r="F130" s="831" t="s">
        <v>407</v>
      </c>
      <c r="G130" s="856">
        <v>50000</v>
      </c>
    </row>
    <row r="131" spans="1:7" ht="11.25" customHeight="1">
      <c r="A131" s="458" t="s">
        <v>475</v>
      </c>
      <c r="B131" s="502">
        <v>300</v>
      </c>
      <c r="C131" s="719" t="s">
        <v>1431</v>
      </c>
      <c r="D131" s="501">
        <v>103000</v>
      </c>
      <c r="E131" s="720">
        <v>300</v>
      </c>
      <c r="F131" s="831" t="s">
        <v>407</v>
      </c>
      <c r="G131" s="856">
        <v>50000</v>
      </c>
    </row>
    <row r="132" spans="1:7" ht="11.25" customHeight="1">
      <c r="A132" s="458" t="s">
        <v>115</v>
      </c>
      <c r="B132" s="502">
        <v>11500</v>
      </c>
      <c r="C132" s="719" t="s">
        <v>1430</v>
      </c>
      <c r="D132" s="501">
        <v>11500</v>
      </c>
      <c r="E132" s="720" t="s">
        <v>367</v>
      </c>
      <c r="F132" s="831" t="s">
        <v>367</v>
      </c>
      <c r="G132" s="856">
        <v>50000</v>
      </c>
    </row>
    <row r="133" spans="1:7" ht="11.25" customHeight="1">
      <c r="A133" s="462" t="s">
        <v>116</v>
      </c>
      <c r="B133" s="502">
        <v>2500</v>
      </c>
      <c r="C133" s="719" t="s">
        <v>1430</v>
      </c>
      <c r="D133" s="501">
        <v>2500</v>
      </c>
      <c r="E133" s="720" t="s">
        <v>367</v>
      </c>
      <c r="F133" s="831" t="s">
        <v>367</v>
      </c>
      <c r="G133" s="856">
        <v>50000</v>
      </c>
    </row>
    <row r="134" spans="1:7" ht="11.25" customHeight="1">
      <c r="A134" s="458" t="s">
        <v>476</v>
      </c>
      <c r="B134" s="502">
        <v>50000</v>
      </c>
      <c r="C134" s="719" t="s">
        <v>406</v>
      </c>
      <c r="D134" s="501" t="s">
        <v>954</v>
      </c>
      <c r="E134" s="720" t="s">
        <v>367</v>
      </c>
      <c r="F134" s="831" t="s">
        <v>367</v>
      </c>
      <c r="G134" s="856">
        <v>50000</v>
      </c>
    </row>
    <row r="135" spans="1:7" ht="11.25" customHeight="1">
      <c r="A135" s="458" t="s">
        <v>366</v>
      </c>
      <c r="B135" s="502">
        <v>40</v>
      </c>
      <c r="C135" s="719" t="s">
        <v>1431</v>
      </c>
      <c r="D135" s="501">
        <v>263000</v>
      </c>
      <c r="E135" s="720">
        <v>40</v>
      </c>
      <c r="F135" s="831" t="s">
        <v>407</v>
      </c>
      <c r="G135" s="856">
        <v>50000</v>
      </c>
    </row>
    <row r="136" spans="1:7" ht="11.25" customHeight="1">
      <c r="A136" s="458" t="s">
        <v>20</v>
      </c>
      <c r="B136" s="502">
        <v>140</v>
      </c>
      <c r="C136" s="719" t="s">
        <v>1431</v>
      </c>
      <c r="D136" s="501">
        <v>275</v>
      </c>
      <c r="E136" s="720">
        <v>140</v>
      </c>
      <c r="F136" s="831" t="s">
        <v>291</v>
      </c>
      <c r="G136" s="856">
        <v>50000</v>
      </c>
    </row>
    <row r="137" spans="1:7" ht="11.25" customHeight="1">
      <c r="A137" s="458" t="s">
        <v>57</v>
      </c>
      <c r="B137" s="502">
        <v>5000</v>
      </c>
      <c r="C137" s="719" t="s">
        <v>1431</v>
      </c>
      <c r="D137" s="501">
        <v>75000</v>
      </c>
      <c r="E137" s="720">
        <v>5000</v>
      </c>
      <c r="F137" s="831" t="s">
        <v>48</v>
      </c>
      <c r="G137" s="856">
        <v>50000</v>
      </c>
    </row>
    <row r="138" spans="1:7" ht="11.25" customHeight="1">
      <c r="A138" s="458" t="s">
        <v>56</v>
      </c>
      <c r="B138" s="502">
        <v>5000</v>
      </c>
      <c r="C138" s="719" t="s">
        <v>1431</v>
      </c>
      <c r="D138" s="501">
        <v>25500</v>
      </c>
      <c r="E138" s="720">
        <v>5000</v>
      </c>
      <c r="F138" s="831" t="s">
        <v>48</v>
      </c>
      <c r="G138" s="856">
        <v>50000</v>
      </c>
    </row>
    <row r="139" spans="1:7" ht="11.25" customHeight="1">
      <c r="A139" s="458" t="s">
        <v>777</v>
      </c>
      <c r="B139" s="502">
        <v>5000</v>
      </c>
      <c r="C139" s="719" t="s">
        <v>1431</v>
      </c>
      <c r="D139" s="501" t="s">
        <v>954</v>
      </c>
      <c r="E139" s="720">
        <v>5000</v>
      </c>
      <c r="F139" s="831" t="s">
        <v>48</v>
      </c>
      <c r="G139" s="856">
        <v>50000</v>
      </c>
    </row>
    <row r="140" spans="1:7" ht="11.25" customHeight="1">
      <c r="A140" s="458" t="s">
        <v>814</v>
      </c>
      <c r="B140" s="502">
        <v>3000</v>
      </c>
      <c r="C140" s="719" t="s">
        <v>1431</v>
      </c>
      <c r="D140" s="501">
        <v>24500</v>
      </c>
      <c r="E140" s="720">
        <v>3000</v>
      </c>
      <c r="F140" s="831" t="s">
        <v>293</v>
      </c>
      <c r="G140" s="856">
        <v>50000</v>
      </c>
    </row>
    <row r="141" spans="1:7" ht="11.25" customHeight="1">
      <c r="A141" s="458" t="s">
        <v>815</v>
      </c>
      <c r="B141" s="502">
        <v>50000</v>
      </c>
      <c r="C141" s="719" t="s">
        <v>1431</v>
      </c>
      <c r="D141" s="501">
        <v>645000</v>
      </c>
      <c r="E141" s="720">
        <v>50000</v>
      </c>
      <c r="F141" s="831" t="s">
        <v>407</v>
      </c>
      <c r="G141" s="856">
        <v>50000</v>
      </c>
    </row>
    <row r="142" spans="1:7" ht="11.25" customHeight="1">
      <c r="A142" s="458" t="s">
        <v>477</v>
      </c>
      <c r="B142" s="502">
        <v>50000</v>
      </c>
      <c r="C142" s="719" t="s">
        <v>406</v>
      </c>
      <c r="D142" s="501">
        <v>2295000</v>
      </c>
      <c r="E142" s="720" t="s">
        <v>367</v>
      </c>
      <c r="F142" s="831" t="s">
        <v>367</v>
      </c>
      <c r="G142" s="856">
        <v>50000</v>
      </c>
    </row>
    <row r="143" spans="1:7" ht="11.25" customHeight="1">
      <c r="A143" s="458" t="s">
        <v>478</v>
      </c>
      <c r="B143" s="502">
        <v>10000</v>
      </c>
      <c r="C143" s="719" t="s">
        <v>1431</v>
      </c>
      <c r="D143" s="501">
        <v>640000</v>
      </c>
      <c r="E143" s="720">
        <v>10000</v>
      </c>
      <c r="F143" s="831" t="s">
        <v>407</v>
      </c>
      <c r="G143" s="856">
        <v>50000</v>
      </c>
    </row>
    <row r="144" spans="1:7" ht="11.25" customHeight="1">
      <c r="A144" s="458" t="s">
        <v>479</v>
      </c>
      <c r="B144" s="502">
        <v>200</v>
      </c>
      <c r="C144" s="719" t="s">
        <v>1431</v>
      </c>
      <c r="D144" s="501">
        <v>600000</v>
      </c>
      <c r="E144" s="720">
        <v>200</v>
      </c>
      <c r="F144" s="831" t="s">
        <v>407</v>
      </c>
      <c r="G144" s="856">
        <v>50000</v>
      </c>
    </row>
    <row r="145" spans="1:7" ht="11.25" customHeight="1">
      <c r="A145" s="458" t="s">
        <v>480</v>
      </c>
      <c r="B145" s="502">
        <v>100</v>
      </c>
      <c r="C145" s="719" t="s">
        <v>1431</v>
      </c>
      <c r="D145" s="501">
        <v>400000</v>
      </c>
      <c r="E145" s="720">
        <v>100</v>
      </c>
      <c r="F145" s="831" t="s">
        <v>407</v>
      </c>
      <c r="G145" s="856">
        <v>50000</v>
      </c>
    </row>
    <row r="146" spans="1:7" ht="11.25" customHeight="1">
      <c r="A146" s="462" t="s">
        <v>117</v>
      </c>
      <c r="B146" s="502">
        <v>50000</v>
      </c>
      <c r="C146" s="719" t="s">
        <v>406</v>
      </c>
      <c r="D146" s="501">
        <v>139000</v>
      </c>
      <c r="E146" s="720" t="s">
        <v>367</v>
      </c>
      <c r="F146" s="831" t="s">
        <v>367</v>
      </c>
      <c r="G146" s="856">
        <v>50000</v>
      </c>
    </row>
    <row r="147" spans="1:7" ht="11.25" customHeight="1">
      <c r="A147" s="458" t="s">
        <v>118</v>
      </c>
      <c r="B147" s="502">
        <v>35500</v>
      </c>
      <c r="C147" s="719" t="s">
        <v>1430</v>
      </c>
      <c r="D147" s="501">
        <v>35500</v>
      </c>
      <c r="E147" s="720" t="s">
        <v>367</v>
      </c>
      <c r="F147" s="831" t="s">
        <v>367</v>
      </c>
      <c r="G147" s="856">
        <v>50000</v>
      </c>
    </row>
    <row r="148" spans="1:7" ht="11.25" customHeight="1">
      <c r="A148" s="458" t="s">
        <v>119</v>
      </c>
      <c r="B148" s="502">
        <v>50000</v>
      </c>
      <c r="C148" s="719" t="s">
        <v>406</v>
      </c>
      <c r="D148" s="501">
        <v>875000</v>
      </c>
      <c r="E148" s="720" t="s">
        <v>367</v>
      </c>
      <c r="F148" s="831" t="s">
        <v>367</v>
      </c>
      <c r="G148" s="856">
        <v>50000</v>
      </c>
    </row>
    <row r="149" spans="1:7" ht="11.25" customHeight="1">
      <c r="A149" s="458" t="s">
        <v>120</v>
      </c>
      <c r="B149" s="502">
        <v>50000</v>
      </c>
      <c r="C149" s="719" t="s">
        <v>406</v>
      </c>
      <c r="D149" s="501">
        <v>167100</v>
      </c>
      <c r="E149" s="720" t="s">
        <v>367</v>
      </c>
      <c r="F149" s="831" t="s">
        <v>367</v>
      </c>
      <c r="G149" s="856">
        <v>50000</v>
      </c>
    </row>
    <row r="150" spans="1:7" ht="11.25" customHeight="1">
      <c r="A150" s="458" t="s">
        <v>602</v>
      </c>
      <c r="B150" s="502">
        <v>90</v>
      </c>
      <c r="C150" s="719" t="s">
        <v>1430</v>
      </c>
      <c r="D150" s="501">
        <v>90</v>
      </c>
      <c r="E150" s="720" t="s">
        <v>367</v>
      </c>
      <c r="F150" s="831" t="s">
        <v>367</v>
      </c>
      <c r="G150" s="856">
        <v>50000</v>
      </c>
    </row>
    <row r="151" spans="1:7" ht="11.25" customHeight="1">
      <c r="A151" s="462" t="s">
        <v>939</v>
      </c>
      <c r="B151" s="502">
        <v>50000</v>
      </c>
      <c r="C151" s="719" t="s">
        <v>406</v>
      </c>
      <c r="D151" s="501">
        <v>139000</v>
      </c>
      <c r="E151" s="720" t="s">
        <v>367</v>
      </c>
      <c r="F151" s="831" t="s">
        <v>367</v>
      </c>
      <c r="G151" s="856">
        <v>50000</v>
      </c>
    </row>
    <row r="152" spans="1:7" ht="11.25" customHeight="1">
      <c r="A152" s="462" t="s">
        <v>603</v>
      </c>
      <c r="B152" s="502">
        <v>37000</v>
      </c>
      <c r="C152" s="719" t="s">
        <v>1430</v>
      </c>
      <c r="D152" s="501">
        <v>37000</v>
      </c>
      <c r="E152" s="720" t="s">
        <v>367</v>
      </c>
      <c r="F152" s="831" t="s">
        <v>367</v>
      </c>
      <c r="G152" s="856">
        <v>50000</v>
      </c>
    </row>
    <row r="153" spans="1:7" ht="11.25" customHeight="1">
      <c r="A153" s="462" t="s">
        <v>605</v>
      </c>
      <c r="B153" s="502">
        <v>20</v>
      </c>
      <c r="C153" s="719" t="s">
        <v>1431</v>
      </c>
      <c r="D153" s="501">
        <v>57500</v>
      </c>
      <c r="E153" s="720">
        <v>20</v>
      </c>
      <c r="F153" s="831" t="s">
        <v>407</v>
      </c>
      <c r="G153" s="856">
        <v>50000</v>
      </c>
    </row>
    <row r="154" spans="1:7" ht="11.25" customHeight="1">
      <c r="A154" s="458" t="s">
        <v>481</v>
      </c>
      <c r="B154" s="502">
        <v>50000</v>
      </c>
      <c r="C154" s="719" t="s">
        <v>406</v>
      </c>
      <c r="D154" s="501" t="s">
        <v>954</v>
      </c>
      <c r="E154" s="720" t="s">
        <v>367</v>
      </c>
      <c r="F154" s="831" t="s">
        <v>367</v>
      </c>
      <c r="G154" s="856">
        <v>50000</v>
      </c>
    </row>
    <row r="155" spans="1:7" ht="11.25" customHeight="1">
      <c r="A155" s="458" t="s">
        <v>482</v>
      </c>
      <c r="B155" s="502">
        <v>3400</v>
      </c>
      <c r="C155" s="719" t="s">
        <v>1431</v>
      </c>
      <c r="D155" s="501">
        <v>4400000</v>
      </c>
      <c r="E155" s="720">
        <v>3400</v>
      </c>
      <c r="F155" s="831" t="s">
        <v>407</v>
      </c>
      <c r="G155" s="856">
        <v>50000</v>
      </c>
    </row>
    <row r="156" spans="1:7" ht="11.25" customHeight="1">
      <c r="A156" s="458" t="s">
        <v>483</v>
      </c>
      <c r="B156" s="502">
        <v>530</v>
      </c>
      <c r="C156" s="719" t="s">
        <v>1431</v>
      </c>
      <c r="D156" s="501">
        <v>53000</v>
      </c>
      <c r="E156" s="720">
        <v>530</v>
      </c>
      <c r="F156" s="831" t="s">
        <v>407</v>
      </c>
      <c r="G156" s="856">
        <v>50000</v>
      </c>
    </row>
    <row r="157" spans="1:7" ht="11.25" customHeight="1" thickBot="1">
      <c r="A157" s="516" t="s">
        <v>484</v>
      </c>
      <c r="B157" s="502">
        <v>50000</v>
      </c>
      <c r="C157" s="719" t="s">
        <v>406</v>
      </c>
      <c r="D157" s="627" t="s">
        <v>954</v>
      </c>
      <c r="E157" s="722" t="s">
        <v>367</v>
      </c>
      <c r="F157" s="722" t="s">
        <v>367</v>
      </c>
      <c r="G157" s="856">
        <v>50000</v>
      </c>
    </row>
    <row r="158" spans="1:7" ht="11.25" customHeight="1" thickTop="1">
      <c r="A158" s="470"/>
      <c r="B158" s="472"/>
      <c r="C158" s="708"/>
      <c r="D158" s="472"/>
      <c r="E158" s="472"/>
      <c r="F158" s="472"/>
      <c r="G158" s="473"/>
    </row>
    <row r="159" spans="1:7" ht="11.25" customHeight="1">
      <c r="A159" s="474" t="s">
        <v>696</v>
      </c>
      <c r="G159" s="476"/>
    </row>
    <row r="160" spans="1:7" ht="11.25" customHeight="1">
      <c r="A160" s="479" t="s">
        <v>1054</v>
      </c>
      <c r="G160" s="476"/>
    </row>
    <row r="161" spans="1:7" ht="11.25" customHeight="1">
      <c r="A161" s="479" t="s">
        <v>598</v>
      </c>
      <c r="G161" s="476"/>
    </row>
    <row r="162" spans="1:7" ht="11.25" customHeight="1">
      <c r="A162" s="479" t="s">
        <v>541</v>
      </c>
      <c r="G162" s="476"/>
    </row>
    <row r="163" spans="1:7" ht="11.25" customHeight="1">
      <c r="A163" s="479" t="s">
        <v>299</v>
      </c>
      <c r="G163" s="476"/>
    </row>
    <row r="164" spans="1:7" ht="11.25" customHeight="1">
      <c r="A164" s="479" t="s">
        <v>190</v>
      </c>
      <c r="G164" s="476"/>
    </row>
    <row r="165" spans="1:7" ht="11.25" customHeight="1">
      <c r="A165" s="479" t="s">
        <v>458</v>
      </c>
      <c r="G165" s="476"/>
    </row>
    <row r="166" spans="1:7" ht="11.25" customHeight="1">
      <c r="A166" s="474" t="s">
        <v>488</v>
      </c>
      <c r="G166" s="476"/>
    </row>
    <row r="167" spans="1:7" ht="11.25" customHeight="1">
      <c r="A167" s="479" t="s">
        <v>741</v>
      </c>
      <c r="G167" s="476"/>
    </row>
    <row r="168" spans="1:7" ht="11.25" customHeight="1">
      <c r="A168" s="479" t="s">
        <v>1052</v>
      </c>
      <c r="G168" s="476"/>
    </row>
    <row r="169" spans="1:7" ht="11.25" customHeight="1">
      <c r="A169" s="479" t="s">
        <v>739</v>
      </c>
      <c r="G169" s="476"/>
    </row>
    <row r="170" spans="1:7" ht="11.25" customHeight="1">
      <c r="A170" s="479" t="s">
        <v>778</v>
      </c>
      <c r="G170" s="476"/>
    </row>
    <row r="171" spans="1:7" ht="11.25" customHeight="1" thickBot="1">
      <c r="A171" s="706" t="s">
        <v>740</v>
      </c>
      <c r="B171" s="663"/>
      <c r="C171" s="579"/>
      <c r="D171" s="663"/>
      <c r="E171" s="663"/>
      <c r="F171" s="663"/>
      <c r="G171" s="664"/>
    </row>
    <row r="172" spans="1:7" ht="10.5" thickTop="1"/>
  </sheetData>
  <sheetProtection algorithmName="SHA-512" hashValue="Y6qNwCBz2y1NWjCeKmZlKF2tWR0mhS6fbY4QiSKEKkxX9EnaU47wdPq43BmTYnwXhogAcsoxJ4GAoXSqeLVS9Q==" saltValue="YOUWCCMvanl4eSBJsjvhmA==" spinCount="100000" sheet="1" objects="1" scenarios="1"/>
  <phoneticPr fontId="0" type="noConversion"/>
  <printOptions horizontalCentered="1"/>
  <pageMargins left="0.17" right="0.16" top="0.53" bottom="1" header="0.5" footer="0.5"/>
  <pageSetup scale="86" fitToHeight="4" orientation="landscape" r:id="rId1"/>
  <headerFooter alignWithMargins="0">
    <oddFooter>&amp;LHawai'i DOH
Spring 2024&amp;C&amp;8Page &amp;P of &amp;N&amp;R&amp;A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29"/>
    <pageSetUpPr fitToPage="1"/>
  </sheetPr>
  <dimension ref="A1:AD430"/>
  <sheetViews>
    <sheetView zoomScale="90" zoomScaleNormal="90" workbookViewId="0">
      <pane ySplit="2445" topLeftCell="A10" activePane="bottomLeft"/>
      <selection activeCell="S10" sqref="S10"/>
      <selection pane="bottomLeft" activeCell="K10" sqref="K10"/>
    </sheetView>
  </sheetViews>
  <sheetFormatPr defaultColWidth="9.1328125" defaultRowHeight="10.15"/>
  <cols>
    <col min="1" max="1" width="40.86328125" style="518" customWidth="1"/>
    <col min="2" max="3" width="3.73046875" style="518" customWidth="1"/>
    <col min="4" max="4" width="8.59765625" style="957" customWidth="1"/>
    <col min="5" max="5" width="8.59765625" style="1056" hidden="1" customWidth="1"/>
    <col min="6" max="6" width="10.1328125" style="518" customWidth="1"/>
    <col min="7" max="8" width="8.73046875" style="518" customWidth="1"/>
    <col min="9" max="10" width="10" style="518" customWidth="1"/>
    <col min="11" max="13" width="11" style="518" customWidth="1"/>
    <col min="14" max="18" width="9.86328125" style="959" customWidth="1"/>
    <col min="19" max="19" width="10.73046875" style="959" customWidth="1"/>
    <col min="20" max="22" width="10.73046875" style="960" customWidth="1"/>
    <col min="23" max="23" width="12.73046875" style="960" customWidth="1"/>
    <col min="24" max="24" width="12.3984375" style="961" customWidth="1"/>
    <col min="25" max="16384" width="9.1328125" style="3"/>
  </cols>
  <sheetData>
    <row r="1" spans="1:30" ht="15">
      <c r="A1" s="614" t="s">
        <v>177</v>
      </c>
      <c r="B1" s="614"/>
      <c r="C1" s="614"/>
      <c r="D1" s="951"/>
      <c r="E1" s="952"/>
      <c r="F1" s="531"/>
      <c r="G1" s="531"/>
      <c r="H1" s="531"/>
      <c r="I1" s="531"/>
      <c r="J1" s="531"/>
      <c r="K1" s="531"/>
      <c r="L1" s="531"/>
      <c r="M1" s="531"/>
      <c r="N1" s="953"/>
      <c r="O1" s="953"/>
      <c r="P1" s="953"/>
      <c r="Q1" s="953"/>
      <c r="R1" s="953"/>
      <c r="S1" s="953"/>
      <c r="T1" s="954"/>
      <c r="U1" s="954"/>
      <c r="V1" s="954"/>
      <c r="W1" s="954"/>
      <c r="X1" s="955"/>
    </row>
    <row r="2" spans="1:30" ht="21" thickBot="1">
      <c r="A2" s="756"/>
      <c r="D2" s="956"/>
      <c r="E2" s="957"/>
      <c r="F2" s="956"/>
      <c r="M2" s="958"/>
    </row>
    <row r="3" spans="1:30" ht="10.5" thickTop="1">
      <c r="A3" s="962"/>
      <c r="B3" s="963"/>
      <c r="C3" s="963"/>
      <c r="D3" s="964"/>
      <c r="E3" s="965"/>
      <c r="F3" s="966"/>
      <c r="G3" s="966"/>
      <c r="H3" s="966"/>
      <c r="I3" s="966"/>
      <c r="J3" s="966"/>
      <c r="K3" s="966"/>
      <c r="L3" s="966"/>
      <c r="M3" s="967"/>
      <c r="N3" s="968"/>
      <c r="O3" s="968"/>
      <c r="P3" s="968"/>
      <c r="Q3" s="968"/>
      <c r="R3" s="968"/>
      <c r="S3" s="969"/>
      <c r="T3" s="969"/>
      <c r="U3" s="969"/>
      <c r="V3" s="970"/>
      <c r="W3" s="971"/>
      <c r="X3" s="3"/>
    </row>
    <row r="4" spans="1:30">
      <c r="A4" s="644"/>
      <c r="D4" s="972"/>
      <c r="E4" s="973"/>
      <c r="F4" s="974" t="s">
        <v>884</v>
      </c>
      <c r="G4" s="974"/>
      <c r="H4" s="974"/>
      <c r="I4" s="974" t="s">
        <v>885</v>
      </c>
      <c r="J4" s="974"/>
      <c r="K4" s="974"/>
      <c r="L4" s="974"/>
      <c r="M4" s="975"/>
      <c r="N4" s="976"/>
      <c r="O4" s="976"/>
      <c r="P4" s="976"/>
      <c r="Q4" s="976"/>
      <c r="R4" s="976"/>
      <c r="S4" s="977" t="s">
        <v>886</v>
      </c>
      <c r="T4" s="977" t="s">
        <v>886</v>
      </c>
      <c r="U4" s="978"/>
      <c r="V4" s="979"/>
      <c r="W4" s="980"/>
      <c r="X4" s="3"/>
    </row>
    <row r="5" spans="1:30">
      <c r="A5" s="644"/>
      <c r="D5" s="972"/>
      <c r="E5" s="973"/>
      <c r="F5" s="974" t="s">
        <v>334</v>
      </c>
      <c r="G5" s="974"/>
      <c r="H5" s="974"/>
      <c r="I5" s="974" t="s">
        <v>335</v>
      </c>
      <c r="J5" s="974"/>
      <c r="K5" s="974"/>
      <c r="L5" s="974"/>
      <c r="M5" s="975" t="s">
        <v>53</v>
      </c>
      <c r="N5" s="976" t="s">
        <v>618</v>
      </c>
      <c r="O5" s="976"/>
      <c r="P5" s="976"/>
      <c r="Q5" s="976"/>
      <c r="R5" s="976"/>
      <c r="S5" s="978" t="s">
        <v>619</v>
      </c>
      <c r="T5" s="978" t="s">
        <v>241</v>
      </c>
      <c r="U5" s="978" t="s">
        <v>247</v>
      </c>
      <c r="V5" s="978" t="s">
        <v>247</v>
      </c>
      <c r="W5" s="980" t="s">
        <v>247</v>
      </c>
      <c r="X5" s="3"/>
    </row>
    <row r="6" spans="1:30">
      <c r="A6" s="644"/>
      <c r="D6" s="981"/>
      <c r="E6" s="982"/>
      <c r="F6" s="974" t="s">
        <v>620</v>
      </c>
      <c r="G6" s="974" t="s">
        <v>621</v>
      </c>
      <c r="H6" s="974" t="s">
        <v>621</v>
      </c>
      <c r="I6" s="974" t="s">
        <v>622</v>
      </c>
      <c r="J6" s="974"/>
      <c r="K6" s="974" t="s">
        <v>623</v>
      </c>
      <c r="L6" s="974" t="s">
        <v>623</v>
      </c>
      <c r="M6" s="975" t="s">
        <v>624</v>
      </c>
      <c r="N6" s="976" t="s">
        <v>624</v>
      </c>
      <c r="O6" s="976"/>
      <c r="P6" s="976"/>
      <c r="Q6" s="976"/>
      <c r="R6" s="976"/>
      <c r="S6" s="978" t="s">
        <v>625</v>
      </c>
      <c r="T6" s="978" t="s">
        <v>625</v>
      </c>
      <c r="U6" s="978" t="s">
        <v>626</v>
      </c>
      <c r="V6" s="978" t="s">
        <v>626</v>
      </c>
      <c r="W6" s="980" t="s">
        <v>242</v>
      </c>
      <c r="X6" s="3"/>
    </row>
    <row r="7" spans="1:30" ht="10.5" thickBot="1">
      <c r="A7" s="644"/>
      <c r="D7" s="981"/>
      <c r="E7" s="982" t="s">
        <v>654</v>
      </c>
      <c r="F7" s="974" t="s">
        <v>627</v>
      </c>
      <c r="G7" s="974" t="s">
        <v>628</v>
      </c>
      <c r="H7" s="974" t="s">
        <v>629</v>
      </c>
      <c r="I7" s="974" t="s">
        <v>630</v>
      </c>
      <c r="J7" s="978" t="s">
        <v>1323</v>
      </c>
      <c r="K7" s="974" t="s">
        <v>631</v>
      </c>
      <c r="L7" s="974" t="s">
        <v>631</v>
      </c>
      <c r="M7" s="975" t="s">
        <v>625</v>
      </c>
      <c r="N7" s="976" t="s">
        <v>625</v>
      </c>
      <c r="O7" s="983"/>
      <c r="P7" s="983"/>
      <c r="Q7" s="983"/>
      <c r="R7" s="983"/>
      <c r="S7" s="978" t="s">
        <v>632</v>
      </c>
      <c r="T7" s="978" t="s">
        <v>760</v>
      </c>
      <c r="U7" s="978" t="s">
        <v>632</v>
      </c>
      <c r="V7" s="978" t="s">
        <v>285</v>
      </c>
      <c r="W7" s="980" t="s">
        <v>760</v>
      </c>
      <c r="X7" s="3"/>
    </row>
    <row r="8" spans="1:30" ht="15">
      <c r="A8" s="644"/>
      <c r="B8" s="1425" t="s">
        <v>633</v>
      </c>
      <c r="C8" s="1426"/>
      <c r="D8" s="981" t="s">
        <v>634</v>
      </c>
      <c r="E8" s="982" t="s">
        <v>634</v>
      </c>
      <c r="F8" s="974" t="s">
        <v>635</v>
      </c>
      <c r="G8" s="974" t="s">
        <v>636</v>
      </c>
      <c r="H8" s="974" t="s">
        <v>637</v>
      </c>
      <c r="I8" s="974" t="s">
        <v>638</v>
      </c>
      <c r="J8" s="978" t="s">
        <v>1324</v>
      </c>
      <c r="K8" s="974" t="s">
        <v>639</v>
      </c>
      <c r="L8" s="974" t="s">
        <v>640</v>
      </c>
      <c r="M8" s="975" t="s">
        <v>52</v>
      </c>
      <c r="N8" s="976" t="s">
        <v>641</v>
      </c>
      <c r="O8" s="984" t="s">
        <v>16</v>
      </c>
      <c r="P8" s="984" t="s">
        <v>1383</v>
      </c>
      <c r="Q8" s="984" t="s">
        <v>1384</v>
      </c>
      <c r="R8" s="984" t="s">
        <v>1385</v>
      </c>
      <c r="S8" s="978" t="s">
        <v>1393</v>
      </c>
      <c r="T8" s="978" t="s">
        <v>761</v>
      </c>
      <c r="U8" s="978" t="s">
        <v>642</v>
      </c>
      <c r="V8" s="978" t="s">
        <v>1382</v>
      </c>
      <c r="W8" s="980" t="s">
        <v>244</v>
      </c>
      <c r="X8" s="985"/>
    </row>
    <row r="9" spans="1:30" s="624" customFormat="1" ht="12" thickBot="1">
      <c r="A9" s="986" t="s">
        <v>232</v>
      </c>
      <c r="B9" s="1418" t="s">
        <v>643</v>
      </c>
      <c r="C9" s="1469"/>
      <c r="D9" s="987" t="s">
        <v>644</v>
      </c>
      <c r="E9" s="988" t="s">
        <v>644</v>
      </c>
      <c r="F9" s="989" t="s">
        <v>645</v>
      </c>
      <c r="G9" s="989" t="s">
        <v>646</v>
      </c>
      <c r="H9" s="989" t="s">
        <v>646</v>
      </c>
      <c r="I9" s="989" t="s">
        <v>647</v>
      </c>
      <c r="J9" s="990" t="s">
        <v>1325</v>
      </c>
      <c r="K9" s="989" t="s">
        <v>648</v>
      </c>
      <c r="L9" s="989" t="s">
        <v>649</v>
      </c>
      <c r="M9" s="991" t="s">
        <v>649</v>
      </c>
      <c r="N9" s="992" t="s">
        <v>649</v>
      </c>
      <c r="O9" s="992" t="s">
        <v>649</v>
      </c>
      <c r="P9" s="992" t="s">
        <v>1386</v>
      </c>
      <c r="Q9" s="992" t="s">
        <v>1387</v>
      </c>
      <c r="R9" s="992" t="s">
        <v>1388</v>
      </c>
      <c r="S9" s="990" t="s">
        <v>965</v>
      </c>
      <c r="T9" s="990" t="s">
        <v>966</v>
      </c>
      <c r="U9" s="990" t="s">
        <v>650</v>
      </c>
      <c r="V9" s="990" t="s">
        <v>650</v>
      </c>
      <c r="W9" s="993" t="s">
        <v>968</v>
      </c>
    </row>
    <row r="10" spans="1:30" s="624" customFormat="1" ht="11.1" customHeight="1">
      <c r="A10" s="458" t="s">
        <v>548</v>
      </c>
      <c r="B10" s="994" t="s">
        <v>651</v>
      </c>
      <c r="C10" s="995" t="s">
        <v>638</v>
      </c>
      <c r="D10" s="996">
        <v>154</v>
      </c>
      <c r="E10" s="997">
        <v>154</v>
      </c>
      <c r="F10" s="998">
        <v>5027</v>
      </c>
      <c r="G10" s="998">
        <v>5.0999999999999997E-2</v>
      </c>
      <c r="H10" s="998">
        <v>8.3000000000000002E-6</v>
      </c>
      <c r="I10" s="998">
        <v>3.9</v>
      </c>
      <c r="J10" s="898">
        <v>2.2000000000000001E-3</v>
      </c>
      <c r="K10" s="998">
        <v>1.8000000000000001E-4</v>
      </c>
      <c r="L10" s="998">
        <v>7.4999999999999997E-3</v>
      </c>
      <c r="M10" s="999">
        <v>1</v>
      </c>
      <c r="N10" s="1000">
        <v>0.13</v>
      </c>
      <c r="O10" s="1177">
        <v>0.41075359376748</v>
      </c>
      <c r="P10" s="1177">
        <v>0.76811235300464997</v>
      </c>
      <c r="Q10" s="1177">
        <v>1.84346964721115</v>
      </c>
      <c r="R10" s="1178">
        <v>8.5999999999999993E-2</v>
      </c>
      <c r="S10" s="1002"/>
      <c r="T10" s="1002"/>
      <c r="U10" s="1003">
        <v>0.06</v>
      </c>
      <c r="V10" s="718">
        <v>0.06</v>
      </c>
      <c r="W10" s="1176">
        <v>0.21</v>
      </c>
      <c r="X10" s="1005"/>
      <c r="AD10" s="1005"/>
    </row>
    <row r="11" spans="1:30" s="624" customFormat="1" ht="11.1" customHeight="1">
      <c r="A11" s="458" t="s">
        <v>549</v>
      </c>
      <c r="B11" s="570" t="s">
        <v>651</v>
      </c>
      <c r="C11" s="1006" t="s">
        <v>638</v>
      </c>
      <c r="D11" s="996">
        <v>152</v>
      </c>
      <c r="E11" s="1007">
        <v>152</v>
      </c>
      <c r="F11" s="1008">
        <v>2500</v>
      </c>
      <c r="G11" s="1008">
        <v>6.08E-2</v>
      </c>
      <c r="H11" s="1008">
        <v>7.8800000000000008E-6</v>
      </c>
      <c r="I11" s="1008">
        <v>3.93</v>
      </c>
      <c r="J11" s="900">
        <v>9.1200000000000005E-4</v>
      </c>
      <c r="K11" s="1008">
        <v>1.4499999999999999E-3</v>
      </c>
      <c r="L11" s="1008">
        <v>5.9499999999999997E-2</v>
      </c>
      <c r="M11" s="1009">
        <v>1</v>
      </c>
      <c r="N11" s="1010">
        <v>0.13</v>
      </c>
      <c r="O11" s="1001">
        <v>0.41075359376748</v>
      </c>
      <c r="P11" s="1001">
        <v>0.76811235300464997</v>
      </c>
      <c r="Q11" s="1001">
        <v>1.84346964721115</v>
      </c>
      <c r="R11" s="1174">
        <v>8.5999999999999993E-2</v>
      </c>
      <c r="S11" s="1011"/>
      <c r="T11" s="1011"/>
      <c r="U11" s="1011">
        <v>0.04</v>
      </c>
      <c r="V11" s="720">
        <v>0.04</v>
      </c>
      <c r="W11" s="1004">
        <v>0.16</v>
      </c>
      <c r="X11" s="1005"/>
      <c r="AD11" s="1005"/>
    </row>
    <row r="12" spans="1:30" s="624" customFormat="1" ht="11.1" customHeight="1">
      <c r="A12" s="458" t="s">
        <v>550</v>
      </c>
      <c r="B12" s="570" t="s">
        <v>651</v>
      </c>
      <c r="C12" s="1006" t="s">
        <v>652</v>
      </c>
      <c r="D12" s="996">
        <v>58</v>
      </c>
      <c r="E12" s="1007">
        <v>58.08</v>
      </c>
      <c r="F12" s="1012">
        <v>2.4</v>
      </c>
      <c r="G12" s="1008">
        <v>0.11</v>
      </c>
      <c r="H12" s="1008">
        <v>1.1E-5</v>
      </c>
      <c r="I12" s="1008">
        <v>1000000</v>
      </c>
      <c r="J12" s="900">
        <v>231.5</v>
      </c>
      <c r="K12" s="1012">
        <v>3.4999999999999997E-5</v>
      </c>
      <c r="L12" s="1012">
        <v>1.4E-3</v>
      </c>
      <c r="M12" s="1009">
        <v>1</v>
      </c>
      <c r="N12" s="1010"/>
      <c r="O12" s="1001">
        <v>1.50076832709E-3</v>
      </c>
      <c r="P12" s="1001">
        <v>0.22238339169509</v>
      </c>
      <c r="Q12" s="1001">
        <v>0.53372014006821</v>
      </c>
      <c r="R12" s="1174">
        <v>5.1199999999999998E-4</v>
      </c>
      <c r="S12" s="1011"/>
      <c r="T12" s="1011"/>
      <c r="U12" s="1011">
        <v>0.9</v>
      </c>
      <c r="V12" s="720">
        <v>0.9</v>
      </c>
      <c r="W12" s="1004">
        <v>3.15</v>
      </c>
      <c r="X12" s="1005"/>
      <c r="AD12" s="1005"/>
    </row>
    <row r="13" spans="1:30" s="624" customFormat="1" ht="11.1" customHeight="1">
      <c r="A13" s="458" t="s">
        <v>551</v>
      </c>
      <c r="B13" s="1013" t="s">
        <v>1405</v>
      </c>
      <c r="C13" s="1006" t="s">
        <v>638</v>
      </c>
      <c r="D13" s="996">
        <v>365</v>
      </c>
      <c r="E13" s="1007">
        <v>364.92</v>
      </c>
      <c r="F13" s="1008">
        <v>82020</v>
      </c>
      <c r="G13" s="1008">
        <v>2.3E-2</v>
      </c>
      <c r="H13" s="1008">
        <v>5.8000000000000004E-6</v>
      </c>
      <c r="I13" s="1008">
        <v>1.7000000000000001E-2</v>
      </c>
      <c r="J13" s="900">
        <v>1.2E-4</v>
      </c>
      <c r="K13" s="1008">
        <v>4.3999999999999999E-5</v>
      </c>
      <c r="L13" s="1008">
        <v>1.8E-3</v>
      </c>
      <c r="M13" s="1009">
        <v>1</v>
      </c>
      <c r="N13" s="1010"/>
      <c r="O13" s="1001">
        <v>2.15274755911009</v>
      </c>
      <c r="P13" s="1001">
        <v>11.6252084690171</v>
      </c>
      <c r="Q13" s="1001">
        <v>47.726506161858701</v>
      </c>
      <c r="R13" s="1174">
        <v>0.29299999999999998</v>
      </c>
      <c r="S13" s="1011">
        <v>3.4</v>
      </c>
      <c r="T13" s="1011">
        <v>4.8999999999999998E-3</v>
      </c>
      <c r="U13" s="1011">
        <v>1E-4</v>
      </c>
      <c r="V13" s="720">
        <v>1E-4</v>
      </c>
      <c r="W13" s="1004"/>
      <c r="X13" s="1005"/>
      <c r="AD13" s="1005"/>
    </row>
    <row r="14" spans="1:30" ht="11.25" customHeight="1">
      <c r="A14" s="458" t="s">
        <v>161</v>
      </c>
      <c r="B14" s="570" t="s">
        <v>653</v>
      </c>
      <c r="C14" s="1006" t="s">
        <v>638</v>
      </c>
      <c r="D14" s="996">
        <v>227</v>
      </c>
      <c r="E14" s="1007">
        <v>227.33</v>
      </c>
      <c r="F14" s="1008">
        <v>428.2</v>
      </c>
      <c r="G14" s="1008">
        <v>5.0999999999999997E-2</v>
      </c>
      <c r="H14" s="1008">
        <v>6.0000000000000002E-6</v>
      </c>
      <c r="I14" s="1008">
        <v>209</v>
      </c>
      <c r="J14" s="900">
        <v>2.7E-6</v>
      </c>
      <c r="K14" s="1008">
        <v>2.4E-9</v>
      </c>
      <c r="L14" s="1008">
        <v>9.9E-8</v>
      </c>
      <c r="M14" s="1009">
        <v>1</v>
      </c>
      <c r="N14" s="1010">
        <v>0.1</v>
      </c>
      <c r="O14" s="1001">
        <v>4.6044263479920002E-2</v>
      </c>
      <c r="P14" s="1001">
        <v>1.9719538625600399</v>
      </c>
      <c r="Q14" s="1001">
        <v>4.7326892701440997</v>
      </c>
      <c r="R14" s="1174">
        <v>7.9399999999999991E-3</v>
      </c>
      <c r="S14" s="1011"/>
      <c r="T14" s="1011"/>
      <c r="U14" s="1011">
        <v>8.9999999999999993E-3</v>
      </c>
      <c r="V14" s="720">
        <v>8.9999999999999993E-3</v>
      </c>
      <c r="W14" s="1014"/>
      <c r="X14" s="1005"/>
      <c r="AD14" s="1005"/>
    </row>
    <row r="15" spans="1:30" ht="11.25" customHeight="1">
      <c r="A15" s="458" t="s">
        <v>162</v>
      </c>
      <c r="B15" s="570" t="s">
        <v>653</v>
      </c>
      <c r="C15" s="1006" t="s">
        <v>638</v>
      </c>
      <c r="D15" s="996">
        <v>197</v>
      </c>
      <c r="E15" s="1007">
        <v>197.15</v>
      </c>
      <c r="F15" s="1008">
        <v>283</v>
      </c>
      <c r="G15" s="1008">
        <v>5.6000000000000001E-2</v>
      </c>
      <c r="H15" s="1008">
        <v>6.6000000000000003E-6</v>
      </c>
      <c r="I15" s="1008">
        <v>1220</v>
      </c>
      <c r="J15" s="900">
        <v>1.1E-5</v>
      </c>
      <c r="K15" s="1008">
        <v>3.3000000000000002E-11</v>
      </c>
      <c r="L15" s="1008">
        <v>1.3000000000000001E-9</v>
      </c>
      <c r="M15" s="1009">
        <v>1</v>
      </c>
      <c r="N15" s="1010">
        <v>6.0000000000000001E-3</v>
      </c>
      <c r="O15" s="1001">
        <v>1.1016793528290001E-2</v>
      </c>
      <c r="P15" s="1001">
        <v>1.3362531734440699</v>
      </c>
      <c r="Q15" s="1001">
        <v>3.2070076162657601</v>
      </c>
      <c r="R15" s="1174">
        <v>2.0400000000000001E-3</v>
      </c>
      <c r="S15" s="1011"/>
      <c r="T15" s="1011"/>
      <c r="U15" s="1015">
        <v>1E-4</v>
      </c>
      <c r="V15" s="720">
        <v>1E-4</v>
      </c>
      <c r="W15" s="1014" t="s">
        <v>954</v>
      </c>
      <c r="X15" s="1005"/>
      <c r="AD15" s="1005"/>
    </row>
    <row r="16" spans="1:30" ht="11.25" customHeight="1">
      <c r="A16" s="458" t="s">
        <v>94</v>
      </c>
      <c r="B16" s="570" t="s">
        <v>653</v>
      </c>
      <c r="C16" s="1006" t="s">
        <v>638</v>
      </c>
      <c r="D16" s="996">
        <v>197</v>
      </c>
      <c r="E16" s="1007">
        <v>197.15</v>
      </c>
      <c r="F16" s="1008">
        <v>283</v>
      </c>
      <c r="G16" s="1008">
        <v>5.6000000000000001E-2</v>
      </c>
      <c r="H16" s="1008">
        <v>6.6000000000000003E-6</v>
      </c>
      <c r="I16" s="1008">
        <v>1220</v>
      </c>
      <c r="J16" s="900">
        <v>1.1E-5</v>
      </c>
      <c r="K16" s="1008">
        <v>3.3000000000000002E-11</v>
      </c>
      <c r="L16" s="1008">
        <v>1.3000000000000001E-9</v>
      </c>
      <c r="M16" s="1009">
        <v>1</v>
      </c>
      <c r="N16" s="1010">
        <v>8.9999999999999993E-3</v>
      </c>
      <c r="O16" s="1001">
        <v>1.1016793528290001E-2</v>
      </c>
      <c r="P16" s="1001">
        <v>1.3362531734440699</v>
      </c>
      <c r="Q16" s="1001">
        <v>3.2070076162657601</v>
      </c>
      <c r="R16" s="1174">
        <v>2.0400000000000001E-3</v>
      </c>
      <c r="S16" s="1011"/>
      <c r="T16" s="1011"/>
      <c r="U16" s="1015">
        <v>1E-4</v>
      </c>
      <c r="V16" s="720">
        <v>1E-4</v>
      </c>
      <c r="W16" s="1014" t="s">
        <v>954</v>
      </c>
      <c r="X16" s="1005"/>
      <c r="AD16" s="1005"/>
    </row>
    <row r="17" spans="1:30" ht="11.25" customHeight="1">
      <c r="A17" s="458" t="s">
        <v>552</v>
      </c>
      <c r="B17" s="570" t="s">
        <v>651</v>
      </c>
      <c r="C17" s="1006" t="s">
        <v>638</v>
      </c>
      <c r="D17" s="996">
        <v>178</v>
      </c>
      <c r="E17" s="1007">
        <v>178.24</v>
      </c>
      <c r="F17" s="1008">
        <v>16360</v>
      </c>
      <c r="G17" s="1008">
        <v>3.9E-2</v>
      </c>
      <c r="H17" s="1008">
        <v>7.9000000000000006E-6</v>
      </c>
      <c r="I17" s="1008">
        <v>4.2999999999999997E-2</v>
      </c>
      <c r="J17" s="900">
        <v>6.4999999999999996E-6</v>
      </c>
      <c r="K17" s="1008">
        <v>5.5999999999999999E-5</v>
      </c>
      <c r="L17" s="1008">
        <v>2.3E-3</v>
      </c>
      <c r="M17" s="1009">
        <v>1</v>
      </c>
      <c r="N17" s="1010">
        <v>0.13</v>
      </c>
      <c r="O17" s="1001">
        <v>0.72915118033710002</v>
      </c>
      <c r="P17" s="1001">
        <v>1.0471110667780701</v>
      </c>
      <c r="Q17" s="1001">
        <v>4.0502150728380801</v>
      </c>
      <c r="R17" s="1174">
        <v>0.14199999999999999</v>
      </c>
      <c r="S17" s="1011"/>
      <c r="T17" s="1011"/>
      <c r="U17" s="1011">
        <v>0.3</v>
      </c>
      <c r="V17" s="720">
        <v>0.3</v>
      </c>
      <c r="W17" s="1004">
        <v>1.1000000000000001</v>
      </c>
      <c r="X17" s="1005"/>
      <c r="AD17" s="1005"/>
    </row>
    <row r="18" spans="1:30" ht="11.25" customHeight="1">
      <c r="A18" s="458" t="s">
        <v>553</v>
      </c>
      <c r="B18" s="570" t="s">
        <v>653</v>
      </c>
      <c r="C18" s="1006" t="s">
        <v>638</v>
      </c>
      <c r="D18" s="996">
        <v>122</v>
      </c>
      <c r="E18" s="1007">
        <v>124.78</v>
      </c>
      <c r="F18" s="1012"/>
      <c r="G18" s="1012"/>
      <c r="H18" s="1012"/>
      <c r="I18" s="1012"/>
      <c r="J18" s="900"/>
      <c r="K18" s="1012"/>
      <c r="L18" s="1012"/>
      <c r="M18" s="1010">
        <v>0.15</v>
      </c>
      <c r="N18" s="1010"/>
      <c r="O18" s="1001">
        <v>4.2440351458899999E-3</v>
      </c>
      <c r="P18" s="1001">
        <v>0.50548089946876995</v>
      </c>
      <c r="Q18" s="1001">
        <v>1.2131541587250401</v>
      </c>
      <c r="R18" s="1174">
        <v>1E-3</v>
      </c>
      <c r="S18" s="1011"/>
      <c r="T18" s="1011"/>
      <c r="U18" s="1011">
        <v>4.0000000000000002E-4</v>
      </c>
      <c r="V18" s="720">
        <v>4.0000000000000002E-4</v>
      </c>
      <c r="W18" s="1014">
        <v>2.9999999999999997E-4</v>
      </c>
      <c r="X18" s="1005"/>
      <c r="AD18" s="1005"/>
    </row>
    <row r="19" spans="1:30" ht="11.25" customHeight="1">
      <c r="A19" s="458" t="s">
        <v>686</v>
      </c>
      <c r="B19" s="570" t="s">
        <v>653</v>
      </c>
      <c r="C19" s="1006" t="s">
        <v>638</v>
      </c>
      <c r="D19" s="996">
        <v>75</v>
      </c>
      <c r="E19" s="1007">
        <v>77.95</v>
      </c>
      <c r="F19" s="1012" t="s">
        <v>954</v>
      </c>
      <c r="G19" s="1012" t="s">
        <v>954</v>
      </c>
      <c r="H19" s="1012"/>
      <c r="I19" s="1012"/>
      <c r="J19" s="900"/>
      <c r="K19" s="1012"/>
      <c r="L19" s="1012"/>
      <c r="M19" s="1009">
        <v>1</v>
      </c>
      <c r="N19" s="1010">
        <v>0.03</v>
      </c>
      <c r="O19" s="1001">
        <v>3.32913443626E-3</v>
      </c>
      <c r="P19" s="1001">
        <v>0.27631976420125998</v>
      </c>
      <c r="Q19" s="1001">
        <v>0.66316743408303003</v>
      </c>
      <c r="R19" s="1174">
        <v>1E-3</v>
      </c>
      <c r="S19" s="1011">
        <v>1.5</v>
      </c>
      <c r="T19" s="1011">
        <v>4.3E-3</v>
      </c>
      <c r="U19" s="1011">
        <v>2.9999999999999997E-4</v>
      </c>
      <c r="V19" s="720">
        <v>2.9999999999999997E-4</v>
      </c>
      <c r="W19" s="1004">
        <v>1.5E-5</v>
      </c>
      <c r="X19" s="1005"/>
      <c r="AD19" s="1005"/>
    </row>
    <row r="20" spans="1:30" ht="11.25" customHeight="1">
      <c r="A20" s="458" t="s">
        <v>95</v>
      </c>
      <c r="B20" s="570" t="s">
        <v>653</v>
      </c>
      <c r="C20" s="1006" t="s">
        <v>638</v>
      </c>
      <c r="D20" s="996">
        <v>216</v>
      </c>
      <c r="E20" s="1007">
        <v>215.69</v>
      </c>
      <c r="F20" s="1008">
        <v>224.5</v>
      </c>
      <c r="G20" s="1008">
        <v>2.5999999999999999E-2</v>
      </c>
      <c r="H20" s="1008">
        <v>6.8000000000000001E-6</v>
      </c>
      <c r="I20" s="1008">
        <v>35</v>
      </c>
      <c r="J20" s="900">
        <v>2.8999999999999998E-7</v>
      </c>
      <c r="K20" s="1008">
        <v>2.4E-9</v>
      </c>
      <c r="L20" s="1008">
        <v>9.5999999999999999E-8</v>
      </c>
      <c r="M20" s="1009">
        <v>1</v>
      </c>
      <c r="N20" s="1010">
        <v>0.1</v>
      </c>
      <c r="O20" s="1001">
        <v>2.9598720946299999E-2</v>
      </c>
      <c r="P20" s="1001">
        <v>1.69712077416229</v>
      </c>
      <c r="Q20" s="1001">
        <v>4.0730898579895003</v>
      </c>
      <c r="R20" s="1174">
        <v>5.2399999999999999E-3</v>
      </c>
      <c r="S20" s="1011">
        <v>0.23</v>
      </c>
      <c r="T20" s="1011"/>
      <c r="U20" s="1011">
        <v>3.0000000000000001E-3</v>
      </c>
      <c r="V20" s="720">
        <v>3.0000000000000001E-3</v>
      </c>
      <c r="W20" s="1014" t="s">
        <v>954</v>
      </c>
      <c r="X20" s="1005"/>
      <c r="AD20" s="1005"/>
    </row>
    <row r="21" spans="1:30" ht="11.25" customHeight="1">
      <c r="A21" s="458" t="s">
        <v>687</v>
      </c>
      <c r="B21" s="570" t="s">
        <v>653</v>
      </c>
      <c r="C21" s="1006" t="s">
        <v>638</v>
      </c>
      <c r="D21" s="996">
        <v>137</v>
      </c>
      <c r="E21" s="1007">
        <v>137.33000000000001</v>
      </c>
      <c r="F21" s="1012" t="s">
        <v>954</v>
      </c>
      <c r="G21" s="1012" t="s">
        <v>954</v>
      </c>
      <c r="H21" s="1012" t="s">
        <v>954</v>
      </c>
      <c r="I21" s="1012" t="s">
        <v>954</v>
      </c>
      <c r="J21" s="900"/>
      <c r="K21" s="1012"/>
      <c r="L21" s="1012"/>
      <c r="M21" s="1010">
        <v>7.0000000000000007E-2</v>
      </c>
      <c r="N21" s="1010"/>
      <c r="O21" s="1001">
        <v>4.5072262820299996E-3</v>
      </c>
      <c r="P21" s="1001">
        <v>0.61786948865683999</v>
      </c>
      <c r="Q21" s="1001">
        <v>1.4828867727764099</v>
      </c>
      <c r="R21" s="1174">
        <v>1E-3</v>
      </c>
      <c r="S21" s="1011"/>
      <c r="T21" s="1011"/>
      <c r="U21" s="1011">
        <v>0.2</v>
      </c>
      <c r="V21" s="720">
        <v>0.2</v>
      </c>
      <c r="W21" s="1004">
        <v>5.0000000000000001E-4</v>
      </c>
      <c r="X21" s="1005"/>
      <c r="AD21" s="1005"/>
    </row>
    <row r="22" spans="1:30" ht="11.25" customHeight="1">
      <c r="A22" s="458" t="s">
        <v>1156</v>
      </c>
      <c r="B22" s="570" t="s">
        <v>653</v>
      </c>
      <c r="C22" s="1006" t="s">
        <v>638</v>
      </c>
      <c r="D22" s="996">
        <v>230</v>
      </c>
      <c r="E22" s="1007">
        <v>230</v>
      </c>
      <c r="F22" s="1008">
        <v>336.2</v>
      </c>
      <c r="G22" s="1012">
        <v>4.2999999999999997E-2</v>
      </c>
      <c r="H22" s="1012">
        <v>5.1000000000000003E-6</v>
      </c>
      <c r="I22" s="1008">
        <v>3.8</v>
      </c>
      <c r="J22" s="900">
        <v>3.7E-9</v>
      </c>
      <c r="K22" s="1012">
        <v>4.8999999999999997E-12</v>
      </c>
      <c r="L22" s="1012">
        <v>2.0000000000000001E-10</v>
      </c>
      <c r="M22" s="1010">
        <v>1</v>
      </c>
      <c r="N22" s="1010">
        <v>0.1</v>
      </c>
      <c r="O22" s="1001">
        <v>6.1798341842100001E-3</v>
      </c>
      <c r="P22" s="1001">
        <v>4.4426361853052896</v>
      </c>
      <c r="Q22" s="1001">
        <v>10.6623268447327</v>
      </c>
      <c r="R22" s="1174">
        <v>9.4300000000000004E-4</v>
      </c>
      <c r="S22" s="1011"/>
      <c r="T22" s="1011"/>
      <c r="U22" s="1011">
        <v>0.05</v>
      </c>
      <c r="V22" s="720">
        <v>0.05</v>
      </c>
      <c r="W22" s="1016" t="s">
        <v>954</v>
      </c>
      <c r="X22" s="1005"/>
      <c r="AD22" s="1005"/>
    </row>
    <row r="23" spans="1:30" ht="11.25" customHeight="1">
      <c r="A23" s="458" t="s">
        <v>688</v>
      </c>
      <c r="B23" s="570" t="s">
        <v>651</v>
      </c>
      <c r="C23" s="1006" t="s">
        <v>652</v>
      </c>
      <c r="D23" s="996">
        <v>78</v>
      </c>
      <c r="E23" s="1007">
        <v>78.11</v>
      </c>
      <c r="F23" s="1008">
        <v>150</v>
      </c>
      <c r="G23" s="1008">
        <v>0.09</v>
      </c>
      <c r="H23" s="1008">
        <v>1.0000000000000001E-5</v>
      </c>
      <c r="I23" s="1008">
        <v>1790</v>
      </c>
      <c r="J23" s="900">
        <v>94.8</v>
      </c>
      <c r="K23" s="1008">
        <v>5.5999999999999999E-3</v>
      </c>
      <c r="L23" s="1012">
        <v>0.23</v>
      </c>
      <c r="M23" s="1009">
        <v>1</v>
      </c>
      <c r="N23" s="1010"/>
      <c r="O23" s="1001">
        <v>5.065008038978E-2</v>
      </c>
      <c r="P23" s="1001">
        <v>0.28793386679265998</v>
      </c>
      <c r="Q23" s="1001">
        <v>0.69104128030237</v>
      </c>
      <c r="R23" s="1174">
        <v>1.49E-2</v>
      </c>
      <c r="S23" s="1011">
        <v>5.5E-2</v>
      </c>
      <c r="T23" s="1011">
        <v>7.7999999999999999E-6</v>
      </c>
      <c r="U23" s="1011">
        <v>4.0000000000000001E-3</v>
      </c>
      <c r="V23" s="720">
        <v>4.0000000000000001E-3</v>
      </c>
      <c r="W23" s="1004">
        <v>0.03</v>
      </c>
      <c r="X23" s="1005"/>
      <c r="AD23" s="1005"/>
    </row>
    <row r="24" spans="1:30" ht="11.25" customHeight="1">
      <c r="A24" s="458" t="s">
        <v>689</v>
      </c>
      <c r="B24" s="570" t="s">
        <v>1405</v>
      </c>
      <c r="C24" s="1006" t="s">
        <v>638</v>
      </c>
      <c r="D24" s="996">
        <v>228</v>
      </c>
      <c r="E24" s="1007">
        <v>228.3</v>
      </c>
      <c r="F24" s="1008">
        <v>176900</v>
      </c>
      <c r="G24" s="1008">
        <v>2.5999999999999999E-2</v>
      </c>
      <c r="H24" s="1008">
        <v>6.7000000000000002E-6</v>
      </c>
      <c r="I24" s="1008">
        <v>9.4000000000000004E-3</v>
      </c>
      <c r="J24" s="900">
        <v>2.1E-7</v>
      </c>
      <c r="K24" s="1008">
        <v>1.2E-5</v>
      </c>
      <c r="L24" s="1008">
        <v>4.8999999999999998E-4</v>
      </c>
      <c r="M24" s="1009">
        <v>1</v>
      </c>
      <c r="N24" s="1010">
        <v>0.13</v>
      </c>
      <c r="O24" s="1001">
        <v>3.2078842222611401</v>
      </c>
      <c r="P24" s="1001">
        <v>1.99677324839304</v>
      </c>
      <c r="Q24" s="1001">
        <v>8.4818237910935093</v>
      </c>
      <c r="R24" s="1174">
        <v>0.55200000000000005</v>
      </c>
      <c r="S24" s="1011">
        <v>0.1</v>
      </c>
      <c r="T24" s="1011">
        <v>6.0000000000000002E-5</v>
      </c>
      <c r="U24" s="1015" t="s">
        <v>954</v>
      </c>
      <c r="V24" s="720" t="s">
        <v>954</v>
      </c>
      <c r="W24" s="1014" t="s">
        <v>954</v>
      </c>
      <c r="X24" s="1005"/>
      <c r="AD24" s="1005"/>
    </row>
    <row r="25" spans="1:30" ht="11.25" customHeight="1">
      <c r="A25" s="458" t="s">
        <v>690</v>
      </c>
      <c r="B25" s="570" t="s">
        <v>653</v>
      </c>
      <c r="C25" s="1006" t="s">
        <v>638</v>
      </c>
      <c r="D25" s="996">
        <v>252</v>
      </c>
      <c r="E25" s="1007">
        <v>252.32</v>
      </c>
      <c r="F25" s="1008">
        <v>587400</v>
      </c>
      <c r="G25" s="1012">
        <v>2.5000000000000001E-2</v>
      </c>
      <c r="H25" s="1012">
        <v>6.6000000000000003E-6</v>
      </c>
      <c r="I25" s="1008">
        <v>1.6000000000000001E-3</v>
      </c>
      <c r="J25" s="900">
        <v>5.4999999999999996E-9</v>
      </c>
      <c r="K25" s="1008">
        <v>4.5999999999999999E-7</v>
      </c>
      <c r="L25" s="1008">
        <v>1.9000000000000001E-5</v>
      </c>
      <c r="M25" s="1009">
        <v>1</v>
      </c>
      <c r="N25" s="1010">
        <v>0.13</v>
      </c>
      <c r="O25" s="1001">
        <v>4.3560416128113797</v>
      </c>
      <c r="P25" s="1001">
        <v>2.72170311040471</v>
      </c>
      <c r="Q25" s="1001">
        <v>11.8221045485476</v>
      </c>
      <c r="R25" s="1174">
        <v>0.71299999999999997</v>
      </c>
      <c r="S25" s="1011">
        <v>1</v>
      </c>
      <c r="T25" s="1011">
        <v>5.9999999999999995E-4</v>
      </c>
      <c r="U25" s="1011">
        <v>2.9999999999999997E-4</v>
      </c>
      <c r="V25" s="720">
        <v>2.9999999999999997E-4</v>
      </c>
      <c r="W25" s="1017">
        <v>1.9999999999999999E-6</v>
      </c>
      <c r="X25" s="1005"/>
      <c r="AD25" s="1005"/>
    </row>
    <row r="26" spans="1:30" ht="11.25" customHeight="1">
      <c r="A26" s="458" t="s">
        <v>691</v>
      </c>
      <c r="B26" s="570" t="s">
        <v>653</v>
      </c>
      <c r="C26" s="1006" t="s">
        <v>638</v>
      </c>
      <c r="D26" s="996">
        <v>252</v>
      </c>
      <c r="E26" s="1007">
        <v>252.32</v>
      </c>
      <c r="F26" s="1008">
        <v>599400</v>
      </c>
      <c r="G26" s="1012">
        <v>2.5000000000000001E-2</v>
      </c>
      <c r="H26" s="1012">
        <v>6.3999999999999997E-6</v>
      </c>
      <c r="I26" s="1008">
        <v>1.5E-3</v>
      </c>
      <c r="J26" s="900">
        <v>4.9999999999999998E-7</v>
      </c>
      <c r="K26" s="1008">
        <v>6.6000000000000003E-7</v>
      </c>
      <c r="L26" s="1008">
        <v>2.6999999999999999E-5</v>
      </c>
      <c r="M26" s="1009">
        <v>1</v>
      </c>
      <c r="N26" s="1010">
        <v>0.13</v>
      </c>
      <c r="O26" s="1001">
        <v>2.5476428506905302</v>
      </c>
      <c r="P26" s="1001">
        <v>2.72170311040471</v>
      </c>
      <c r="Q26" s="1001">
        <v>11.342074091747</v>
      </c>
      <c r="R26" s="1174">
        <v>0.41699999999999998</v>
      </c>
      <c r="S26" s="1011">
        <v>0.1</v>
      </c>
      <c r="T26" s="1011">
        <v>6.0000000000000002E-5</v>
      </c>
      <c r="U26" s="1015" t="s">
        <v>954</v>
      </c>
      <c r="V26" s="720" t="s">
        <v>954</v>
      </c>
      <c r="W26" s="1014" t="s">
        <v>954</v>
      </c>
      <c r="X26" s="1005"/>
      <c r="AD26" s="1005"/>
    </row>
    <row r="27" spans="1:30" ht="11.25" customHeight="1">
      <c r="A27" s="458" t="s">
        <v>692</v>
      </c>
      <c r="B27" s="570" t="s">
        <v>653</v>
      </c>
      <c r="C27" s="1006" t="s">
        <v>638</v>
      </c>
      <c r="D27" s="996">
        <v>276</v>
      </c>
      <c r="E27" s="1007">
        <v>276</v>
      </c>
      <c r="F27" s="1008">
        <v>1600000</v>
      </c>
      <c r="G27" s="1008">
        <v>4.8000000000000001E-2</v>
      </c>
      <c r="H27" s="1008">
        <v>5.5999999999999997E-6</v>
      </c>
      <c r="I27" s="1008">
        <v>2.5999999999999998E-4</v>
      </c>
      <c r="J27" s="900">
        <v>1E-10</v>
      </c>
      <c r="K27" s="1008">
        <v>1.4399999999999999E-7</v>
      </c>
      <c r="L27" s="1008">
        <v>5.9000000000000003E-6</v>
      </c>
      <c r="M27" s="1009">
        <v>1</v>
      </c>
      <c r="N27" s="1010">
        <v>0.13</v>
      </c>
      <c r="O27" s="1001">
        <v>2.5476428506905302</v>
      </c>
      <c r="P27" s="1001">
        <v>2.72170311040471</v>
      </c>
      <c r="Q27" s="1001">
        <v>11.342074091747</v>
      </c>
      <c r="R27" s="1174">
        <v>0.41699999999999998</v>
      </c>
      <c r="S27" s="1011"/>
      <c r="T27" s="1011"/>
      <c r="U27" s="1011">
        <v>0.04</v>
      </c>
      <c r="V27" s="720">
        <v>0.04</v>
      </c>
      <c r="W27" s="1017"/>
      <c r="X27" s="1005"/>
      <c r="AD27" s="1005"/>
    </row>
    <row r="28" spans="1:30" ht="11.25" customHeight="1">
      <c r="A28" s="458" t="s">
        <v>693</v>
      </c>
      <c r="B28" s="570" t="s">
        <v>653</v>
      </c>
      <c r="C28" s="1006" t="s">
        <v>638</v>
      </c>
      <c r="D28" s="996">
        <v>252</v>
      </c>
      <c r="E28" s="1007">
        <v>252.32</v>
      </c>
      <c r="F28" s="1008">
        <v>587400</v>
      </c>
      <c r="G28" s="1012">
        <v>2.5000000000000001E-2</v>
      </c>
      <c r="H28" s="1012">
        <v>6.3999999999999997E-6</v>
      </c>
      <c r="I28" s="1008">
        <v>8.0000000000000004E-4</v>
      </c>
      <c r="J28" s="900">
        <v>9.6999999999999996E-10</v>
      </c>
      <c r="K28" s="1008">
        <v>5.7999999999999995E-7</v>
      </c>
      <c r="L28" s="1008">
        <v>2.4000000000000001E-5</v>
      </c>
      <c r="M28" s="1009">
        <v>1</v>
      </c>
      <c r="N28" s="1010">
        <v>0.13</v>
      </c>
      <c r="O28" s="1001">
        <v>4.22163359670781</v>
      </c>
      <c r="P28" s="1001">
        <v>2.72170311040471</v>
      </c>
      <c r="Q28" s="1001">
        <v>11.7971618300472</v>
      </c>
      <c r="R28" s="1174">
        <v>0.69099999999999995</v>
      </c>
      <c r="S28" s="1011">
        <v>0.01</v>
      </c>
      <c r="T28" s="1011">
        <v>6.0000000000000002E-6</v>
      </c>
      <c r="U28" s="1015" t="s">
        <v>954</v>
      </c>
      <c r="V28" s="720" t="s">
        <v>954</v>
      </c>
      <c r="W28" s="1014" t="s">
        <v>954</v>
      </c>
      <c r="X28" s="1005"/>
      <c r="AD28" s="1005"/>
    </row>
    <row r="29" spans="1:30" ht="11.25" customHeight="1">
      <c r="A29" s="458" t="s">
        <v>126</v>
      </c>
      <c r="B29" s="570" t="s">
        <v>653</v>
      </c>
      <c r="C29" s="1006" t="s">
        <v>638</v>
      </c>
      <c r="D29" s="996">
        <v>9</v>
      </c>
      <c r="E29" s="1007">
        <v>9.01</v>
      </c>
      <c r="F29" s="1012" t="s">
        <v>954</v>
      </c>
      <c r="G29" s="1012" t="s">
        <v>954</v>
      </c>
      <c r="H29" s="1012"/>
      <c r="I29" s="1012" t="s">
        <v>954</v>
      </c>
      <c r="J29" s="900"/>
      <c r="K29" s="1012" t="s">
        <v>954</v>
      </c>
      <c r="L29" s="1012" t="s">
        <v>954</v>
      </c>
      <c r="M29" s="1010">
        <v>7.0000000000000001E-3</v>
      </c>
      <c r="N29" s="1010"/>
      <c r="O29" s="1001">
        <v>1.1544870015200001E-3</v>
      </c>
      <c r="P29" s="1001">
        <v>0.11811491713783</v>
      </c>
      <c r="Q29" s="1001">
        <v>0.28347580113079002</v>
      </c>
      <c r="R29" s="1174">
        <v>1E-3</v>
      </c>
      <c r="S29" s="1011"/>
      <c r="T29" s="1011">
        <v>2.3999999999999998E-3</v>
      </c>
      <c r="U29" s="1011">
        <v>2E-3</v>
      </c>
      <c r="V29" s="720">
        <v>2E-3</v>
      </c>
      <c r="W29" s="1004">
        <v>2.0000000000000002E-5</v>
      </c>
      <c r="X29" s="1005"/>
      <c r="AD29" s="1005"/>
    </row>
    <row r="30" spans="1:30" ht="11.25" customHeight="1">
      <c r="A30" s="458" t="s">
        <v>233</v>
      </c>
      <c r="B30" s="570" t="s">
        <v>651</v>
      </c>
      <c r="C30" s="1006" t="s">
        <v>638</v>
      </c>
      <c r="D30" s="996">
        <v>154</v>
      </c>
      <c r="E30" s="1007">
        <v>154.21</v>
      </c>
      <c r="F30" s="1008">
        <v>5129</v>
      </c>
      <c r="G30" s="1008">
        <v>4.7E-2</v>
      </c>
      <c r="H30" s="1008">
        <v>7.6000000000000001E-6</v>
      </c>
      <c r="I30" s="1008">
        <v>7.48</v>
      </c>
      <c r="J30" s="900">
        <v>8.8999999999999999E-3</v>
      </c>
      <c r="K30" s="1008">
        <v>3.1E-4</v>
      </c>
      <c r="L30" s="1008">
        <v>1.2999999999999999E-2</v>
      </c>
      <c r="M30" s="1009">
        <v>1</v>
      </c>
      <c r="N30" s="1010"/>
      <c r="O30" s="1001">
        <v>0.45039609177062001</v>
      </c>
      <c r="P30" s="1001">
        <v>0.76811235300464997</v>
      </c>
      <c r="Q30" s="1001">
        <v>1.84346964721115</v>
      </c>
      <c r="R30" s="1174">
        <v>9.4299999999999995E-2</v>
      </c>
      <c r="S30" s="1011">
        <v>8.0000000000000002E-3</v>
      </c>
      <c r="T30" s="1011"/>
      <c r="U30" s="1011">
        <v>0.5</v>
      </c>
      <c r="V30" s="720">
        <v>0.5</v>
      </c>
      <c r="W30" s="1004">
        <v>4.0000000000000002E-4</v>
      </c>
      <c r="X30" s="1005"/>
      <c r="AD30" s="1005"/>
    </row>
    <row r="31" spans="1:30" ht="11.25" customHeight="1">
      <c r="A31" s="458" t="s">
        <v>127</v>
      </c>
      <c r="B31" s="570" t="s">
        <v>651</v>
      </c>
      <c r="C31" s="1006" t="s">
        <v>652</v>
      </c>
      <c r="D31" s="996">
        <v>143</v>
      </c>
      <c r="E31" s="1007">
        <v>143.01</v>
      </c>
      <c r="F31" s="1008">
        <v>32.21</v>
      </c>
      <c r="G31" s="1008">
        <v>5.7000000000000002E-2</v>
      </c>
      <c r="H31" s="1008">
        <v>8.6999999999999997E-6</v>
      </c>
      <c r="I31" s="1008">
        <v>17200</v>
      </c>
      <c r="J31" s="900">
        <v>1.55</v>
      </c>
      <c r="K31" s="1008">
        <v>1.7E-5</v>
      </c>
      <c r="L31" s="1008">
        <v>6.9999999999999999E-4</v>
      </c>
      <c r="M31" s="1009">
        <v>1</v>
      </c>
      <c r="N31" s="1010"/>
      <c r="O31" s="1001">
        <v>8.1870955250399995E-3</v>
      </c>
      <c r="P31" s="1001">
        <v>0.66482103118018998</v>
      </c>
      <c r="Q31" s="1001">
        <v>1.59557047483245</v>
      </c>
      <c r="R31" s="1174">
        <v>1.7799999999999999E-3</v>
      </c>
      <c r="S31" s="1011">
        <v>1.1000000000000001</v>
      </c>
      <c r="T31" s="1011">
        <v>3.3E-4</v>
      </c>
      <c r="U31" s="1015" t="s">
        <v>954</v>
      </c>
      <c r="V31" s="720" t="s">
        <v>954</v>
      </c>
      <c r="W31" s="1014" t="s">
        <v>954</v>
      </c>
      <c r="X31" s="1005"/>
      <c r="AD31" s="1005"/>
    </row>
    <row r="32" spans="1:30" ht="11.25" customHeight="1">
      <c r="A32" s="458" t="s">
        <v>1103</v>
      </c>
      <c r="B32" s="570" t="s">
        <v>651</v>
      </c>
      <c r="C32" s="1006" t="s">
        <v>652</v>
      </c>
      <c r="D32" s="996">
        <v>171</v>
      </c>
      <c r="E32" s="1007">
        <v>171</v>
      </c>
      <c r="F32" s="1008">
        <v>61</v>
      </c>
      <c r="G32" s="1008">
        <v>6.3100000000000003E-2</v>
      </c>
      <c r="H32" s="1008">
        <v>6.3999999999999997E-6</v>
      </c>
      <c r="I32" s="1008">
        <v>1700</v>
      </c>
      <c r="J32" s="900">
        <v>0.53</v>
      </c>
      <c r="K32" s="1008">
        <v>1.13E-4</v>
      </c>
      <c r="L32" s="1008">
        <v>4.6299999999999996E-3</v>
      </c>
      <c r="M32" s="1009">
        <v>1</v>
      </c>
      <c r="N32" s="1010"/>
      <c r="O32" s="1001">
        <v>3.8433234724140002E-2</v>
      </c>
      <c r="P32" s="1001">
        <v>0.95464246631699001</v>
      </c>
      <c r="Q32" s="1001">
        <v>2.29114191916076</v>
      </c>
      <c r="R32" s="1174">
        <v>7.6400000000000001E-3</v>
      </c>
      <c r="S32" s="1011">
        <v>7.0000000000000007E-2</v>
      </c>
      <c r="T32" s="1011">
        <v>1.0000000000000001E-5</v>
      </c>
      <c r="U32" s="1008">
        <v>0.04</v>
      </c>
      <c r="V32" s="720">
        <v>0.04</v>
      </c>
      <c r="W32" s="1017">
        <v>0.14000000000000001</v>
      </c>
      <c r="X32" s="1005"/>
      <c r="AD32" s="1005"/>
    </row>
    <row r="33" spans="1:30" ht="11.25" customHeight="1">
      <c r="A33" s="458" t="s">
        <v>128</v>
      </c>
      <c r="B33" s="570" t="s">
        <v>653</v>
      </c>
      <c r="C33" s="1006" t="s">
        <v>638</v>
      </c>
      <c r="D33" s="996">
        <v>391</v>
      </c>
      <c r="E33" s="1007">
        <v>390.57</v>
      </c>
      <c r="F33" s="1008">
        <v>119600</v>
      </c>
      <c r="G33" s="1008">
        <v>1.7000000000000001E-2</v>
      </c>
      <c r="H33" s="1008">
        <v>4.1999999999999996E-6</v>
      </c>
      <c r="I33" s="1008">
        <v>0.27</v>
      </c>
      <c r="J33" s="900">
        <v>1.4000000000000001E-7</v>
      </c>
      <c r="K33" s="1008">
        <v>2.7000000000000001E-7</v>
      </c>
      <c r="L33" s="1008">
        <v>1.1E-5</v>
      </c>
      <c r="M33" s="1009">
        <v>1</v>
      </c>
      <c r="N33" s="1010">
        <v>0.1</v>
      </c>
      <c r="O33" s="1001">
        <v>8.5892360135147108</v>
      </c>
      <c r="P33" s="1001">
        <v>16.182318683408699</v>
      </c>
      <c r="Q33" s="1001">
        <v>72.882394847308603</v>
      </c>
      <c r="R33" s="1174">
        <v>1.1299999999999999</v>
      </c>
      <c r="S33" s="1011">
        <v>1.4E-2</v>
      </c>
      <c r="T33" s="1011">
        <v>2.3999999999999999E-6</v>
      </c>
      <c r="U33" s="1011">
        <v>0.02</v>
      </c>
      <c r="V33" s="720">
        <v>0.02</v>
      </c>
      <c r="W33" s="1014" t="s">
        <v>954</v>
      </c>
      <c r="X33" s="1005"/>
      <c r="AD33" s="1005"/>
    </row>
    <row r="34" spans="1:30" ht="11.25" customHeight="1">
      <c r="A34" s="458" t="s">
        <v>129</v>
      </c>
      <c r="B34" s="570" t="s">
        <v>653</v>
      </c>
      <c r="C34" s="1006" t="s">
        <v>638</v>
      </c>
      <c r="D34" s="996">
        <v>14</v>
      </c>
      <c r="E34" s="1007">
        <v>13.84</v>
      </c>
      <c r="F34" s="1012" t="s">
        <v>954</v>
      </c>
      <c r="G34" s="1012" t="s">
        <v>954</v>
      </c>
      <c r="H34" s="1012" t="s">
        <v>954</v>
      </c>
      <c r="I34" s="1012" t="s">
        <v>954</v>
      </c>
      <c r="J34" s="900"/>
      <c r="K34" s="1012" t="s">
        <v>954</v>
      </c>
      <c r="L34" s="1012" t="s">
        <v>954</v>
      </c>
      <c r="M34" s="1009">
        <v>1</v>
      </c>
      <c r="N34" s="1010"/>
      <c r="O34" s="1001">
        <v>1.4308519413600001E-3</v>
      </c>
      <c r="P34" s="1001">
        <v>0.12570505708895999</v>
      </c>
      <c r="Q34" s="1001">
        <v>0.30169213701350001</v>
      </c>
      <c r="R34" s="1174">
        <v>1E-3</v>
      </c>
      <c r="S34" s="1011"/>
      <c r="T34" s="1011"/>
      <c r="U34" s="1011">
        <v>0.2</v>
      </c>
      <c r="V34" s="720">
        <v>0.2</v>
      </c>
      <c r="W34" s="1004">
        <v>0.02</v>
      </c>
      <c r="X34" s="1005"/>
      <c r="AD34" s="1005"/>
    </row>
    <row r="35" spans="1:30" ht="11.25" customHeight="1">
      <c r="A35" s="458" t="s">
        <v>130</v>
      </c>
      <c r="B35" s="570" t="s">
        <v>651</v>
      </c>
      <c r="C35" s="1006" t="s">
        <v>652</v>
      </c>
      <c r="D35" s="996">
        <v>164</v>
      </c>
      <c r="E35" s="1007">
        <v>163.83000000000001</v>
      </c>
      <c r="F35" s="1008">
        <v>31.82</v>
      </c>
      <c r="G35" s="1008">
        <v>5.6000000000000001E-2</v>
      </c>
      <c r="H35" s="1008">
        <v>1.1E-5</v>
      </c>
      <c r="I35" s="1008">
        <v>3032</v>
      </c>
      <c r="J35" s="900">
        <v>50</v>
      </c>
      <c r="K35" s="1008">
        <v>2.0999999999999999E-3</v>
      </c>
      <c r="L35" s="1008">
        <v>8.6999999999999994E-2</v>
      </c>
      <c r="M35" s="1009">
        <v>1</v>
      </c>
      <c r="N35" s="1010"/>
      <c r="O35" s="1001">
        <v>1.9790165255210001E-2</v>
      </c>
      <c r="P35" s="1001">
        <v>0.86955438523746997</v>
      </c>
      <c r="Q35" s="1001">
        <v>2.0869305245699201</v>
      </c>
      <c r="R35" s="1174">
        <v>4.0200000000000001E-3</v>
      </c>
      <c r="S35" s="1011">
        <v>6.2E-2</v>
      </c>
      <c r="T35" s="1011">
        <v>3.6999999999999998E-5</v>
      </c>
      <c r="U35" s="1015">
        <v>8.0000000000000002E-3</v>
      </c>
      <c r="V35" s="720">
        <v>8.0000000000000002E-3</v>
      </c>
      <c r="W35" s="1004">
        <v>2.8000000000000001E-2</v>
      </c>
      <c r="X35" s="1005"/>
      <c r="AD35" s="1005"/>
    </row>
    <row r="36" spans="1:30" s="624" customFormat="1" ht="12" customHeight="1">
      <c r="A36" s="458" t="s">
        <v>131</v>
      </c>
      <c r="B36" s="570" t="s">
        <v>1405</v>
      </c>
      <c r="C36" s="1006" t="s">
        <v>638</v>
      </c>
      <c r="D36" s="996">
        <v>253</v>
      </c>
      <c r="E36" s="1007">
        <v>252.73</v>
      </c>
      <c r="F36" s="1008">
        <v>31.82</v>
      </c>
      <c r="G36" s="1008">
        <v>3.5999999999999997E-2</v>
      </c>
      <c r="H36" s="1008">
        <v>1.0000000000000001E-5</v>
      </c>
      <c r="I36" s="1008">
        <v>3100</v>
      </c>
      <c r="J36" s="900">
        <v>5.4</v>
      </c>
      <c r="K36" s="1008">
        <v>5.4000000000000001E-4</v>
      </c>
      <c r="L36" s="1008">
        <v>2.1999999999999999E-2</v>
      </c>
      <c r="M36" s="1009">
        <v>1</v>
      </c>
      <c r="N36" s="1010"/>
      <c r="O36" s="1001">
        <v>1.4368879839439999E-2</v>
      </c>
      <c r="P36" s="1001">
        <v>2.7361301368477902</v>
      </c>
      <c r="Q36" s="1001">
        <v>6.5667123284346998</v>
      </c>
      <c r="R36" s="1174">
        <v>2.3500000000000001E-3</v>
      </c>
      <c r="S36" s="1011">
        <v>7.9000000000000008E-3</v>
      </c>
      <c r="T36" s="1011">
        <v>1.1000000000000001E-6</v>
      </c>
      <c r="U36" s="1011">
        <v>0.02</v>
      </c>
      <c r="V36" s="720">
        <v>0.02</v>
      </c>
      <c r="W36" s="1014" t="s">
        <v>954</v>
      </c>
      <c r="X36" s="1005"/>
      <c r="AD36" s="1005"/>
    </row>
    <row r="37" spans="1:30" ht="11.25" customHeight="1">
      <c r="A37" s="458" t="s">
        <v>132</v>
      </c>
      <c r="B37" s="570" t="s">
        <v>651</v>
      </c>
      <c r="C37" s="1006" t="s">
        <v>21</v>
      </c>
      <c r="D37" s="996">
        <v>95</v>
      </c>
      <c r="E37" s="1007">
        <v>94.94</v>
      </c>
      <c r="F37" s="1008">
        <v>13.22</v>
      </c>
      <c r="G37" s="1008">
        <v>0.1</v>
      </c>
      <c r="H37" s="1012">
        <v>1.2999999999999999E-5</v>
      </c>
      <c r="I37" s="1008">
        <v>15200</v>
      </c>
      <c r="J37" s="900">
        <v>1616</v>
      </c>
      <c r="K37" s="1008">
        <v>7.3000000000000001E-3</v>
      </c>
      <c r="L37" s="1008">
        <v>0.3</v>
      </c>
      <c r="M37" s="1009">
        <v>1</v>
      </c>
      <c r="N37" s="1010"/>
      <c r="O37" s="1001">
        <v>1.0643079802969999E-2</v>
      </c>
      <c r="P37" s="1001">
        <v>0.35769028904016997</v>
      </c>
      <c r="Q37" s="1001">
        <v>0.85845669369641997</v>
      </c>
      <c r="R37" s="1174">
        <v>2.8400000000000001E-3</v>
      </c>
      <c r="S37" s="1011"/>
      <c r="T37" s="1011"/>
      <c r="U37" s="1011">
        <v>1.4E-3</v>
      </c>
      <c r="V37" s="720">
        <v>1.4E-3</v>
      </c>
      <c r="W37" s="1004">
        <v>5.0000000000000001E-3</v>
      </c>
      <c r="X37" s="1005"/>
      <c r="AD37" s="1005"/>
    </row>
    <row r="38" spans="1:30" ht="11.25" customHeight="1">
      <c r="A38" s="458" t="s">
        <v>133</v>
      </c>
      <c r="B38" s="570" t="s">
        <v>653</v>
      </c>
      <c r="C38" s="1006" t="s">
        <v>638</v>
      </c>
      <c r="D38" s="996">
        <v>112</v>
      </c>
      <c r="E38" s="1007">
        <v>112.41</v>
      </c>
      <c r="F38" s="1012" t="s">
        <v>954</v>
      </c>
      <c r="G38" s="1012" t="s">
        <v>954</v>
      </c>
      <c r="H38" s="1012" t="s">
        <v>954</v>
      </c>
      <c r="I38" s="1012"/>
      <c r="J38" s="900"/>
      <c r="K38" s="1012" t="s">
        <v>954</v>
      </c>
      <c r="L38" s="1012" t="s">
        <v>954</v>
      </c>
      <c r="M38" s="1018">
        <v>0.05</v>
      </c>
      <c r="N38" s="1010">
        <v>1E-3</v>
      </c>
      <c r="O38" s="1001">
        <v>4.0776487017499998E-3</v>
      </c>
      <c r="P38" s="1001">
        <v>0.44801107455104</v>
      </c>
      <c r="Q38" s="1001">
        <v>1.07522657892249</v>
      </c>
      <c r="R38" s="1174">
        <v>1E-3</v>
      </c>
      <c r="S38" s="1011"/>
      <c r="T38" s="1011">
        <v>1.8E-3</v>
      </c>
      <c r="U38" s="1015">
        <v>1E-4</v>
      </c>
      <c r="V38" s="720">
        <v>1E-4</v>
      </c>
      <c r="W38" s="1004">
        <v>1.0000000000000001E-5</v>
      </c>
      <c r="X38" s="1005"/>
      <c r="AD38" s="1005"/>
    </row>
    <row r="39" spans="1:30" ht="11.25" customHeight="1">
      <c r="A39" s="458" t="s">
        <v>134</v>
      </c>
      <c r="B39" s="570" t="s">
        <v>651</v>
      </c>
      <c r="C39" s="1006" t="s">
        <v>652</v>
      </c>
      <c r="D39" s="996">
        <v>154</v>
      </c>
      <c r="E39" s="1007">
        <v>153.82</v>
      </c>
      <c r="F39" s="1008">
        <v>43.89</v>
      </c>
      <c r="G39" s="1008">
        <v>5.7000000000000002E-2</v>
      </c>
      <c r="H39" s="1008">
        <v>9.7999999999999993E-6</v>
      </c>
      <c r="I39" s="1008">
        <v>793</v>
      </c>
      <c r="J39" s="900">
        <v>115</v>
      </c>
      <c r="K39" s="1008">
        <v>2.8000000000000001E-2</v>
      </c>
      <c r="L39" s="1008">
        <v>1.1000000000000001</v>
      </c>
      <c r="M39" s="1009">
        <v>1</v>
      </c>
      <c r="N39" s="1010"/>
      <c r="O39" s="1001">
        <v>7.7753627552890003E-2</v>
      </c>
      <c r="P39" s="1001">
        <v>0.76425933063897</v>
      </c>
      <c r="Q39" s="1001">
        <v>1.83422239353354</v>
      </c>
      <c r="R39" s="1174">
        <v>1.6299999999999999E-2</v>
      </c>
      <c r="S39" s="1011">
        <v>7.0000000000000007E-2</v>
      </c>
      <c r="T39" s="1011">
        <v>6.0000000000000002E-6</v>
      </c>
      <c r="U39" s="1011">
        <v>4.0000000000000001E-3</v>
      </c>
      <c r="V39" s="720">
        <v>4.0000000000000001E-3</v>
      </c>
      <c r="W39" s="1004">
        <v>0.1</v>
      </c>
      <c r="X39" s="1005"/>
      <c r="AD39" s="1005"/>
    </row>
    <row r="40" spans="1:30" ht="11.25" customHeight="1">
      <c r="A40" s="458" t="s">
        <v>614</v>
      </c>
      <c r="B40" s="570" t="s">
        <v>1405</v>
      </c>
      <c r="C40" s="1006" t="s">
        <v>638</v>
      </c>
      <c r="D40" s="996">
        <v>410</v>
      </c>
      <c r="E40" s="1007">
        <v>409.78</v>
      </c>
      <c r="F40" s="1008">
        <v>67540</v>
      </c>
      <c r="G40" s="1008">
        <v>2.1000000000000001E-2</v>
      </c>
      <c r="H40" s="1008">
        <v>5.4E-6</v>
      </c>
      <c r="I40" s="1008">
        <v>5.6000000000000001E-2</v>
      </c>
      <c r="J40" s="900">
        <v>1.0000000000000001E-5</v>
      </c>
      <c r="K40" s="1008">
        <v>4.8999999999999998E-5</v>
      </c>
      <c r="L40" s="1008">
        <v>2E-3</v>
      </c>
      <c r="M40" s="1009">
        <v>1</v>
      </c>
      <c r="N40" s="1010">
        <v>0.04</v>
      </c>
      <c r="O40" s="1001">
        <v>0.83307827437919002</v>
      </c>
      <c r="P40" s="1001">
        <v>20.730832832149101</v>
      </c>
      <c r="Q40" s="1001">
        <v>79.689721818315903</v>
      </c>
      <c r="R40" s="1174">
        <v>0.107</v>
      </c>
      <c r="S40" s="1011">
        <v>0.35</v>
      </c>
      <c r="T40" s="1011">
        <v>1E-4</v>
      </c>
      <c r="U40" s="1011">
        <v>5.0000000000000001E-4</v>
      </c>
      <c r="V40" s="720">
        <v>5.0000000000000001E-4</v>
      </c>
      <c r="W40" s="1004">
        <v>6.9999999999999999E-4</v>
      </c>
      <c r="X40" s="1005"/>
      <c r="AD40" s="1005"/>
    </row>
    <row r="41" spans="1:30" ht="11.25" customHeight="1">
      <c r="A41" s="458" t="s">
        <v>135</v>
      </c>
      <c r="B41" s="570" t="s">
        <v>653</v>
      </c>
      <c r="C41" s="1006" t="s">
        <v>638</v>
      </c>
      <c r="D41" s="996">
        <v>128</v>
      </c>
      <c r="E41" s="1007">
        <v>127.57</v>
      </c>
      <c r="F41" s="1008">
        <v>112.7</v>
      </c>
      <c r="G41" s="1008">
        <v>7.0000000000000007E-2</v>
      </c>
      <c r="H41" s="1008">
        <v>1.0000000000000001E-5</v>
      </c>
      <c r="I41" s="1008">
        <v>3900</v>
      </c>
      <c r="J41" s="900">
        <v>2.7E-2</v>
      </c>
      <c r="K41" s="1008">
        <v>1.1999999999999999E-6</v>
      </c>
      <c r="L41" s="1008">
        <v>4.6999999999999997E-5</v>
      </c>
      <c r="M41" s="1009">
        <v>1</v>
      </c>
      <c r="N41" s="1010">
        <v>0.1</v>
      </c>
      <c r="O41" s="1001">
        <v>2.154679135629E-2</v>
      </c>
      <c r="P41" s="1001">
        <v>0.54480457964845996</v>
      </c>
      <c r="Q41" s="1001">
        <v>1.3075309911563</v>
      </c>
      <c r="R41" s="1174">
        <v>4.96E-3</v>
      </c>
      <c r="S41" s="1011">
        <v>0.2</v>
      </c>
      <c r="T41" s="1011"/>
      <c r="U41" s="1015">
        <v>5.0000000000000001E-4</v>
      </c>
      <c r="V41" s="720">
        <v>5.0000000000000001E-4</v>
      </c>
      <c r="W41" s="1014" t="s">
        <v>954</v>
      </c>
      <c r="X41" s="1005"/>
      <c r="AD41" s="1005"/>
    </row>
    <row r="42" spans="1:30" ht="11.25" customHeight="1">
      <c r="A42" s="458" t="s">
        <v>136</v>
      </c>
      <c r="B42" s="570" t="s">
        <v>651</v>
      </c>
      <c r="C42" s="1006" t="s">
        <v>652</v>
      </c>
      <c r="D42" s="996">
        <v>113</v>
      </c>
      <c r="E42" s="1007">
        <v>112.56</v>
      </c>
      <c r="F42" s="1008">
        <v>233.9</v>
      </c>
      <c r="G42" s="1008">
        <v>7.1999999999999995E-2</v>
      </c>
      <c r="H42" s="1008">
        <v>9.5000000000000005E-6</v>
      </c>
      <c r="I42" s="1008">
        <v>498</v>
      </c>
      <c r="J42" s="900">
        <v>11.97</v>
      </c>
      <c r="K42" s="1008">
        <v>3.0999999999999999E-3</v>
      </c>
      <c r="L42" s="1008">
        <v>0.13</v>
      </c>
      <c r="M42" s="1009">
        <v>1</v>
      </c>
      <c r="N42" s="1010"/>
      <c r="O42" s="1001">
        <v>0.11507150748261</v>
      </c>
      <c r="P42" s="1001">
        <v>0.44893632760023999</v>
      </c>
      <c r="Q42" s="1001">
        <v>1.0774471862405699</v>
      </c>
      <c r="R42" s="1174">
        <v>2.8199999999999999E-2</v>
      </c>
      <c r="S42" s="1011"/>
      <c r="T42" s="1011"/>
      <c r="U42" s="1011">
        <v>0.02</v>
      </c>
      <c r="V42" s="720">
        <v>0.02</v>
      </c>
      <c r="W42" s="1004">
        <v>0.05</v>
      </c>
      <c r="X42" s="1005"/>
      <c r="AD42" s="1005"/>
    </row>
    <row r="43" spans="1:30" ht="11.25" customHeight="1">
      <c r="A43" s="458" t="s">
        <v>781</v>
      </c>
      <c r="B43" s="570" t="s">
        <v>651</v>
      </c>
      <c r="C43" s="1006" t="s">
        <v>21</v>
      </c>
      <c r="D43" s="996">
        <v>65</v>
      </c>
      <c r="E43" s="1007">
        <v>64.52</v>
      </c>
      <c r="F43" s="1008">
        <v>21.73</v>
      </c>
      <c r="G43" s="1008">
        <v>0.1</v>
      </c>
      <c r="H43" s="1008">
        <v>1.2E-5</v>
      </c>
      <c r="I43" s="1008">
        <v>6710</v>
      </c>
      <c r="J43" s="900">
        <v>1008</v>
      </c>
      <c r="K43" s="1008">
        <v>1.0999999999999999E-2</v>
      </c>
      <c r="L43" s="1008">
        <v>0.45</v>
      </c>
      <c r="M43" s="1009">
        <v>1</v>
      </c>
      <c r="N43" s="1010"/>
      <c r="O43" s="1001">
        <v>1.8751917943330001E-2</v>
      </c>
      <c r="P43" s="1001">
        <v>0.24161992746596</v>
      </c>
      <c r="Q43" s="1001">
        <v>0.57988782591830002</v>
      </c>
      <c r="R43" s="1174">
        <v>6.0699999999999999E-3</v>
      </c>
      <c r="S43" s="1011"/>
      <c r="T43" s="1011"/>
      <c r="U43" s="1015" t="s">
        <v>954</v>
      </c>
      <c r="V43" s="720" t="s">
        <v>954</v>
      </c>
      <c r="W43" s="1016">
        <v>4</v>
      </c>
      <c r="X43" s="1005"/>
      <c r="AD43" s="1005"/>
    </row>
    <row r="44" spans="1:30" ht="11.25" customHeight="1">
      <c r="A44" s="464" t="s">
        <v>137</v>
      </c>
      <c r="B44" s="570" t="s">
        <v>651</v>
      </c>
      <c r="C44" s="1006" t="s">
        <v>652</v>
      </c>
      <c r="D44" s="996">
        <v>119</v>
      </c>
      <c r="E44" s="1007">
        <v>119.38</v>
      </c>
      <c r="F44" s="1008">
        <v>31.82</v>
      </c>
      <c r="G44" s="1008">
        <v>7.6999999999999999E-2</v>
      </c>
      <c r="H44" s="1008">
        <v>1.1E-5</v>
      </c>
      <c r="I44" s="1008">
        <v>7950</v>
      </c>
      <c r="J44" s="900">
        <v>197</v>
      </c>
      <c r="K44" s="1008">
        <v>3.7000000000000002E-3</v>
      </c>
      <c r="L44" s="1008">
        <v>0.15</v>
      </c>
      <c r="M44" s="1009">
        <v>1</v>
      </c>
      <c r="N44" s="1010"/>
      <c r="O44" s="1001">
        <v>2.8702064957770002E-2</v>
      </c>
      <c r="P44" s="1001">
        <v>0.49020388588490998</v>
      </c>
      <c r="Q44" s="1001">
        <v>1.1764893261237901</v>
      </c>
      <c r="R44" s="1174">
        <v>6.8300000000000001E-3</v>
      </c>
      <c r="S44" s="1011">
        <v>3.1E-2</v>
      </c>
      <c r="T44" s="1011">
        <v>2.3E-5</v>
      </c>
      <c r="U44" s="1011">
        <v>0.01</v>
      </c>
      <c r="V44" s="720">
        <v>0.01</v>
      </c>
      <c r="W44" s="1004">
        <v>9.8000000000000004E-2</v>
      </c>
      <c r="X44" s="1005"/>
      <c r="AD44" s="1005"/>
    </row>
    <row r="45" spans="1:30" ht="11.25" customHeight="1">
      <c r="A45" s="458" t="s">
        <v>782</v>
      </c>
      <c r="B45" s="570" t="s">
        <v>651</v>
      </c>
      <c r="C45" s="1019" t="s">
        <v>21</v>
      </c>
      <c r="D45" s="1020">
        <v>50</v>
      </c>
      <c r="E45" s="1007">
        <v>50.49</v>
      </c>
      <c r="F45" s="1008">
        <v>13.22</v>
      </c>
      <c r="G45" s="1008">
        <v>0.12</v>
      </c>
      <c r="H45" s="1008">
        <v>1.4E-5</v>
      </c>
      <c r="I45" s="1008">
        <v>5320</v>
      </c>
      <c r="J45" s="900">
        <v>4300</v>
      </c>
      <c r="K45" s="1008">
        <v>8.8000000000000005E-3</v>
      </c>
      <c r="L45" s="1008">
        <v>0.36</v>
      </c>
      <c r="M45" s="1009">
        <v>1</v>
      </c>
      <c r="N45" s="1010"/>
      <c r="O45" s="1001">
        <v>8.9638499759099998E-3</v>
      </c>
      <c r="P45" s="1001">
        <v>0.20164225687262999</v>
      </c>
      <c r="Q45" s="1001">
        <v>0.4839414164943</v>
      </c>
      <c r="R45" s="1174">
        <v>3.2799999999999999E-3</v>
      </c>
      <c r="S45" s="1011"/>
      <c r="T45" s="1011"/>
      <c r="U45" s="1015" t="s">
        <v>954</v>
      </c>
      <c r="V45" s="720" t="s">
        <v>954</v>
      </c>
      <c r="W45" s="1004">
        <v>0.09</v>
      </c>
      <c r="X45" s="1005"/>
      <c r="AD45" s="1005"/>
    </row>
    <row r="46" spans="1:30" ht="11.25" customHeight="1">
      <c r="A46" s="458" t="s">
        <v>138</v>
      </c>
      <c r="B46" s="570" t="s">
        <v>651</v>
      </c>
      <c r="C46" s="1019" t="s">
        <v>652</v>
      </c>
      <c r="D46" s="1020">
        <v>129</v>
      </c>
      <c r="E46" s="1007">
        <v>128.56</v>
      </c>
      <c r="F46" s="1008">
        <v>388</v>
      </c>
      <c r="G46" s="1008">
        <v>6.6000000000000003E-2</v>
      </c>
      <c r="H46" s="1008">
        <v>9.5000000000000005E-6</v>
      </c>
      <c r="I46" s="1008">
        <v>11300</v>
      </c>
      <c r="J46" s="900">
        <v>2.5</v>
      </c>
      <c r="K46" s="1008">
        <v>1.1E-5</v>
      </c>
      <c r="L46" s="1008">
        <v>4.6000000000000001E-4</v>
      </c>
      <c r="M46" s="1009">
        <v>1</v>
      </c>
      <c r="N46" s="1010"/>
      <c r="O46" s="1001">
        <v>3.4843868272809997E-2</v>
      </c>
      <c r="P46" s="1001">
        <v>0.55180387965424005</v>
      </c>
      <c r="Q46" s="1001">
        <v>1.3243293111701799</v>
      </c>
      <c r="R46" s="1174">
        <v>7.9900000000000006E-3</v>
      </c>
      <c r="S46" s="1011"/>
      <c r="T46" s="1011"/>
      <c r="U46" s="1011">
        <v>5.0000000000000001E-3</v>
      </c>
      <c r="V46" s="720">
        <v>5.0000000000000001E-3</v>
      </c>
      <c r="W46" s="1004">
        <v>1.7500000000000002E-2</v>
      </c>
      <c r="X46" s="1005"/>
      <c r="AD46" s="1005"/>
    </row>
    <row r="47" spans="1:30" ht="11.25" customHeight="1">
      <c r="A47" s="458" t="s">
        <v>612</v>
      </c>
      <c r="B47" s="570" t="s">
        <v>653</v>
      </c>
      <c r="C47" s="1019" t="s">
        <v>638</v>
      </c>
      <c r="D47" s="1020">
        <v>52</v>
      </c>
      <c r="E47" s="1007">
        <v>52</v>
      </c>
      <c r="F47" s="1012" t="s">
        <v>954</v>
      </c>
      <c r="G47" s="1012" t="s">
        <v>954</v>
      </c>
      <c r="H47" s="1012"/>
      <c r="I47" s="1012" t="s">
        <v>954</v>
      </c>
      <c r="J47" s="900"/>
      <c r="K47" s="1012"/>
      <c r="L47" s="1012" t="s">
        <v>954</v>
      </c>
      <c r="M47" s="1021">
        <v>1.2999999999999999E-2</v>
      </c>
      <c r="N47" s="1010"/>
      <c r="O47" s="1001">
        <v>2.7733943059600002E-3</v>
      </c>
      <c r="P47" s="1001">
        <v>0.20560153352432001</v>
      </c>
      <c r="Q47" s="1001">
        <v>0.49344368045836001</v>
      </c>
      <c r="R47" s="1174">
        <v>1E-3</v>
      </c>
      <c r="S47" s="1011"/>
      <c r="T47" s="1011"/>
      <c r="U47" s="1015" t="s">
        <v>954</v>
      </c>
      <c r="V47" s="720" t="s">
        <v>954</v>
      </c>
      <c r="W47" s="1014" t="s">
        <v>954</v>
      </c>
      <c r="X47" s="1005"/>
      <c r="AD47" s="1005"/>
    </row>
    <row r="48" spans="1:30" ht="11.25" customHeight="1">
      <c r="A48" s="458" t="s">
        <v>779</v>
      </c>
      <c r="B48" s="570" t="s">
        <v>653</v>
      </c>
      <c r="C48" s="1019" t="s">
        <v>638</v>
      </c>
      <c r="D48" s="1020">
        <v>52</v>
      </c>
      <c r="E48" s="1007">
        <v>52</v>
      </c>
      <c r="F48" s="1012" t="s">
        <v>954</v>
      </c>
      <c r="G48" s="1012" t="s">
        <v>954</v>
      </c>
      <c r="H48" s="1012" t="s">
        <v>954</v>
      </c>
      <c r="I48" s="1012" t="s">
        <v>954</v>
      </c>
      <c r="J48" s="900"/>
      <c r="K48" s="1012" t="s">
        <v>954</v>
      </c>
      <c r="L48" s="1012" t="s">
        <v>954</v>
      </c>
      <c r="M48" s="1018">
        <v>1</v>
      </c>
      <c r="N48" s="1010"/>
      <c r="O48" s="1001">
        <v>2.7733943059600002E-3</v>
      </c>
      <c r="P48" s="1001">
        <v>0.20560153352432001</v>
      </c>
      <c r="Q48" s="1001">
        <v>0.49344368045836001</v>
      </c>
      <c r="R48" s="1174">
        <v>1E-3</v>
      </c>
      <c r="S48" s="1011"/>
      <c r="T48" s="1011"/>
      <c r="U48" s="1015" t="s">
        <v>954</v>
      </c>
      <c r="V48" s="720" t="s">
        <v>954</v>
      </c>
      <c r="W48" s="1014" t="s">
        <v>954</v>
      </c>
      <c r="X48" s="1005"/>
      <c r="AD48" s="1005"/>
    </row>
    <row r="49" spans="1:30" ht="11.25" customHeight="1">
      <c r="A49" s="458" t="s">
        <v>780</v>
      </c>
      <c r="B49" s="570" t="s">
        <v>653</v>
      </c>
      <c r="C49" s="1019" t="s">
        <v>638</v>
      </c>
      <c r="D49" s="1020">
        <v>52</v>
      </c>
      <c r="E49" s="1007">
        <v>52</v>
      </c>
      <c r="F49" s="1012" t="s">
        <v>954</v>
      </c>
      <c r="G49" s="1012" t="s">
        <v>954</v>
      </c>
      <c r="H49" s="1012"/>
      <c r="I49" s="1008">
        <v>1690000</v>
      </c>
      <c r="J49" s="900"/>
      <c r="K49" s="1012" t="s">
        <v>954</v>
      </c>
      <c r="L49" s="1012" t="s">
        <v>954</v>
      </c>
      <c r="M49" s="1010">
        <v>2.5000000000000001E-2</v>
      </c>
      <c r="N49" s="1010"/>
      <c r="O49" s="1001">
        <v>5.5470019622500004E-3</v>
      </c>
      <c r="P49" s="1001">
        <v>0.20561213829439001</v>
      </c>
      <c r="Q49" s="1001">
        <v>0.49346913190653002</v>
      </c>
      <c r="R49" s="1174">
        <v>2E-3</v>
      </c>
      <c r="S49" s="1011">
        <v>0.5</v>
      </c>
      <c r="T49" s="1011">
        <v>8.4000000000000005E-2</v>
      </c>
      <c r="U49" s="1011">
        <v>3.0000000000000001E-3</v>
      </c>
      <c r="V49" s="720">
        <v>3.0000000000000001E-3</v>
      </c>
      <c r="W49" s="1004">
        <v>1E-4</v>
      </c>
      <c r="X49" s="1005"/>
      <c r="AD49" s="1005"/>
    </row>
    <row r="50" spans="1:30" ht="11.25" customHeight="1">
      <c r="A50" s="458" t="s">
        <v>139</v>
      </c>
      <c r="B50" s="570" t="s">
        <v>653</v>
      </c>
      <c r="C50" s="1019" t="s">
        <v>638</v>
      </c>
      <c r="D50" s="1020">
        <v>228</v>
      </c>
      <c r="E50" s="1007">
        <v>228.3</v>
      </c>
      <c r="F50" s="1008">
        <v>180500</v>
      </c>
      <c r="G50" s="1008">
        <v>2.5999999999999999E-2</v>
      </c>
      <c r="H50" s="1008">
        <v>6.7000000000000002E-6</v>
      </c>
      <c r="I50" s="1008">
        <v>2E-3</v>
      </c>
      <c r="J50" s="900">
        <v>6.2000000000000001E-9</v>
      </c>
      <c r="K50" s="1008">
        <v>5.2000000000000002E-6</v>
      </c>
      <c r="L50" s="1008">
        <v>2.1000000000000001E-4</v>
      </c>
      <c r="M50" s="1009">
        <v>1</v>
      </c>
      <c r="N50" s="1010">
        <v>0.13</v>
      </c>
      <c r="O50" s="1001">
        <v>3.4635851385283298</v>
      </c>
      <c r="P50" s="1001">
        <v>1.99677324839304</v>
      </c>
      <c r="Q50" s="1001">
        <v>8.5324002686394103</v>
      </c>
      <c r="R50" s="1174">
        <v>0.59599999999999997</v>
      </c>
      <c r="S50" s="1011">
        <v>1E-3</v>
      </c>
      <c r="T50" s="1011">
        <v>5.9999999999999997E-7</v>
      </c>
      <c r="U50" s="1015" t="s">
        <v>954</v>
      </c>
      <c r="V50" s="720" t="s">
        <v>954</v>
      </c>
      <c r="W50" s="1014" t="s">
        <v>954</v>
      </c>
      <c r="X50" s="1005"/>
      <c r="AD50" s="1005"/>
    </row>
    <row r="51" spans="1:30" ht="11.25" customHeight="1">
      <c r="A51" s="458" t="s">
        <v>140</v>
      </c>
      <c r="B51" s="570" t="s">
        <v>653</v>
      </c>
      <c r="C51" s="1019" t="s">
        <v>638</v>
      </c>
      <c r="D51" s="1020">
        <v>59</v>
      </c>
      <c r="E51" s="1007">
        <v>59</v>
      </c>
      <c r="F51" s="1012" t="s">
        <v>954</v>
      </c>
      <c r="G51" s="1012" t="s">
        <v>954</v>
      </c>
      <c r="H51" s="1012" t="s">
        <v>954</v>
      </c>
      <c r="I51" s="1012" t="s">
        <v>954</v>
      </c>
      <c r="J51" s="900"/>
      <c r="K51" s="1012"/>
      <c r="L51" s="1012" t="s">
        <v>954</v>
      </c>
      <c r="M51" s="1009">
        <v>1</v>
      </c>
      <c r="N51" s="1010"/>
      <c r="O51" s="1001">
        <v>1.1810135051799999E-3</v>
      </c>
      <c r="P51" s="1001">
        <v>0.22483128860585</v>
      </c>
      <c r="Q51" s="1001">
        <v>0.53959509265405003</v>
      </c>
      <c r="R51" s="1174">
        <v>4.0000000000000002E-4</v>
      </c>
      <c r="S51" s="1011"/>
      <c r="T51" s="1011">
        <v>8.9999999999999993E-3</v>
      </c>
      <c r="U51" s="1008">
        <v>2.9999999999999997E-4</v>
      </c>
      <c r="V51" s="720">
        <v>2.9999999999999997E-4</v>
      </c>
      <c r="W51" s="1017">
        <v>6.0000000000000002E-6</v>
      </c>
      <c r="X51" s="1005"/>
      <c r="AD51" s="1005"/>
    </row>
    <row r="52" spans="1:30" ht="11.25" customHeight="1">
      <c r="A52" s="458" t="s">
        <v>141</v>
      </c>
      <c r="B52" s="570" t="s">
        <v>653</v>
      </c>
      <c r="C52" s="1019" t="s">
        <v>638</v>
      </c>
      <c r="D52" s="1020">
        <v>64</v>
      </c>
      <c r="E52" s="1007">
        <v>63.55</v>
      </c>
      <c r="F52" s="1012" t="s">
        <v>954</v>
      </c>
      <c r="G52" s="1012" t="s">
        <v>954</v>
      </c>
      <c r="H52" s="1012" t="s">
        <v>954</v>
      </c>
      <c r="I52" s="1012" t="s">
        <v>954</v>
      </c>
      <c r="J52" s="900"/>
      <c r="K52" s="1012" t="s">
        <v>954</v>
      </c>
      <c r="L52" s="1012" t="s">
        <v>954</v>
      </c>
      <c r="M52" s="1009">
        <v>1</v>
      </c>
      <c r="N52" s="1010"/>
      <c r="O52" s="1001">
        <v>3.0659901920899999E-3</v>
      </c>
      <c r="P52" s="1001">
        <v>0.23861972980983001</v>
      </c>
      <c r="Q52" s="1001">
        <v>0.57268735154359995</v>
      </c>
      <c r="R52" s="1174">
        <v>1E-3</v>
      </c>
      <c r="S52" s="1011"/>
      <c r="T52" s="1011"/>
      <c r="U52" s="1011">
        <v>0.04</v>
      </c>
      <c r="V52" s="720">
        <v>0.04</v>
      </c>
      <c r="W52" s="1014" t="s">
        <v>954</v>
      </c>
      <c r="X52" s="1005"/>
      <c r="AD52" s="1005"/>
    </row>
    <row r="53" spans="1:30" ht="11.25" customHeight="1">
      <c r="A53" s="458" t="s">
        <v>142</v>
      </c>
      <c r="B53" s="570" t="s">
        <v>651</v>
      </c>
      <c r="C53" s="1019" t="s">
        <v>638</v>
      </c>
      <c r="D53" s="1020">
        <v>27</v>
      </c>
      <c r="E53" s="1007">
        <v>27.03</v>
      </c>
      <c r="F53" s="1012" t="s">
        <v>954</v>
      </c>
      <c r="G53" s="1008">
        <v>0.21</v>
      </c>
      <c r="H53" s="1008">
        <v>2.5000000000000001E-5</v>
      </c>
      <c r="I53" s="1008">
        <v>95400</v>
      </c>
      <c r="J53" s="900">
        <v>308</v>
      </c>
      <c r="K53" s="1008">
        <v>1E-4</v>
      </c>
      <c r="L53" s="1008">
        <v>4.1999999999999997E-3</v>
      </c>
      <c r="M53" s="1009">
        <v>1</v>
      </c>
      <c r="N53" s="1010"/>
      <c r="O53" s="1001">
        <v>1.9618400974699998E-3</v>
      </c>
      <c r="P53" s="1001">
        <v>0.14707862110785999</v>
      </c>
      <c r="Q53" s="1001">
        <v>0.35298869065886002</v>
      </c>
      <c r="R53" s="1174">
        <v>1E-3</v>
      </c>
      <c r="S53" s="1011"/>
      <c r="T53" s="1011"/>
      <c r="U53" s="1011">
        <v>5.9999999999999995E-4</v>
      </c>
      <c r="V53" s="720">
        <v>5.9999999999999995E-4</v>
      </c>
      <c r="W53" s="1017">
        <v>8.0000000000000004E-4</v>
      </c>
      <c r="X53" s="1005"/>
      <c r="AD53" s="1005"/>
    </row>
    <row r="54" spans="1:30" ht="11.25" customHeight="1">
      <c r="A54" s="458" t="s">
        <v>96</v>
      </c>
      <c r="B54" s="570" t="s">
        <v>653</v>
      </c>
      <c r="C54" s="1019" t="s">
        <v>638</v>
      </c>
      <c r="D54" s="1020">
        <v>222</v>
      </c>
      <c r="E54" s="1007">
        <v>222.12</v>
      </c>
      <c r="F54" s="1008">
        <v>89.07</v>
      </c>
      <c r="G54" s="1008">
        <v>3.1E-2</v>
      </c>
      <c r="H54" s="1008">
        <v>8.4999999999999999E-6</v>
      </c>
      <c r="I54" s="1008">
        <v>59.7</v>
      </c>
      <c r="J54" s="900">
        <v>4.1000000000000003E-9</v>
      </c>
      <c r="K54" s="1008">
        <v>1.9999999999999999E-11</v>
      </c>
      <c r="L54" s="1008">
        <v>8.1999999999999996E-10</v>
      </c>
      <c r="M54" s="1009">
        <v>1</v>
      </c>
      <c r="N54" s="1010">
        <v>1.4999999999999999E-2</v>
      </c>
      <c r="O54" s="1001">
        <v>1.9260154287899999E-3</v>
      </c>
      <c r="P54" s="1001">
        <v>1.8438294597037499</v>
      </c>
      <c r="Q54" s="1001">
        <v>4.4251907032890001</v>
      </c>
      <c r="R54" s="1174">
        <v>3.3599999999999998E-4</v>
      </c>
      <c r="S54" s="1015">
        <v>0.08</v>
      </c>
      <c r="T54" s="1011"/>
      <c r="U54" s="1015">
        <v>4.0000000000000001E-3</v>
      </c>
      <c r="V54" s="720">
        <v>4.0000000000000001E-3</v>
      </c>
      <c r="W54" s="1014" t="s">
        <v>954</v>
      </c>
      <c r="X54" s="1005"/>
      <c r="AD54" s="1005"/>
    </row>
    <row r="55" spans="1:30" ht="11.25" customHeight="1">
      <c r="A55" s="458" t="s">
        <v>97</v>
      </c>
      <c r="B55" s="570" t="s">
        <v>653</v>
      </c>
      <c r="C55" s="1019" t="s">
        <v>652</v>
      </c>
      <c r="D55" s="1020">
        <v>143</v>
      </c>
      <c r="E55" s="1007">
        <v>142.97</v>
      </c>
      <c r="F55" s="1008">
        <v>3.2</v>
      </c>
      <c r="G55" s="1008">
        <v>0.06</v>
      </c>
      <c r="H55" s="1008">
        <v>9.3999999999999998E-6</v>
      </c>
      <c r="I55" s="1008">
        <v>502000</v>
      </c>
      <c r="J55" s="900">
        <v>0.15</v>
      </c>
      <c r="K55" s="1008">
        <v>5.7000000000000001E-8</v>
      </c>
      <c r="L55" s="1008">
        <v>2.3E-6</v>
      </c>
      <c r="M55" s="1009">
        <v>1</v>
      </c>
      <c r="N55" s="1010">
        <v>0.1</v>
      </c>
      <c r="O55" s="1001">
        <v>3.7480615946699999E-3</v>
      </c>
      <c r="P55" s="1001">
        <v>0.66447821882841995</v>
      </c>
      <c r="Q55" s="1001">
        <v>1.5947477251882101</v>
      </c>
      <c r="R55" s="1174">
        <v>8.1499999999999997E-4</v>
      </c>
      <c r="S55" s="1011"/>
      <c r="T55" s="1011"/>
      <c r="U55" s="1011">
        <v>0.03</v>
      </c>
      <c r="V55" s="720">
        <v>0.03</v>
      </c>
      <c r="W55" s="1014" t="s">
        <v>954</v>
      </c>
      <c r="X55" s="1005"/>
      <c r="AD55" s="1005"/>
    </row>
    <row r="56" spans="1:30" ht="11.25" customHeight="1">
      <c r="A56" s="458" t="s">
        <v>143</v>
      </c>
      <c r="B56" s="570" t="s">
        <v>653</v>
      </c>
      <c r="C56" s="1019" t="s">
        <v>638</v>
      </c>
      <c r="D56" s="1020">
        <v>278</v>
      </c>
      <c r="E56" s="1007">
        <v>278.36</v>
      </c>
      <c r="F56" s="1008">
        <v>1912000</v>
      </c>
      <c r="G56" s="1012">
        <v>2.4E-2</v>
      </c>
      <c r="H56" s="1012">
        <v>6.0000000000000002E-6</v>
      </c>
      <c r="I56" s="1008">
        <v>2.5000000000000001E-3</v>
      </c>
      <c r="J56" s="900">
        <v>9.5999999999999999E-10</v>
      </c>
      <c r="K56" s="1008">
        <v>1.4000000000000001E-7</v>
      </c>
      <c r="L56" s="1008">
        <v>5.8000000000000004E-6</v>
      </c>
      <c r="M56" s="1009">
        <v>1</v>
      </c>
      <c r="N56" s="1010">
        <v>0.13</v>
      </c>
      <c r="O56" s="1001">
        <v>3.4635851385283298</v>
      </c>
      <c r="P56" s="1001">
        <v>1.99677324839304</v>
      </c>
      <c r="Q56" s="1001">
        <v>8.5324002686394103</v>
      </c>
      <c r="R56" s="1174">
        <v>0.59599999999999997</v>
      </c>
      <c r="S56" s="1011">
        <v>1</v>
      </c>
      <c r="T56" s="1011">
        <v>5.9999999999999995E-4</v>
      </c>
      <c r="U56" s="1015" t="s">
        <v>954</v>
      </c>
      <c r="V56" s="720" t="s">
        <v>954</v>
      </c>
      <c r="W56" s="1014" t="s">
        <v>954</v>
      </c>
      <c r="X56" s="1005"/>
      <c r="AD56" s="1005"/>
    </row>
    <row r="57" spans="1:30" ht="11.25" customHeight="1">
      <c r="A57" s="458" t="s">
        <v>381</v>
      </c>
      <c r="B57" s="570" t="s">
        <v>651</v>
      </c>
      <c r="C57" s="1019" t="s">
        <v>652</v>
      </c>
      <c r="D57" s="1020">
        <v>236</v>
      </c>
      <c r="E57" s="1007">
        <v>199</v>
      </c>
      <c r="F57" s="1008">
        <v>115.8</v>
      </c>
      <c r="G57" s="1008">
        <v>3.2000000000000001E-2</v>
      </c>
      <c r="H57" s="1008">
        <v>8.8999999999999995E-6</v>
      </c>
      <c r="I57" s="1008">
        <v>1230</v>
      </c>
      <c r="J57" s="900">
        <v>0.57999999999999996</v>
      </c>
      <c r="K57" s="1008">
        <v>1.4999999999999999E-4</v>
      </c>
      <c r="L57" s="1008">
        <v>6.0000000000000001E-3</v>
      </c>
      <c r="M57" s="1009">
        <v>1</v>
      </c>
      <c r="N57" s="1010"/>
      <c r="O57" s="1001">
        <v>4.0502016943349997E-2</v>
      </c>
      <c r="P57" s="1001">
        <v>2.2146074145907599</v>
      </c>
      <c r="Q57" s="1001">
        <v>5.3150577950178297</v>
      </c>
      <c r="R57" s="1174">
        <v>6.8500000000000002E-3</v>
      </c>
      <c r="S57" s="1011">
        <v>0.8</v>
      </c>
      <c r="T57" s="1011">
        <v>6.0000000000000001E-3</v>
      </c>
      <c r="U57" s="1011">
        <v>2.0000000000000001E-4</v>
      </c>
      <c r="V57" s="720">
        <v>2.0000000000000001E-4</v>
      </c>
      <c r="W57" s="1004">
        <v>2.0000000000000001E-4</v>
      </c>
      <c r="X57" s="1005"/>
      <c r="AD57" s="1005"/>
    </row>
    <row r="58" spans="1:30" ht="11.25" customHeight="1">
      <c r="A58" s="458" t="s">
        <v>144</v>
      </c>
      <c r="B58" s="570" t="s">
        <v>651</v>
      </c>
      <c r="C58" s="1019" t="s">
        <v>638</v>
      </c>
      <c r="D58" s="1020">
        <v>208</v>
      </c>
      <c r="E58" s="1007">
        <v>199</v>
      </c>
      <c r="F58" s="1008">
        <v>31.82</v>
      </c>
      <c r="G58" s="1008">
        <v>3.6999999999999998E-2</v>
      </c>
      <c r="H58" s="1008">
        <v>1.1E-5</v>
      </c>
      <c r="I58" s="1008">
        <v>2700</v>
      </c>
      <c r="J58" s="900">
        <v>5.54</v>
      </c>
      <c r="K58" s="1008">
        <v>7.7999999999999999E-4</v>
      </c>
      <c r="L58" s="1008">
        <v>3.2000000000000001E-2</v>
      </c>
      <c r="M58" s="1009">
        <v>1</v>
      </c>
      <c r="N58" s="1010"/>
      <c r="O58" s="1001">
        <v>1.6041622027649999E-2</v>
      </c>
      <c r="P58" s="1001">
        <v>1.54247008368927</v>
      </c>
      <c r="Q58" s="1001">
        <v>3.7019282008542498</v>
      </c>
      <c r="R58" s="1174">
        <v>2.8900000000000002E-3</v>
      </c>
      <c r="S58" s="1011">
        <v>8.4000000000000005E-2</v>
      </c>
      <c r="T58" s="1011"/>
      <c r="U58" s="1011">
        <v>0.02</v>
      </c>
      <c r="V58" s="720">
        <v>0.02</v>
      </c>
      <c r="W58" s="1004">
        <v>7.0000000000000007E-2</v>
      </c>
      <c r="X58" s="1005"/>
      <c r="AD58" s="1005"/>
    </row>
    <row r="59" spans="1:30" ht="11.25" customHeight="1">
      <c r="A59" s="458" t="s">
        <v>487</v>
      </c>
      <c r="B59" s="570" t="s">
        <v>651</v>
      </c>
      <c r="C59" s="1019" t="s">
        <v>638</v>
      </c>
      <c r="D59" s="1020">
        <v>188</v>
      </c>
      <c r="E59" s="1007">
        <v>187.86</v>
      </c>
      <c r="F59" s="1008">
        <v>39.6</v>
      </c>
      <c r="G59" s="1008">
        <v>4.2999999999999997E-2</v>
      </c>
      <c r="H59" s="1008">
        <v>1.0000000000000001E-5</v>
      </c>
      <c r="I59" s="1008">
        <v>3910</v>
      </c>
      <c r="J59" s="900">
        <v>11.2</v>
      </c>
      <c r="K59" s="1008">
        <v>6.4999999999999997E-4</v>
      </c>
      <c r="L59" s="1008">
        <v>2.7E-2</v>
      </c>
      <c r="M59" s="1009">
        <v>1</v>
      </c>
      <c r="N59" s="1010"/>
      <c r="O59" s="1001">
        <v>1.465509395051E-2</v>
      </c>
      <c r="P59" s="1001">
        <v>1.18539952701691</v>
      </c>
      <c r="Q59" s="1001">
        <v>2.8449588648405899</v>
      </c>
      <c r="R59" s="1174">
        <v>2.7799999999999999E-3</v>
      </c>
      <c r="S59" s="1011">
        <v>2</v>
      </c>
      <c r="T59" s="1011">
        <v>5.9999999999999995E-4</v>
      </c>
      <c r="U59" s="1011">
        <v>8.9999999999999993E-3</v>
      </c>
      <c r="V59" s="720">
        <v>8.9999999999999993E-3</v>
      </c>
      <c r="W59" s="1004">
        <v>8.9999999999999993E-3</v>
      </c>
      <c r="X59" s="1005"/>
      <c r="AD59" s="1005"/>
    </row>
    <row r="60" spans="1:30" ht="11.25" customHeight="1">
      <c r="A60" s="458" t="s">
        <v>145</v>
      </c>
      <c r="B60" s="570" t="s">
        <v>651</v>
      </c>
      <c r="C60" s="1019" t="s">
        <v>652</v>
      </c>
      <c r="D60" s="1020">
        <v>147</v>
      </c>
      <c r="E60" s="1007">
        <v>147</v>
      </c>
      <c r="F60" s="1008">
        <v>382.9</v>
      </c>
      <c r="G60" s="1008">
        <v>5.6000000000000001E-2</v>
      </c>
      <c r="H60" s="1008">
        <v>8.8999999999999995E-6</v>
      </c>
      <c r="I60" s="1008">
        <v>156</v>
      </c>
      <c r="J60" s="900">
        <v>1.36</v>
      </c>
      <c r="K60" s="1008">
        <v>1.9E-3</v>
      </c>
      <c r="L60" s="1008">
        <v>7.8E-2</v>
      </c>
      <c r="M60" s="1009">
        <v>1</v>
      </c>
      <c r="N60" s="1010"/>
      <c r="O60" s="1001">
        <v>0.13646202362025001</v>
      </c>
      <c r="P60" s="1001">
        <v>2.2026462274171101</v>
      </c>
      <c r="Q60" s="1001">
        <v>5.28635094580107</v>
      </c>
      <c r="R60" s="1174">
        <v>2.3099999999999999E-2</v>
      </c>
      <c r="S60" s="1011"/>
      <c r="T60" s="1011"/>
      <c r="U60" s="1011">
        <v>0.09</v>
      </c>
      <c r="V60" s="720">
        <v>0.09</v>
      </c>
      <c r="W60" s="1004">
        <v>0.2</v>
      </c>
      <c r="X60" s="1005"/>
      <c r="AD60" s="1005"/>
    </row>
    <row r="61" spans="1:30" ht="11.25" customHeight="1">
      <c r="A61" s="458" t="s">
        <v>225</v>
      </c>
      <c r="B61" s="570" t="s">
        <v>651</v>
      </c>
      <c r="C61" s="1019" t="s">
        <v>652</v>
      </c>
      <c r="D61" s="1020">
        <v>147</v>
      </c>
      <c r="E61" s="1007">
        <v>147</v>
      </c>
      <c r="F61" s="1008">
        <v>617</v>
      </c>
      <c r="G61" s="1008">
        <v>6.9000000000000006E-2</v>
      </c>
      <c r="H61" s="1008">
        <v>7.9000000000000006E-6</v>
      </c>
      <c r="I61" s="1008">
        <v>156</v>
      </c>
      <c r="J61" s="900">
        <v>2.15</v>
      </c>
      <c r="K61" s="1008">
        <v>1.9E-3</v>
      </c>
      <c r="L61" s="1008">
        <v>7.7899999999999997E-2</v>
      </c>
      <c r="M61" s="1009">
        <v>1</v>
      </c>
      <c r="N61" s="1010"/>
      <c r="O61" s="1001">
        <v>0.13646202362025001</v>
      </c>
      <c r="P61" s="1001">
        <v>2.2026462274171101</v>
      </c>
      <c r="Q61" s="1001">
        <v>5.28635094580107</v>
      </c>
      <c r="R61" s="1174">
        <v>2.3099999999999999E-2</v>
      </c>
      <c r="S61" s="1011"/>
      <c r="T61" s="1011"/>
      <c r="U61" s="1008">
        <v>0.03</v>
      </c>
      <c r="V61" s="720">
        <v>0.03</v>
      </c>
      <c r="W61" s="1004">
        <v>0.12</v>
      </c>
      <c r="X61" s="1005"/>
      <c r="AD61" s="1005"/>
    </row>
    <row r="62" spans="1:30" ht="11.25" customHeight="1">
      <c r="A62" s="458" t="s">
        <v>226</v>
      </c>
      <c r="B62" s="570" t="s">
        <v>651</v>
      </c>
      <c r="C62" s="1019" t="s">
        <v>638</v>
      </c>
      <c r="D62" s="1020">
        <v>147</v>
      </c>
      <c r="E62" s="1007">
        <v>147</v>
      </c>
      <c r="F62" s="1008">
        <v>375.3</v>
      </c>
      <c r="G62" s="1008">
        <v>5.5E-2</v>
      </c>
      <c r="H62" s="1008">
        <v>8.6999999999999997E-6</v>
      </c>
      <c r="I62" s="1008">
        <v>81.3</v>
      </c>
      <c r="J62" s="900">
        <v>1.74</v>
      </c>
      <c r="K62" s="1008">
        <v>2.3999999999999998E-3</v>
      </c>
      <c r="L62" s="1008">
        <v>9.9000000000000005E-2</v>
      </c>
      <c r="M62" s="1009">
        <v>1</v>
      </c>
      <c r="N62" s="1010"/>
      <c r="O62" s="1001">
        <v>0.14473244929420001</v>
      </c>
      <c r="P62" s="1001">
        <v>2.2026462274171101</v>
      </c>
      <c r="Q62" s="1001">
        <v>5.28635094580107</v>
      </c>
      <c r="R62" s="1174">
        <v>2.4500000000000001E-2</v>
      </c>
      <c r="S62" s="1011">
        <v>5.4000000000000003E-3</v>
      </c>
      <c r="T62" s="1011">
        <v>1.1E-5</v>
      </c>
      <c r="U62" s="1011">
        <v>7.0000000000000007E-2</v>
      </c>
      <c r="V62" s="720">
        <v>7.0000000000000007E-2</v>
      </c>
      <c r="W62" s="1004">
        <v>0.8</v>
      </c>
      <c r="X62" s="1005"/>
      <c r="AD62" s="1005"/>
    </row>
    <row r="63" spans="1:30" ht="11.25" customHeight="1">
      <c r="A63" s="458" t="s">
        <v>227</v>
      </c>
      <c r="B63" s="570" t="s">
        <v>653</v>
      </c>
      <c r="C63" s="1019" t="s">
        <v>638</v>
      </c>
      <c r="D63" s="1020">
        <v>253</v>
      </c>
      <c r="E63" s="1007">
        <v>253.13</v>
      </c>
      <c r="F63" s="1008">
        <v>3190</v>
      </c>
      <c r="G63" s="1008">
        <v>4.7E-2</v>
      </c>
      <c r="H63" s="1008">
        <v>5.4999999999999999E-6</v>
      </c>
      <c r="I63" s="1008">
        <v>3.1</v>
      </c>
      <c r="J63" s="900">
        <v>2.6E-7</v>
      </c>
      <c r="K63" s="1008">
        <v>2.8E-11</v>
      </c>
      <c r="L63" s="1008">
        <v>1.2E-9</v>
      </c>
      <c r="M63" s="1009">
        <v>1</v>
      </c>
      <c r="N63" s="1010">
        <v>0.1</v>
      </c>
      <c r="O63" s="1001">
        <v>7.8326447806829999E-2</v>
      </c>
      <c r="P63" s="1001">
        <v>2.7502789801898202</v>
      </c>
      <c r="Q63" s="1001">
        <v>6.6006695524555701</v>
      </c>
      <c r="R63" s="1174">
        <v>1.2800000000000001E-2</v>
      </c>
      <c r="S63" s="1011">
        <v>0.45</v>
      </c>
      <c r="T63" s="1011">
        <v>3.4000000000000002E-4</v>
      </c>
      <c r="U63" s="1015" t="s">
        <v>954</v>
      </c>
      <c r="V63" s="720" t="s">
        <v>954</v>
      </c>
      <c r="W63" s="1014" t="s">
        <v>954</v>
      </c>
      <c r="X63" s="1005"/>
      <c r="AD63" s="1005"/>
    </row>
    <row r="64" spans="1:30" ht="11.25" customHeight="1">
      <c r="A64" s="458" t="s">
        <v>361</v>
      </c>
      <c r="B64" s="570" t="s">
        <v>653</v>
      </c>
      <c r="C64" s="1019" t="s">
        <v>638</v>
      </c>
      <c r="D64" s="1020">
        <v>320</v>
      </c>
      <c r="E64" s="1007">
        <v>320.05</v>
      </c>
      <c r="F64" s="1008">
        <v>117500</v>
      </c>
      <c r="G64" s="1008">
        <v>4.1000000000000002E-2</v>
      </c>
      <c r="H64" s="1008">
        <v>4.6999999999999999E-6</v>
      </c>
      <c r="I64" s="1008">
        <v>0.09</v>
      </c>
      <c r="J64" s="900">
        <v>1.3999999999999999E-6</v>
      </c>
      <c r="K64" s="1008">
        <v>6.6000000000000003E-6</v>
      </c>
      <c r="L64" s="1008">
        <v>2.7E-4</v>
      </c>
      <c r="M64" s="1009">
        <v>1</v>
      </c>
      <c r="N64" s="1010">
        <v>0.1</v>
      </c>
      <c r="O64" s="1001">
        <v>1.72706741087775</v>
      </c>
      <c r="P64" s="1001">
        <v>6.5182160246292398</v>
      </c>
      <c r="Q64" s="1001">
        <v>26.2267968690931</v>
      </c>
      <c r="R64" s="1174">
        <v>0.251</v>
      </c>
      <c r="S64" s="1011">
        <v>0.24</v>
      </c>
      <c r="T64" s="1011">
        <v>6.8999999999999997E-5</v>
      </c>
      <c r="U64" s="1015">
        <v>5.0000000000000001E-4</v>
      </c>
      <c r="V64" s="720">
        <v>5.0000000000000001E-4</v>
      </c>
      <c r="W64" s="1014" t="s">
        <v>954</v>
      </c>
      <c r="X64" s="1005"/>
      <c r="AD64" s="1005"/>
    </row>
    <row r="65" spans="1:30" ht="11.25" customHeight="1">
      <c r="A65" s="458" t="s">
        <v>362</v>
      </c>
      <c r="B65" s="570" t="s">
        <v>1405</v>
      </c>
      <c r="C65" s="1019" t="s">
        <v>638</v>
      </c>
      <c r="D65" s="1020">
        <v>318</v>
      </c>
      <c r="E65" s="1007">
        <v>318.02999999999997</v>
      </c>
      <c r="F65" s="1008">
        <v>117500</v>
      </c>
      <c r="G65" s="1008">
        <v>2.3E-2</v>
      </c>
      <c r="H65" s="1008">
        <v>5.9000000000000003E-6</v>
      </c>
      <c r="I65" s="1008">
        <v>0.04</v>
      </c>
      <c r="J65" s="900">
        <v>6.0000000000000002E-6</v>
      </c>
      <c r="K65" s="1008">
        <v>4.1999999999999998E-5</v>
      </c>
      <c r="L65" s="1008">
        <v>1.6999999999999999E-3</v>
      </c>
      <c r="M65" s="1009">
        <v>1</v>
      </c>
      <c r="N65" s="1010"/>
      <c r="O65" s="1001">
        <v>3.7381540857667899</v>
      </c>
      <c r="P65" s="1001">
        <v>6.3506291076779702</v>
      </c>
      <c r="Q65" s="1001">
        <v>27.291554395341301</v>
      </c>
      <c r="R65" s="1174">
        <v>0.54500000000000004</v>
      </c>
      <c r="S65" s="1011">
        <v>0.34</v>
      </c>
      <c r="T65" s="1011">
        <v>9.7E-5</v>
      </c>
      <c r="U65" s="1015">
        <v>5.0000000000000001E-4</v>
      </c>
      <c r="V65" s="720">
        <v>5.0000000000000001E-4</v>
      </c>
      <c r="W65" s="1014" t="s">
        <v>954</v>
      </c>
      <c r="X65" s="1005"/>
      <c r="AD65" s="1005"/>
    </row>
    <row r="66" spans="1:30" ht="11.25" customHeight="1">
      <c r="A66" s="458" t="s">
        <v>363</v>
      </c>
      <c r="B66" s="570" t="s">
        <v>653</v>
      </c>
      <c r="C66" s="1019" t="s">
        <v>638</v>
      </c>
      <c r="D66" s="1020">
        <v>354</v>
      </c>
      <c r="E66" s="1007">
        <v>354.49</v>
      </c>
      <c r="F66" s="1008">
        <v>168600</v>
      </c>
      <c r="G66" s="1008">
        <v>3.7999999999999999E-2</v>
      </c>
      <c r="H66" s="1008">
        <v>4.4000000000000002E-6</v>
      </c>
      <c r="I66" s="1008">
        <v>5.4999999999999997E-3</v>
      </c>
      <c r="J66" s="900">
        <v>1.6E-7</v>
      </c>
      <c r="K66" s="1008">
        <v>8.3000000000000002E-6</v>
      </c>
      <c r="L66" s="1008">
        <v>3.4000000000000002E-4</v>
      </c>
      <c r="M66" s="1009">
        <v>1</v>
      </c>
      <c r="N66" s="1010">
        <v>0.03</v>
      </c>
      <c r="O66" s="1001">
        <v>4.5476631647863996</v>
      </c>
      <c r="P66" s="1001">
        <v>10.1623172712118</v>
      </c>
      <c r="Q66" s="1001">
        <v>44.266796804437</v>
      </c>
      <c r="R66" s="1174">
        <v>0.628</v>
      </c>
      <c r="S66" s="1011">
        <v>0.34</v>
      </c>
      <c r="T66" s="1011">
        <v>9.7E-5</v>
      </c>
      <c r="U66" s="1011">
        <v>5.0000000000000001E-4</v>
      </c>
      <c r="V66" s="720">
        <v>5.0000000000000001E-4</v>
      </c>
      <c r="W66" s="1014" t="s">
        <v>954</v>
      </c>
      <c r="X66" s="1005"/>
      <c r="AD66" s="1005"/>
    </row>
    <row r="67" spans="1:30" ht="11.25" customHeight="1">
      <c r="A67" s="458" t="s">
        <v>234</v>
      </c>
      <c r="B67" s="570" t="s">
        <v>651</v>
      </c>
      <c r="C67" s="1019" t="s">
        <v>652</v>
      </c>
      <c r="D67" s="1020">
        <v>99</v>
      </c>
      <c r="E67" s="1007">
        <v>98.96</v>
      </c>
      <c r="F67" s="1008">
        <v>31.82</v>
      </c>
      <c r="G67" s="1008">
        <v>8.4000000000000005E-2</v>
      </c>
      <c r="H67" s="1008">
        <v>1.1E-5</v>
      </c>
      <c r="I67" s="1008">
        <v>5040</v>
      </c>
      <c r="J67" s="900">
        <v>227.3</v>
      </c>
      <c r="K67" s="1008">
        <v>5.5999999999999999E-3</v>
      </c>
      <c r="L67" s="1008">
        <v>0.23</v>
      </c>
      <c r="M67" s="1009">
        <v>1</v>
      </c>
      <c r="N67" s="1010"/>
      <c r="O67" s="1001">
        <v>2.582618562439E-2</v>
      </c>
      <c r="P67" s="1001">
        <v>0.37672526722851002</v>
      </c>
      <c r="Q67" s="1001">
        <v>0.90414064134842997</v>
      </c>
      <c r="R67" s="1174">
        <v>6.7499999999999999E-3</v>
      </c>
      <c r="S67" s="1011">
        <v>5.7000000000000002E-3</v>
      </c>
      <c r="T67" s="1011">
        <v>1.5999999999999999E-6</v>
      </c>
      <c r="U67" s="1011">
        <v>0.2</v>
      </c>
      <c r="V67" s="720">
        <v>0.2</v>
      </c>
      <c r="W67" s="1004">
        <v>0.70000000000000007</v>
      </c>
      <c r="X67" s="1005"/>
      <c r="AD67" s="1005"/>
    </row>
    <row r="68" spans="1:30" ht="11.25" customHeight="1">
      <c r="A68" s="458" t="s">
        <v>235</v>
      </c>
      <c r="B68" s="570" t="s">
        <v>651</v>
      </c>
      <c r="C68" s="1019" t="s">
        <v>652</v>
      </c>
      <c r="D68" s="1020">
        <v>99</v>
      </c>
      <c r="E68" s="1007">
        <v>98.96</v>
      </c>
      <c r="F68" s="1008">
        <v>39.6</v>
      </c>
      <c r="G68" s="1008">
        <v>8.5999999999999993E-2</v>
      </c>
      <c r="H68" s="1008">
        <v>1.1E-5</v>
      </c>
      <c r="I68" s="1008">
        <v>8600</v>
      </c>
      <c r="J68" s="900">
        <v>79</v>
      </c>
      <c r="K68" s="1008">
        <v>1.1999999999999999E-3</v>
      </c>
      <c r="L68" s="1008">
        <v>4.8000000000000001E-2</v>
      </c>
      <c r="M68" s="1009">
        <v>1</v>
      </c>
      <c r="N68" s="1010"/>
      <c r="O68" s="1001">
        <v>1.6069626610730001E-2</v>
      </c>
      <c r="P68" s="1001">
        <v>0.37672526722851002</v>
      </c>
      <c r="Q68" s="1001">
        <v>0.90414064134842997</v>
      </c>
      <c r="R68" s="1174">
        <v>4.1999999999999997E-3</v>
      </c>
      <c r="S68" s="1011">
        <v>9.0999999999999998E-2</v>
      </c>
      <c r="T68" s="1011">
        <v>2.5999999999999998E-5</v>
      </c>
      <c r="U68" s="1011">
        <v>6.0000000000000001E-3</v>
      </c>
      <c r="V68" s="720">
        <v>6.0000000000000001E-3</v>
      </c>
      <c r="W68" s="1004">
        <v>7.0000000000000001E-3</v>
      </c>
      <c r="X68" s="1005"/>
      <c r="AD68" s="1005"/>
    </row>
    <row r="69" spans="1:30" ht="11.25" customHeight="1">
      <c r="A69" s="458" t="s">
        <v>294</v>
      </c>
      <c r="B69" s="570" t="s">
        <v>651</v>
      </c>
      <c r="C69" s="1019" t="s">
        <v>652</v>
      </c>
      <c r="D69" s="1020">
        <v>97</v>
      </c>
      <c r="E69" s="1007">
        <v>96.94</v>
      </c>
      <c r="F69" s="1008">
        <v>31.82</v>
      </c>
      <c r="G69" s="1008">
        <v>8.5999999999999993E-2</v>
      </c>
      <c r="H69" s="1008">
        <v>1.1E-5</v>
      </c>
      <c r="I69" s="1008">
        <v>2420</v>
      </c>
      <c r="J69" s="900">
        <v>600</v>
      </c>
      <c r="K69" s="1008">
        <v>2.5999999999999999E-2</v>
      </c>
      <c r="L69" s="1008">
        <v>1.1000000000000001</v>
      </c>
      <c r="M69" s="1009">
        <v>1</v>
      </c>
      <c r="N69" s="1010"/>
      <c r="O69" s="1001">
        <v>4.4307064899399999E-2</v>
      </c>
      <c r="P69" s="1001">
        <v>0.36705838514296002</v>
      </c>
      <c r="Q69" s="1001">
        <v>0.88094012434309998</v>
      </c>
      <c r="R69" s="1174">
        <v>1.17E-2</v>
      </c>
      <c r="S69" s="1011"/>
      <c r="T69" s="1011"/>
      <c r="U69" s="1011">
        <v>0.05</v>
      </c>
      <c r="V69" s="720">
        <v>0.05</v>
      </c>
      <c r="W69" s="1004">
        <v>0.2</v>
      </c>
      <c r="X69" s="1005"/>
      <c r="AD69" s="1005"/>
    </row>
    <row r="70" spans="1:30" ht="11.25" customHeight="1">
      <c r="A70" s="458" t="s">
        <v>295</v>
      </c>
      <c r="B70" s="570" t="s">
        <v>651</v>
      </c>
      <c r="C70" s="1019" t="s">
        <v>652</v>
      </c>
      <c r="D70" s="1020">
        <v>97</v>
      </c>
      <c r="E70" s="1007">
        <v>96.94</v>
      </c>
      <c r="F70" s="1008">
        <v>39.6</v>
      </c>
      <c r="G70" s="1008">
        <v>8.7999999999999995E-2</v>
      </c>
      <c r="H70" s="1008">
        <v>1.1E-5</v>
      </c>
      <c r="I70" s="1008">
        <v>6410</v>
      </c>
      <c r="J70" s="900">
        <v>200</v>
      </c>
      <c r="K70" s="1008">
        <v>4.1000000000000003E-3</v>
      </c>
      <c r="L70" s="1008">
        <v>0.17</v>
      </c>
      <c r="M70" s="1009">
        <v>1</v>
      </c>
      <c r="N70" s="1010"/>
      <c r="O70" s="1001">
        <v>4.165621486269E-2</v>
      </c>
      <c r="P70" s="1001">
        <v>0.36705838514296002</v>
      </c>
      <c r="Q70" s="1001">
        <v>0.88094012434309998</v>
      </c>
      <c r="R70" s="1174">
        <v>1.0999999999999999E-2</v>
      </c>
      <c r="S70" s="1011"/>
      <c r="T70" s="1011"/>
      <c r="U70" s="1011">
        <v>2E-3</v>
      </c>
      <c r="V70" s="720">
        <v>2E-3</v>
      </c>
      <c r="W70" s="1016">
        <v>0.04</v>
      </c>
      <c r="X70" s="1005"/>
      <c r="AD70" s="1005"/>
    </row>
    <row r="71" spans="1:30" ht="11.25" customHeight="1">
      <c r="A71" s="458" t="s">
        <v>228</v>
      </c>
      <c r="B71" s="570" t="s">
        <v>651</v>
      </c>
      <c r="C71" s="1019" t="s">
        <v>652</v>
      </c>
      <c r="D71" s="1020">
        <v>97</v>
      </c>
      <c r="E71" s="1007">
        <v>96.94</v>
      </c>
      <c r="F71" s="1008">
        <v>39.6</v>
      </c>
      <c r="G71" s="1008">
        <v>8.7999999999999995E-2</v>
      </c>
      <c r="H71" s="1008">
        <v>1.1E-5</v>
      </c>
      <c r="I71" s="1008">
        <v>4520</v>
      </c>
      <c r="J71" s="900">
        <v>331</v>
      </c>
      <c r="K71" s="1008">
        <v>9.4000000000000004E-3</v>
      </c>
      <c r="L71" s="1008">
        <v>0.38</v>
      </c>
      <c r="M71" s="1009">
        <v>1</v>
      </c>
      <c r="N71" s="1010"/>
      <c r="O71" s="1001">
        <v>4.165621486269E-2</v>
      </c>
      <c r="P71" s="1001">
        <v>0.36705838514296002</v>
      </c>
      <c r="Q71" s="1001">
        <v>0.88094012434309998</v>
      </c>
      <c r="R71" s="1174">
        <v>1.0999999999999999E-2</v>
      </c>
      <c r="S71" s="1011"/>
      <c r="T71" s="1011"/>
      <c r="U71" s="1011">
        <v>0.02</v>
      </c>
      <c r="V71" s="720">
        <v>0.02</v>
      </c>
      <c r="W71" s="1016">
        <v>0.04</v>
      </c>
      <c r="X71" s="1005"/>
      <c r="AD71" s="1005"/>
    </row>
    <row r="72" spans="1:30" ht="11.25" customHeight="1">
      <c r="A72" s="458" t="s">
        <v>942</v>
      </c>
      <c r="B72" s="570" t="s">
        <v>653</v>
      </c>
      <c r="C72" s="1019" t="s">
        <v>638</v>
      </c>
      <c r="D72" s="1020">
        <v>163</v>
      </c>
      <c r="E72" s="1007">
        <v>163</v>
      </c>
      <c r="F72" s="1008">
        <v>147</v>
      </c>
      <c r="G72" s="1008">
        <v>4.9000000000000002E-2</v>
      </c>
      <c r="H72" s="1008">
        <v>8.6999999999999997E-6</v>
      </c>
      <c r="I72" s="1008">
        <v>5550</v>
      </c>
      <c r="J72" s="900">
        <v>0.09</v>
      </c>
      <c r="K72" s="1008">
        <v>4.3000000000000003E-6</v>
      </c>
      <c r="L72" s="1008">
        <v>1.8000000000000001E-4</v>
      </c>
      <c r="M72" s="1009">
        <v>1</v>
      </c>
      <c r="N72" s="1010">
        <v>0.1</v>
      </c>
      <c r="O72" s="1001">
        <v>0.10115507457575</v>
      </c>
      <c r="P72" s="1001">
        <v>0.86029767582779004</v>
      </c>
      <c r="Q72" s="1001">
        <v>2.06471442198669</v>
      </c>
      <c r="R72" s="1174">
        <v>2.06E-2</v>
      </c>
      <c r="S72" s="1011"/>
      <c r="T72" s="1011"/>
      <c r="U72" s="1011">
        <v>3.0000000000000001E-3</v>
      </c>
      <c r="V72" s="720">
        <v>3.0000000000000001E-3</v>
      </c>
      <c r="W72" s="1014" t="s">
        <v>954</v>
      </c>
      <c r="X72" s="1005"/>
      <c r="AD72" s="1005"/>
    </row>
    <row r="73" spans="1:30" ht="11.25" customHeight="1">
      <c r="A73" s="458" t="s">
        <v>98</v>
      </c>
      <c r="B73" s="570" t="s">
        <v>653</v>
      </c>
      <c r="C73" s="1019" t="s">
        <v>638</v>
      </c>
      <c r="D73" s="1020">
        <v>221</v>
      </c>
      <c r="E73" s="1007">
        <v>221.04</v>
      </c>
      <c r="F73" s="1008">
        <v>29.63</v>
      </c>
      <c r="G73" s="1008">
        <v>2.8000000000000001E-2</v>
      </c>
      <c r="H73" s="1008">
        <v>7.3000000000000004E-6</v>
      </c>
      <c r="I73" s="1008">
        <v>677</v>
      </c>
      <c r="J73" s="900">
        <v>8.2999999999999998E-5</v>
      </c>
      <c r="K73" s="1008">
        <v>3.5000000000000002E-8</v>
      </c>
      <c r="L73" s="1008">
        <v>1.3999999999999999E-6</v>
      </c>
      <c r="M73" s="1009">
        <v>1</v>
      </c>
      <c r="N73" s="1010">
        <v>0.05</v>
      </c>
      <c r="O73" s="1001">
        <v>3.7969088143360002E-2</v>
      </c>
      <c r="P73" s="1001">
        <v>1.8183301907223199</v>
      </c>
      <c r="Q73" s="1001">
        <v>4.36399245773356</v>
      </c>
      <c r="R73" s="1174">
        <v>6.6400000000000001E-3</v>
      </c>
      <c r="S73" s="1011"/>
      <c r="T73" s="1011"/>
      <c r="U73" s="1011">
        <v>0.01</v>
      </c>
      <c r="V73" s="720">
        <v>0.01</v>
      </c>
      <c r="W73" s="1014" t="s">
        <v>954</v>
      </c>
      <c r="X73" s="1005"/>
      <c r="AD73" s="1005"/>
    </row>
    <row r="74" spans="1:30" ht="11.25" customHeight="1">
      <c r="A74" s="458" t="s">
        <v>943</v>
      </c>
      <c r="B74" s="570" t="s">
        <v>651</v>
      </c>
      <c r="C74" s="1019" t="s">
        <v>652</v>
      </c>
      <c r="D74" s="1020">
        <v>113</v>
      </c>
      <c r="E74" s="1007">
        <v>112.99</v>
      </c>
      <c r="F74" s="1008">
        <v>60.7</v>
      </c>
      <c r="G74" s="1008">
        <v>7.2999999999999995E-2</v>
      </c>
      <c r="H74" s="1008">
        <v>9.7000000000000003E-6</v>
      </c>
      <c r="I74" s="1008">
        <v>2800</v>
      </c>
      <c r="J74" s="900">
        <v>53.3</v>
      </c>
      <c r="K74" s="1008">
        <v>2.8E-3</v>
      </c>
      <c r="L74" s="1008">
        <v>0.12</v>
      </c>
      <c r="M74" s="1009">
        <v>1</v>
      </c>
      <c r="N74" s="1010"/>
      <c r="O74" s="1001">
        <v>3.0785175414410001E-2</v>
      </c>
      <c r="P74" s="1001">
        <v>0.45143242470886003</v>
      </c>
      <c r="Q74" s="1001">
        <v>1.0834378193012699</v>
      </c>
      <c r="R74" s="1174">
        <v>7.5300000000000002E-3</v>
      </c>
      <c r="S74" s="1011">
        <v>3.6999999999999998E-2</v>
      </c>
      <c r="T74" s="1011">
        <v>3.7000000000000002E-6</v>
      </c>
      <c r="U74" s="1011">
        <v>0.04</v>
      </c>
      <c r="V74" s="720">
        <v>0.04</v>
      </c>
      <c r="W74" s="1004">
        <v>4.0000000000000001E-3</v>
      </c>
      <c r="X74" s="1005"/>
      <c r="AD74" s="1005"/>
    </row>
    <row r="75" spans="1:30" ht="11.25" customHeight="1">
      <c r="A75" s="458" t="s">
        <v>296</v>
      </c>
      <c r="B75" s="570" t="s">
        <v>651</v>
      </c>
      <c r="C75" s="1019" t="s">
        <v>652</v>
      </c>
      <c r="D75" s="1020">
        <v>111</v>
      </c>
      <c r="E75" s="1007">
        <v>110.97</v>
      </c>
      <c r="F75" s="1008">
        <v>72.17</v>
      </c>
      <c r="G75" s="1008">
        <v>7.5999999999999998E-2</v>
      </c>
      <c r="H75" s="1008">
        <v>1.0000000000000001E-5</v>
      </c>
      <c r="I75" s="1008">
        <v>2800</v>
      </c>
      <c r="J75" s="900">
        <v>34</v>
      </c>
      <c r="K75" s="1008">
        <v>3.5999999999999999E-3</v>
      </c>
      <c r="L75" s="1008">
        <v>0.15</v>
      </c>
      <c r="M75" s="1009">
        <v>1</v>
      </c>
      <c r="N75" s="1010"/>
      <c r="O75" s="1001">
        <v>3.1725492857339999E-2</v>
      </c>
      <c r="P75" s="1001">
        <v>0.45143242470886003</v>
      </c>
      <c r="Q75" s="1001">
        <v>1.0834378193012699</v>
      </c>
      <c r="R75" s="1174">
        <v>7.7600000000000004E-3</v>
      </c>
      <c r="S75" s="1011">
        <v>0.1</v>
      </c>
      <c r="T75" s="1011">
        <v>3.9999999999999998E-6</v>
      </c>
      <c r="U75" s="1011">
        <v>0.03</v>
      </c>
      <c r="V75" s="720">
        <v>0.03</v>
      </c>
      <c r="W75" s="1004">
        <v>0.02</v>
      </c>
      <c r="X75" s="1005"/>
      <c r="AD75" s="1005"/>
    </row>
    <row r="76" spans="1:30" ht="11.25" customHeight="1">
      <c r="A76" s="458" t="s">
        <v>944</v>
      </c>
      <c r="B76" s="570" t="s">
        <v>653</v>
      </c>
      <c r="C76" s="1019" t="s">
        <v>638</v>
      </c>
      <c r="D76" s="1020">
        <v>381</v>
      </c>
      <c r="E76" s="1007">
        <v>380.91</v>
      </c>
      <c r="F76" s="1008">
        <v>20090</v>
      </c>
      <c r="G76" s="1008">
        <v>2.3E-2</v>
      </c>
      <c r="H76" s="1008">
        <v>6.0000000000000002E-6</v>
      </c>
      <c r="I76" s="1008">
        <v>0.19500000000000001</v>
      </c>
      <c r="J76" s="900">
        <v>5.9000000000000003E-6</v>
      </c>
      <c r="K76" s="1008">
        <v>1.0000000000000001E-5</v>
      </c>
      <c r="L76" s="1008">
        <v>4.0999999999999999E-4</v>
      </c>
      <c r="M76" s="1009">
        <v>1</v>
      </c>
      <c r="N76" s="1010">
        <v>0.1</v>
      </c>
      <c r="O76" s="1001">
        <v>0.24471209735466001</v>
      </c>
      <c r="P76" s="1001">
        <v>14.287121880278701</v>
      </c>
      <c r="Q76" s="1001">
        <v>34.289092512668802</v>
      </c>
      <c r="R76" s="1174">
        <v>3.2599999999999997E-2</v>
      </c>
      <c r="S76" s="1011">
        <v>7</v>
      </c>
      <c r="T76" s="1011">
        <v>4.5999999999999999E-3</v>
      </c>
      <c r="U76" s="1011">
        <v>8.0000000000000007E-5</v>
      </c>
      <c r="V76" s="720">
        <v>8.0000000000000007E-5</v>
      </c>
      <c r="W76" s="1016" t="s">
        <v>954</v>
      </c>
      <c r="X76" s="1005"/>
      <c r="AD76" s="1005"/>
    </row>
    <row r="77" spans="1:30" ht="11.25" customHeight="1">
      <c r="A77" s="458" t="s">
        <v>945</v>
      </c>
      <c r="B77" s="570" t="s">
        <v>653</v>
      </c>
      <c r="C77" s="1019" t="s">
        <v>638</v>
      </c>
      <c r="D77" s="1020">
        <v>222</v>
      </c>
      <c r="E77" s="1007">
        <v>222.24</v>
      </c>
      <c r="F77" s="1008">
        <v>104.9</v>
      </c>
      <c r="G77" s="1008">
        <v>2.5999999999999999E-2</v>
      </c>
      <c r="H77" s="1008">
        <v>6.7000000000000002E-6</v>
      </c>
      <c r="I77" s="1008">
        <v>1080</v>
      </c>
      <c r="J77" s="900">
        <v>2.0999999999999999E-3</v>
      </c>
      <c r="K77" s="1008">
        <v>6.0999999999999998E-7</v>
      </c>
      <c r="L77" s="1008">
        <v>2.5000000000000001E-5</v>
      </c>
      <c r="M77" s="1009">
        <v>1</v>
      </c>
      <c r="N77" s="1010">
        <v>0.1</v>
      </c>
      <c r="O77" s="1001">
        <v>2.06414530932E-2</v>
      </c>
      <c r="P77" s="1001">
        <v>1.8466846940203501</v>
      </c>
      <c r="Q77" s="1001">
        <v>4.4320432656488498</v>
      </c>
      <c r="R77" s="1174">
        <v>3.5999999999999999E-3</v>
      </c>
      <c r="S77" s="1011"/>
      <c r="T77" s="1011"/>
      <c r="U77" s="1011">
        <v>0.8</v>
      </c>
      <c r="V77" s="720">
        <v>0.8</v>
      </c>
      <c r="W77" s="1014" t="s">
        <v>954</v>
      </c>
      <c r="X77" s="1005"/>
      <c r="AD77" s="1005"/>
    </row>
    <row r="78" spans="1:30" ht="11.25" customHeight="1">
      <c r="A78" s="458" t="s">
        <v>947</v>
      </c>
      <c r="B78" s="570" t="s">
        <v>653</v>
      </c>
      <c r="C78" s="1019" t="s">
        <v>638</v>
      </c>
      <c r="D78" s="1020">
        <v>122</v>
      </c>
      <c r="E78" s="1007">
        <v>122.17</v>
      </c>
      <c r="F78" s="1008">
        <v>491.8</v>
      </c>
      <c r="G78" s="1008">
        <v>6.2E-2</v>
      </c>
      <c r="H78" s="1008">
        <v>8.3000000000000002E-6</v>
      </c>
      <c r="I78" s="1008">
        <v>7870</v>
      </c>
      <c r="J78" s="900">
        <v>0.1</v>
      </c>
      <c r="K78" s="1008">
        <v>9.5000000000000001E-7</v>
      </c>
      <c r="L78" s="1008">
        <v>3.8999999999999999E-5</v>
      </c>
      <c r="M78" s="1009">
        <v>1</v>
      </c>
      <c r="N78" s="1010">
        <v>0.1</v>
      </c>
      <c r="O78" s="1001">
        <v>4.6337802790549998E-2</v>
      </c>
      <c r="P78" s="1001">
        <v>0.50816031967269004</v>
      </c>
      <c r="Q78" s="1001">
        <v>1.21958476721446</v>
      </c>
      <c r="R78" s="1174">
        <v>1.09E-2</v>
      </c>
      <c r="S78" s="1011"/>
      <c r="T78" s="1011"/>
      <c r="U78" s="1011">
        <v>0.02</v>
      </c>
      <c r="V78" s="720">
        <v>0.02</v>
      </c>
      <c r="W78" s="1004">
        <v>7.0000000000000007E-2</v>
      </c>
      <c r="X78" s="1005"/>
      <c r="AD78" s="1005"/>
    </row>
    <row r="79" spans="1:30" ht="11.25" customHeight="1">
      <c r="A79" s="458" t="s">
        <v>946</v>
      </c>
      <c r="B79" s="570" t="s">
        <v>653</v>
      </c>
      <c r="C79" s="1019" t="s">
        <v>638</v>
      </c>
      <c r="D79" s="1020">
        <v>194</v>
      </c>
      <c r="E79" s="1007">
        <v>194</v>
      </c>
      <c r="F79" s="1008">
        <v>140</v>
      </c>
      <c r="G79" s="1008"/>
      <c r="H79" s="1008"/>
      <c r="I79" s="1008">
        <v>5000</v>
      </c>
      <c r="J79" s="900">
        <v>0.308</v>
      </c>
      <c r="K79" s="1008">
        <v>1.05E-7</v>
      </c>
      <c r="L79" s="1008">
        <v>4.3100000000000002E-6</v>
      </c>
      <c r="M79" s="1009">
        <v>1</v>
      </c>
      <c r="N79" s="1022">
        <v>0.1</v>
      </c>
      <c r="O79" s="1001">
        <v>2.1385183373060002E-2</v>
      </c>
      <c r="P79" s="1001">
        <v>1.28621257012256</v>
      </c>
      <c r="Q79" s="1001">
        <v>3.08691016829414</v>
      </c>
      <c r="R79" s="1174">
        <v>3.9899999999999996E-3</v>
      </c>
      <c r="S79" s="1011"/>
      <c r="T79" s="1011"/>
      <c r="U79" s="1008">
        <v>10</v>
      </c>
      <c r="V79" s="720">
        <v>10</v>
      </c>
      <c r="W79" s="1017"/>
      <c r="X79" s="1005"/>
      <c r="AD79" s="1005"/>
    </row>
    <row r="80" spans="1:30" ht="11.25" customHeight="1">
      <c r="A80" s="458" t="s">
        <v>99</v>
      </c>
      <c r="B80" s="570" t="s">
        <v>653</v>
      </c>
      <c r="C80" s="1019" t="s">
        <v>638</v>
      </c>
      <c r="D80" s="1020">
        <v>168</v>
      </c>
      <c r="E80" s="1007">
        <v>168.11</v>
      </c>
      <c r="F80" s="1008">
        <v>351.6</v>
      </c>
      <c r="G80" s="1008">
        <v>4.8000000000000001E-2</v>
      </c>
      <c r="H80" s="1008">
        <v>9.2E-6</v>
      </c>
      <c r="I80" s="1008">
        <v>533</v>
      </c>
      <c r="J80" s="900">
        <v>8.9999999999999998E-4</v>
      </c>
      <c r="K80" s="1008">
        <v>4.9000000000000002E-8</v>
      </c>
      <c r="L80" s="1008">
        <v>1.9999999999999999E-6</v>
      </c>
      <c r="M80" s="1009">
        <v>1</v>
      </c>
      <c r="N80" s="1010">
        <v>0.1</v>
      </c>
      <c r="O80" s="1001">
        <v>8.67706147598E-3</v>
      </c>
      <c r="P80" s="1001">
        <v>0.91889259052981997</v>
      </c>
      <c r="Q80" s="1001">
        <v>2.2053422172715602</v>
      </c>
      <c r="R80" s="1174">
        <v>1.74E-3</v>
      </c>
      <c r="S80" s="1011"/>
      <c r="T80" s="1011"/>
      <c r="U80" s="1011">
        <v>1E-4</v>
      </c>
      <c r="V80" s="720">
        <v>1E-4</v>
      </c>
      <c r="W80" s="1014" t="s">
        <v>954</v>
      </c>
      <c r="X80" s="1023"/>
      <c r="AD80" s="1005"/>
    </row>
    <row r="81" spans="1:30" ht="11.25" customHeight="1">
      <c r="A81" s="458" t="s">
        <v>297</v>
      </c>
      <c r="B81" s="570" t="s">
        <v>653</v>
      </c>
      <c r="C81" s="1019" t="s">
        <v>638</v>
      </c>
      <c r="D81" s="1020">
        <v>184</v>
      </c>
      <c r="E81" s="1007">
        <v>184.11</v>
      </c>
      <c r="F81" s="1008">
        <v>460.8</v>
      </c>
      <c r="G81" s="1008">
        <v>4.1000000000000002E-2</v>
      </c>
      <c r="H81" s="1008">
        <v>9.0999999999999993E-6</v>
      </c>
      <c r="I81" s="1008">
        <v>2790</v>
      </c>
      <c r="J81" s="900">
        <v>3.8999999999999999E-4</v>
      </c>
      <c r="K81" s="1008">
        <v>8.6000000000000002E-8</v>
      </c>
      <c r="L81" s="1008">
        <v>3.4999999999999999E-6</v>
      </c>
      <c r="M81" s="1009">
        <v>1</v>
      </c>
      <c r="N81" s="1010">
        <v>0.1</v>
      </c>
      <c r="O81" s="1001">
        <v>9.7590366179299993E-3</v>
      </c>
      <c r="P81" s="1001">
        <v>1.1294441221771601</v>
      </c>
      <c r="Q81" s="1001">
        <v>2.7106658932251899</v>
      </c>
      <c r="R81" s="1174">
        <v>1.8699999999999999E-3</v>
      </c>
      <c r="S81" s="1011"/>
      <c r="T81" s="1011"/>
      <c r="U81" s="1011">
        <v>2E-3</v>
      </c>
      <c r="V81" s="720">
        <v>2E-3</v>
      </c>
      <c r="W81" s="1014" t="s">
        <v>954</v>
      </c>
      <c r="X81" s="1005"/>
      <c r="AD81" s="1005"/>
    </row>
    <row r="82" spans="1:30" ht="11.25" customHeight="1">
      <c r="A82" s="458" t="s">
        <v>100</v>
      </c>
      <c r="B82" s="570" t="s">
        <v>653</v>
      </c>
      <c r="C82" s="1019" t="s">
        <v>638</v>
      </c>
      <c r="D82" s="1020">
        <v>182</v>
      </c>
      <c r="E82" s="1007">
        <v>182.14</v>
      </c>
      <c r="F82" s="1008">
        <v>575.6</v>
      </c>
      <c r="G82" s="1008">
        <v>3.7999999999999999E-2</v>
      </c>
      <c r="H82" s="1008">
        <v>7.9000000000000006E-6</v>
      </c>
      <c r="I82" s="1008">
        <v>200</v>
      </c>
      <c r="J82" s="900">
        <v>1.4999999999999999E-4</v>
      </c>
      <c r="K82" s="1008">
        <v>5.4E-8</v>
      </c>
      <c r="L82" s="1008">
        <v>2.2000000000000001E-6</v>
      </c>
      <c r="M82" s="1009">
        <v>1</v>
      </c>
      <c r="N82" s="1010">
        <v>0.10199999999999999</v>
      </c>
      <c r="O82" s="1001">
        <v>1.5987480753030001E-2</v>
      </c>
      <c r="P82" s="1001">
        <v>1.1011151793496901</v>
      </c>
      <c r="Q82" s="1001">
        <v>2.64267643043926</v>
      </c>
      <c r="R82" s="1174">
        <v>3.0799999999999998E-3</v>
      </c>
      <c r="S82" s="1011">
        <v>0.31</v>
      </c>
      <c r="T82" s="1011">
        <v>8.8999999999999995E-5</v>
      </c>
      <c r="U82" s="1011">
        <v>2E-3</v>
      </c>
      <c r="V82" s="720">
        <v>2E-3</v>
      </c>
      <c r="W82" s="1014" t="s">
        <v>954</v>
      </c>
      <c r="X82" s="1005"/>
      <c r="AD82" s="1005"/>
    </row>
    <row r="83" spans="1:30" ht="11.25" customHeight="1">
      <c r="A83" s="458" t="s">
        <v>101</v>
      </c>
      <c r="B83" s="570" t="s">
        <v>653</v>
      </c>
      <c r="C83" s="1019" t="s">
        <v>638</v>
      </c>
      <c r="D83" s="1020">
        <v>182</v>
      </c>
      <c r="E83" s="1007">
        <v>182.14</v>
      </c>
      <c r="F83" s="1008">
        <v>587.4</v>
      </c>
      <c r="G83" s="1008">
        <v>3.6999999999999998E-2</v>
      </c>
      <c r="H83" s="1008">
        <v>7.7999999999999999E-6</v>
      </c>
      <c r="I83" s="1008">
        <v>182</v>
      </c>
      <c r="J83" s="900">
        <v>5.6999999999999998E-4</v>
      </c>
      <c r="K83" s="1008">
        <v>7.5000000000000002E-7</v>
      </c>
      <c r="L83" s="1008">
        <v>3.1000000000000001E-5</v>
      </c>
      <c r="M83" s="1009">
        <v>1</v>
      </c>
      <c r="N83" s="1010">
        <v>9.9000000000000005E-2</v>
      </c>
      <c r="O83" s="1001">
        <v>1.9205739865649999E-2</v>
      </c>
      <c r="P83" s="1001">
        <v>1.1011151793496901</v>
      </c>
      <c r="Q83" s="1001">
        <v>2.64267643043926</v>
      </c>
      <c r="R83" s="1174">
        <v>3.7000000000000002E-3</v>
      </c>
      <c r="S83" s="1011">
        <v>1.5</v>
      </c>
      <c r="T83" s="1011"/>
      <c r="U83" s="1011">
        <v>2.9999999999999997E-4</v>
      </c>
      <c r="V83" s="720">
        <v>2.9999999999999997E-4</v>
      </c>
      <c r="W83" s="1014" t="s">
        <v>954</v>
      </c>
      <c r="X83" s="1005"/>
      <c r="AD83" s="1005"/>
    </row>
    <row r="84" spans="1:30" ht="11.25" customHeight="1">
      <c r="A84" s="458" t="s">
        <v>382</v>
      </c>
      <c r="B84" s="570" t="s">
        <v>651</v>
      </c>
      <c r="C84" s="1019" t="s">
        <v>652</v>
      </c>
      <c r="D84" s="1020">
        <v>88</v>
      </c>
      <c r="E84" s="1007">
        <v>88.11</v>
      </c>
      <c r="F84" s="1008">
        <v>2.6</v>
      </c>
      <c r="G84" s="1008">
        <v>8.6999999999999994E-2</v>
      </c>
      <c r="H84" s="1008">
        <v>1.1E-5</v>
      </c>
      <c r="I84" s="1008">
        <v>1000000</v>
      </c>
      <c r="J84" s="900">
        <v>38</v>
      </c>
      <c r="K84" s="1008">
        <v>4.7999999999999998E-6</v>
      </c>
      <c r="L84" s="1008">
        <v>2.0000000000000001E-4</v>
      </c>
      <c r="M84" s="1009">
        <v>1</v>
      </c>
      <c r="N84" s="1010"/>
      <c r="O84" s="1001">
        <v>1.1985880480299999E-3</v>
      </c>
      <c r="P84" s="1001">
        <v>0.32752763525405998</v>
      </c>
      <c r="Q84" s="1001">
        <v>0.78606632460975001</v>
      </c>
      <c r="R84" s="1174">
        <v>3.3199999999999999E-4</v>
      </c>
      <c r="S84" s="1011">
        <v>0.1</v>
      </c>
      <c r="T84" s="1011">
        <v>5.0000000000000004E-6</v>
      </c>
      <c r="U84" s="1011">
        <v>0.03</v>
      </c>
      <c r="V84" s="720">
        <v>0.03</v>
      </c>
      <c r="W84" s="1004">
        <v>0.03</v>
      </c>
      <c r="X84" s="1005"/>
      <c r="AD84" s="1005"/>
    </row>
    <row r="85" spans="1:30" ht="11.25" customHeight="1">
      <c r="A85" s="458" t="s">
        <v>594</v>
      </c>
      <c r="B85" s="570" t="s">
        <v>1405</v>
      </c>
      <c r="C85" s="1019" t="s">
        <v>638</v>
      </c>
      <c r="D85" s="1020">
        <v>356</v>
      </c>
      <c r="E85" s="1007">
        <v>356.42</v>
      </c>
      <c r="F85" s="1008">
        <v>249100</v>
      </c>
      <c r="G85" s="1008">
        <v>4.7E-2</v>
      </c>
      <c r="H85" s="1008">
        <v>6.8000000000000001E-6</v>
      </c>
      <c r="I85" s="1008">
        <v>2.0000000000000001E-4</v>
      </c>
      <c r="J85" s="900">
        <v>1.5E-9</v>
      </c>
      <c r="K85" s="1008">
        <v>5.0000000000000002E-5</v>
      </c>
      <c r="L85" s="1008">
        <v>2E-3</v>
      </c>
      <c r="M85" s="1009">
        <v>1</v>
      </c>
      <c r="N85" s="1010">
        <v>0.03</v>
      </c>
      <c r="O85" s="1001">
        <v>5.5763812829663797</v>
      </c>
      <c r="P85" s="1001">
        <v>6.6824658745553398</v>
      </c>
      <c r="Q85" s="1001">
        <v>29.471893843615899</v>
      </c>
      <c r="R85" s="1174">
        <v>0.80800000000000005</v>
      </c>
      <c r="S85" s="1011">
        <v>130000</v>
      </c>
      <c r="T85" s="1011">
        <v>38</v>
      </c>
      <c r="U85" s="1011">
        <v>3.3000000000000002E-9</v>
      </c>
      <c r="V85" s="720">
        <v>3.3000000000000002E-9</v>
      </c>
      <c r="W85" s="1004">
        <v>4.0000000000000001E-8</v>
      </c>
      <c r="X85" s="1005"/>
      <c r="AD85" s="1005"/>
    </row>
    <row r="86" spans="1:30" ht="11.25" customHeight="1">
      <c r="A86" s="458" t="s">
        <v>102</v>
      </c>
      <c r="B86" s="570" t="s">
        <v>653</v>
      </c>
      <c r="C86" s="1019" t="s">
        <v>638</v>
      </c>
      <c r="D86" s="1020">
        <v>233</v>
      </c>
      <c r="E86" s="1007">
        <v>233.1</v>
      </c>
      <c r="F86" s="1008">
        <v>109.1</v>
      </c>
      <c r="G86" s="1008">
        <v>0.05</v>
      </c>
      <c r="H86" s="1008">
        <v>5.9000000000000003E-6</v>
      </c>
      <c r="I86" s="1008">
        <v>42</v>
      </c>
      <c r="J86" s="900">
        <v>6.8999999999999996E-8</v>
      </c>
      <c r="K86" s="1008">
        <v>5.0000000000000003E-10</v>
      </c>
      <c r="L86" s="1008">
        <v>2.0999999999999999E-8</v>
      </c>
      <c r="M86" s="1009">
        <v>1</v>
      </c>
      <c r="N86" s="1010">
        <v>0.1</v>
      </c>
      <c r="O86" s="1001">
        <v>2.7364259828769999E-2</v>
      </c>
      <c r="P86" s="1001">
        <v>2.1242652739696601</v>
      </c>
      <c r="Q86" s="1001">
        <v>5.09823665752719</v>
      </c>
      <c r="R86" s="1174">
        <v>4.6600000000000001E-3</v>
      </c>
      <c r="S86" s="1011"/>
      <c r="T86" s="1011"/>
      <c r="U86" s="1011">
        <v>2E-3</v>
      </c>
      <c r="V86" s="720">
        <v>2E-3</v>
      </c>
      <c r="W86" s="1014" t="s">
        <v>954</v>
      </c>
      <c r="X86" s="1005"/>
      <c r="AD86" s="1005"/>
    </row>
    <row r="87" spans="1:30" ht="11.25" customHeight="1">
      <c r="A87" s="458" t="s">
        <v>370</v>
      </c>
      <c r="B87" s="570" t="s">
        <v>1405</v>
      </c>
      <c r="C87" s="1019" t="s">
        <v>638</v>
      </c>
      <c r="D87" s="1020">
        <v>407</v>
      </c>
      <c r="E87" s="1007">
        <v>406.92</v>
      </c>
      <c r="F87" s="1008">
        <v>6761</v>
      </c>
      <c r="G87" s="1008">
        <v>2.1999999999999999E-2</v>
      </c>
      <c r="H87" s="1008">
        <v>5.8000000000000004E-6</v>
      </c>
      <c r="I87" s="1008">
        <v>0.32500000000000001</v>
      </c>
      <c r="J87" s="900">
        <v>1.6999999999999999E-7</v>
      </c>
      <c r="K87" s="1008">
        <v>6.4999999999999994E-5</v>
      </c>
      <c r="L87" s="1008">
        <v>2.7000000000000001E-3</v>
      </c>
      <c r="M87" s="1009">
        <v>1</v>
      </c>
      <c r="N87" s="1010"/>
      <c r="O87" s="1001">
        <v>2.2189756645800002E-2</v>
      </c>
      <c r="P87" s="1001">
        <v>19.982818768391599</v>
      </c>
      <c r="Q87" s="1001">
        <v>47.958765044139902</v>
      </c>
      <c r="R87" s="1174">
        <v>2.8600000000000001E-3</v>
      </c>
      <c r="S87" s="1011"/>
      <c r="T87" s="1011"/>
      <c r="U87" s="1011">
        <v>6.0000000000000001E-3</v>
      </c>
      <c r="V87" s="720">
        <v>6.0000000000000001E-3</v>
      </c>
      <c r="W87" s="1014" t="s">
        <v>954</v>
      </c>
      <c r="X87" s="1005"/>
      <c r="AD87" s="1005"/>
    </row>
    <row r="88" spans="1:30" ht="11.25" customHeight="1">
      <c r="A88" s="458" t="s">
        <v>337</v>
      </c>
      <c r="B88" s="570" t="s">
        <v>653</v>
      </c>
      <c r="C88" s="1019" t="s">
        <v>638</v>
      </c>
      <c r="D88" s="1020">
        <v>381</v>
      </c>
      <c r="E88" s="1007">
        <v>380.91</v>
      </c>
      <c r="F88" s="1008">
        <v>20090</v>
      </c>
      <c r="G88" s="1008">
        <v>3.5999999999999997E-2</v>
      </c>
      <c r="H88" s="1008">
        <v>4.1999999999999996E-6</v>
      </c>
      <c r="I88" s="1008">
        <v>0.25</v>
      </c>
      <c r="J88" s="900">
        <v>3.0000000000000001E-6</v>
      </c>
      <c r="K88" s="1008">
        <v>6.3999999999999997E-6</v>
      </c>
      <c r="L88" s="1008">
        <v>2.5999999999999998E-4</v>
      </c>
      <c r="M88" s="1009">
        <v>1</v>
      </c>
      <c r="N88" s="1010">
        <v>0.1</v>
      </c>
      <c r="O88" s="1001">
        <v>0.24471209735466001</v>
      </c>
      <c r="P88" s="1001">
        <v>14.287121880278701</v>
      </c>
      <c r="Q88" s="1001">
        <v>34.289092512668802</v>
      </c>
      <c r="R88" s="1174">
        <v>3.2599999999999997E-2</v>
      </c>
      <c r="S88" s="1011"/>
      <c r="T88" s="1011"/>
      <c r="U88" s="1011">
        <v>2.9999999999999997E-4</v>
      </c>
      <c r="V88" s="720">
        <v>2.9999999999999997E-4</v>
      </c>
      <c r="W88" s="1014" t="s">
        <v>954</v>
      </c>
      <c r="X88" s="1005"/>
      <c r="AD88" s="1024"/>
    </row>
    <row r="89" spans="1:30" ht="11.25" customHeight="1">
      <c r="A89" s="458" t="s">
        <v>28</v>
      </c>
      <c r="B89" s="570" t="s">
        <v>651</v>
      </c>
      <c r="C89" s="1019" t="s">
        <v>652</v>
      </c>
      <c r="D89" s="1020">
        <v>46</v>
      </c>
      <c r="E89" s="1007">
        <v>46</v>
      </c>
      <c r="F89" s="1008">
        <v>0.309</v>
      </c>
      <c r="G89" s="1008"/>
      <c r="H89" s="1008"/>
      <c r="I89" s="1008">
        <v>1000000</v>
      </c>
      <c r="J89" s="900">
        <v>53</v>
      </c>
      <c r="K89" s="1008">
        <v>6.2899999999999999E-6</v>
      </c>
      <c r="L89" s="1008">
        <v>2.5799999999999998E-4</v>
      </c>
      <c r="M89" s="1009">
        <v>1</v>
      </c>
      <c r="N89" s="1010"/>
      <c r="O89" s="1025"/>
      <c r="P89" s="1025"/>
      <c r="Q89" s="1025"/>
      <c r="R89" s="1157"/>
      <c r="S89" s="1025"/>
      <c r="T89" s="1025"/>
      <c r="U89" s="1025"/>
      <c r="V89" s="1025"/>
      <c r="W89" s="1017"/>
      <c r="X89" s="1005"/>
      <c r="AD89" s="1005"/>
    </row>
    <row r="90" spans="1:30" ht="11.25" customHeight="1">
      <c r="A90" s="458" t="s">
        <v>338</v>
      </c>
      <c r="B90" s="570" t="s">
        <v>651</v>
      </c>
      <c r="C90" s="1019" t="s">
        <v>652</v>
      </c>
      <c r="D90" s="1020">
        <v>106</v>
      </c>
      <c r="E90" s="1007">
        <v>106.17</v>
      </c>
      <c r="F90" s="1008">
        <v>446.1</v>
      </c>
      <c r="G90" s="1008">
        <v>6.8000000000000005E-2</v>
      </c>
      <c r="H90" s="1008">
        <v>8.4999999999999999E-6</v>
      </c>
      <c r="I90" s="1008">
        <v>169</v>
      </c>
      <c r="J90" s="900">
        <v>9.6</v>
      </c>
      <c r="K90" s="1008">
        <v>7.9000000000000008E-3</v>
      </c>
      <c r="L90" s="1008">
        <v>0.32</v>
      </c>
      <c r="M90" s="1009">
        <v>1</v>
      </c>
      <c r="N90" s="1010"/>
      <c r="O90" s="1001">
        <v>0.19537746931965</v>
      </c>
      <c r="P90" s="1001">
        <v>0.41342882164758998</v>
      </c>
      <c r="Q90" s="1001">
        <v>0.99222917195421001</v>
      </c>
      <c r="R90" s="1174">
        <v>4.9299999999999997E-2</v>
      </c>
      <c r="S90" s="1011">
        <v>1.0999999999999999E-2</v>
      </c>
      <c r="T90" s="1011">
        <v>2.5000000000000002E-6</v>
      </c>
      <c r="U90" s="1015">
        <v>0.05</v>
      </c>
      <c r="V90" s="720">
        <v>0.05</v>
      </c>
      <c r="W90" s="1004">
        <v>1</v>
      </c>
      <c r="X90" s="1005"/>
      <c r="AD90" s="1005"/>
    </row>
    <row r="91" spans="1:30" ht="11.25" customHeight="1">
      <c r="A91" s="458" t="s">
        <v>339</v>
      </c>
      <c r="B91" s="570" t="s">
        <v>653</v>
      </c>
      <c r="C91" s="1019" t="s">
        <v>638</v>
      </c>
      <c r="D91" s="1020">
        <v>202</v>
      </c>
      <c r="E91" s="1007">
        <v>202.26</v>
      </c>
      <c r="F91" s="1008">
        <v>55450</v>
      </c>
      <c r="G91" s="1008">
        <v>2.8000000000000001E-2</v>
      </c>
      <c r="H91" s="1008">
        <v>7.1999999999999997E-6</v>
      </c>
      <c r="I91" s="1008">
        <v>0.26</v>
      </c>
      <c r="J91" s="900">
        <v>9.2E-6</v>
      </c>
      <c r="K91" s="1008">
        <v>8.8999999999999995E-6</v>
      </c>
      <c r="L91" s="1008">
        <v>3.6000000000000002E-4</v>
      </c>
      <c r="M91" s="1009">
        <v>1</v>
      </c>
      <c r="N91" s="1010">
        <v>0.13</v>
      </c>
      <c r="O91" s="1001">
        <v>1.6847379934306901</v>
      </c>
      <c r="P91" s="1001">
        <v>1.42726543921932</v>
      </c>
      <c r="Q91" s="1001">
        <v>5.7297979152854701</v>
      </c>
      <c r="R91" s="1174">
        <v>0.308</v>
      </c>
      <c r="S91" s="1011"/>
      <c r="T91" s="1011"/>
      <c r="U91" s="1011">
        <v>0.04</v>
      </c>
      <c r="V91" s="720">
        <v>0.04</v>
      </c>
      <c r="W91" s="1014" t="s">
        <v>954</v>
      </c>
      <c r="X91" s="1005"/>
      <c r="AD91" s="1005"/>
    </row>
    <row r="92" spans="1:30" ht="11.25" customHeight="1">
      <c r="A92" s="458" t="s">
        <v>340</v>
      </c>
      <c r="B92" s="570" t="s">
        <v>651</v>
      </c>
      <c r="C92" s="1019" t="s">
        <v>638</v>
      </c>
      <c r="D92" s="1020">
        <v>166</v>
      </c>
      <c r="E92" s="1007">
        <v>166.22</v>
      </c>
      <c r="F92" s="1008">
        <v>9160</v>
      </c>
      <c r="G92" s="1008">
        <v>4.3999999999999997E-2</v>
      </c>
      <c r="H92" s="1008">
        <v>7.9000000000000006E-6</v>
      </c>
      <c r="I92" s="1008">
        <v>1.69</v>
      </c>
      <c r="J92" s="900">
        <v>5.9999999999999995E-4</v>
      </c>
      <c r="K92" s="1008">
        <v>9.6000000000000002E-5</v>
      </c>
      <c r="L92" s="1008">
        <v>3.8999999999999998E-3</v>
      </c>
      <c r="M92" s="1009">
        <v>1</v>
      </c>
      <c r="N92" s="1010">
        <v>0.13</v>
      </c>
      <c r="O92" s="1001">
        <v>0.54545757350781998</v>
      </c>
      <c r="P92" s="1001">
        <v>0.89676933595412001</v>
      </c>
      <c r="Q92" s="1001">
        <v>2.1522464062898998</v>
      </c>
      <c r="R92" s="1174">
        <v>0.11</v>
      </c>
      <c r="S92" s="1011"/>
      <c r="T92" s="1011"/>
      <c r="U92" s="1011">
        <v>0.04</v>
      </c>
      <c r="V92" s="720">
        <v>0.04</v>
      </c>
      <c r="W92" s="1004">
        <v>0.14000000000000001</v>
      </c>
      <c r="X92" s="1005"/>
      <c r="AD92" s="1005"/>
    </row>
    <row r="93" spans="1:30" ht="11.25" customHeight="1">
      <c r="A93" s="458" t="s">
        <v>103</v>
      </c>
      <c r="B93" s="570" t="s">
        <v>653</v>
      </c>
      <c r="C93" s="1019" t="s">
        <v>638</v>
      </c>
      <c r="D93" s="1020">
        <v>169</v>
      </c>
      <c r="E93" s="1007">
        <v>169.07</v>
      </c>
      <c r="F93" s="1008">
        <v>2100</v>
      </c>
      <c r="G93" s="1008">
        <v>6.2E-2</v>
      </c>
      <c r="H93" s="1008">
        <v>7.3000000000000004E-6</v>
      </c>
      <c r="I93" s="1008">
        <v>10500</v>
      </c>
      <c r="J93" s="900">
        <v>9.8000000000000004E-8</v>
      </c>
      <c r="K93" s="1008">
        <v>2.0999999999999999E-12</v>
      </c>
      <c r="L93" s="1008">
        <v>8.6E-11</v>
      </c>
      <c r="M93" s="1009">
        <v>1</v>
      </c>
      <c r="N93" s="1010">
        <v>0.1</v>
      </c>
      <c r="O93" s="1001">
        <v>2.27047006967E-7</v>
      </c>
      <c r="P93" s="1001">
        <v>0.93033797724616996</v>
      </c>
      <c r="Q93" s="1001">
        <v>2.2328111453908099</v>
      </c>
      <c r="R93" s="1174">
        <v>4.5400000000000003E-8</v>
      </c>
      <c r="S93" s="1011"/>
      <c r="T93" s="1011"/>
      <c r="U93" s="1011">
        <v>0.1</v>
      </c>
      <c r="V93" s="720">
        <v>0.1</v>
      </c>
      <c r="W93" s="1014" t="s">
        <v>954</v>
      </c>
      <c r="X93" s="1005"/>
      <c r="AD93" s="1005"/>
    </row>
    <row r="94" spans="1:30" ht="11.25" customHeight="1">
      <c r="A94" s="458" t="s">
        <v>341</v>
      </c>
      <c r="B94" s="570" t="s">
        <v>1405</v>
      </c>
      <c r="C94" s="1019" t="s">
        <v>638</v>
      </c>
      <c r="D94" s="1020">
        <v>373</v>
      </c>
      <c r="E94" s="1007">
        <v>373.32</v>
      </c>
      <c r="F94" s="1008">
        <v>41260</v>
      </c>
      <c r="G94" s="1008">
        <v>2.1999999999999999E-2</v>
      </c>
      <c r="H94" s="1008">
        <v>5.6999999999999996E-6</v>
      </c>
      <c r="I94" s="1008">
        <v>0.18</v>
      </c>
      <c r="J94" s="900">
        <v>4.0000000000000002E-4</v>
      </c>
      <c r="K94" s="1008">
        <v>2.9E-4</v>
      </c>
      <c r="L94" s="1008">
        <v>1.2E-2</v>
      </c>
      <c r="M94" s="1009">
        <v>1</v>
      </c>
      <c r="N94" s="1010"/>
      <c r="O94" s="1001">
        <v>1.06268198441491</v>
      </c>
      <c r="P94" s="1001">
        <v>12.9550994026929</v>
      </c>
      <c r="Q94" s="1001">
        <v>50.142248344350897</v>
      </c>
      <c r="R94" s="1174">
        <v>0.14299999999999999</v>
      </c>
      <c r="S94" s="1011">
        <v>4.5</v>
      </c>
      <c r="T94" s="1011">
        <v>1.2999999999999999E-3</v>
      </c>
      <c r="U94" s="1015">
        <v>1E-4</v>
      </c>
      <c r="V94" s="720">
        <v>1E-4</v>
      </c>
      <c r="W94" s="1014" t="s">
        <v>954</v>
      </c>
      <c r="X94" s="1005"/>
      <c r="AD94" s="1005"/>
    </row>
    <row r="95" spans="1:30" ht="11.25" customHeight="1">
      <c r="A95" s="458" t="s">
        <v>342</v>
      </c>
      <c r="B95" s="570" t="s">
        <v>1405</v>
      </c>
      <c r="C95" s="1019" t="s">
        <v>638</v>
      </c>
      <c r="D95" s="1020">
        <v>389</v>
      </c>
      <c r="E95" s="1007">
        <v>389.32</v>
      </c>
      <c r="F95" s="1008">
        <v>10110</v>
      </c>
      <c r="G95" s="1008">
        <v>2.4E-2</v>
      </c>
      <c r="H95" s="1008">
        <v>6.1999999999999999E-6</v>
      </c>
      <c r="I95" s="1008">
        <v>0.2</v>
      </c>
      <c r="J95" s="900">
        <v>2.0000000000000002E-5</v>
      </c>
      <c r="K95" s="1008">
        <v>2.0999999999999999E-5</v>
      </c>
      <c r="L95" s="1008">
        <v>8.5999999999999998E-4</v>
      </c>
      <c r="M95" s="1009">
        <v>1</v>
      </c>
      <c r="N95" s="1010"/>
      <c r="O95" s="1001">
        <v>0.15860844068214</v>
      </c>
      <c r="P95" s="1001">
        <v>15.9235813014401</v>
      </c>
      <c r="Q95" s="1001">
        <v>38.216595123456102</v>
      </c>
      <c r="R95" s="1174">
        <v>2.0899999999999998E-2</v>
      </c>
      <c r="S95" s="1011">
        <v>9.1</v>
      </c>
      <c r="T95" s="1011">
        <v>2.5999999999999999E-3</v>
      </c>
      <c r="U95" s="1011">
        <v>1.2999999999999999E-5</v>
      </c>
      <c r="V95" s="720">
        <v>1.2999999999999999E-5</v>
      </c>
      <c r="W95" s="1014" t="s">
        <v>954</v>
      </c>
      <c r="X95" s="1005"/>
      <c r="AD95" s="1005"/>
    </row>
    <row r="96" spans="1:30" ht="11.25" customHeight="1">
      <c r="A96" s="458" t="s">
        <v>371</v>
      </c>
      <c r="B96" s="570" t="s">
        <v>1405</v>
      </c>
      <c r="C96" s="1019" t="s">
        <v>638</v>
      </c>
      <c r="D96" s="1020">
        <v>285</v>
      </c>
      <c r="E96" s="1007">
        <v>284.77999999999997</v>
      </c>
      <c r="F96" s="1008">
        <v>6195</v>
      </c>
      <c r="G96" s="1008">
        <v>2.9000000000000001E-2</v>
      </c>
      <c r="H96" s="1008">
        <v>7.7999999999999999E-6</v>
      </c>
      <c r="I96" s="1008">
        <v>6.1999999999999998E-3</v>
      </c>
      <c r="J96" s="900">
        <v>1.8E-5</v>
      </c>
      <c r="K96" s="1008">
        <v>1.6999999999999999E-3</v>
      </c>
      <c r="L96" s="1008">
        <v>7.0000000000000007E-2</v>
      </c>
      <c r="M96" s="1009">
        <v>1</v>
      </c>
      <c r="N96" s="1010"/>
      <c r="O96" s="1001">
        <v>1.6485993014692</v>
      </c>
      <c r="P96" s="1001">
        <v>4.1363449507906704</v>
      </c>
      <c r="Q96" s="1001">
        <v>16.572823901394202</v>
      </c>
      <c r="R96" s="1174">
        <v>0.254</v>
      </c>
      <c r="S96" s="1011">
        <v>1.6</v>
      </c>
      <c r="T96" s="1011">
        <v>4.6000000000000001E-4</v>
      </c>
      <c r="U96" s="1015">
        <v>1.0000000000000001E-5</v>
      </c>
      <c r="V96" s="720">
        <v>1.0000000000000001E-5</v>
      </c>
      <c r="W96" s="1014" t="s">
        <v>954</v>
      </c>
      <c r="X96" s="1005"/>
      <c r="AD96" s="1005"/>
    </row>
    <row r="97" spans="1:30" ht="11.25" customHeight="1">
      <c r="A97" s="458" t="s">
        <v>343</v>
      </c>
      <c r="B97" s="570" t="s">
        <v>1405</v>
      </c>
      <c r="C97" s="1019" t="s">
        <v>638</v>
      </c>
      <c r="D97" s="1020">
        <v>261</v>
      </c>
      <c r="E97" s="1007">
        <v>260.76</v>
      </c>
      <c r="F97" s="1008">
        <v>845.2</v>
      </c>
      <c r="G97" s="1008">
        <v>2.7E-2</v>
      </c>
      <c r="H97" s="1008">
        <v>6.9999999999999999E-6</v>
      </c>
      <c r="I97" s="1008">
        <v>3.2</v>
      </c>
      <c r="J97" s="900">
        <v>0.22</v>
      </c>
      <c r="K97" s="1008">
        <v>0.01</v>
      </c>
      <c r="L97" s="1008">
        <v>0.42</v>
      </c>
      <c r="M97" s="1009">
        <v>1</v>
      </c>
      <c r="N97" s="1010"/>
      <c r="O97" s="1001">
        <v>0.50307432956283005</v>
      </c>
      <c r="P97" s="1001">
        <v>3.0346230315459599</v>
      </c>
      <c r="Q97" s="1001">
        <v>7.28309527571031</v>
      </c>
      <c r="R97" s="1174">
        <v>8.1000000000000003E-2</v>
      </c>
      <c r="S97" s="1011">
        <v>7.8E-2</v>
      </c>
      <c r="T97" s="1011">
        <v>2.1999999999999999E-5</v>
      </c>
      <c r="U97" s="1011">
        <v>1E-3</v>
      </c>
      <c r="V97" s="720">
        <v>1E-3</v>
      </c>
      <c r="W97" s="1014" t="s">
        <v>954</v>
      </c>
      <c r="X97" s="1005"/>
      <c r="AD97" s="1005"/>
    </row>
    <row r="98" spans="1:30" ht="11.25" customHeight="1">
      <c r="A98" s="458" t="s">
        <v>364</v>
      </c>
      <c r="B98" s="570" t="s">
        <v>653</v>
      </c>
      <c r="C98" s="1019" t="s">
        <v>638</v>
      </c>
      <c r="D98" s="1020">
        <v>291</v>
      </c>
      <c r="E98" s="1007">
        <v>290.83</v>
      </c>
      <c r="F98" s="1008">
        <v>2807</v>
      </c>
      <c r="G98" s="1008">
        <v>4.2999999999999997E-2</v>
      </c>
      <c r="H98" s="1008">
        <v>5.1000000000000003E-6</v>
      </c>
      <c r="I98" s="1008">
        <v>7.3</v>
      </c>
      <c r="J98" s="900">
        <v>4.1999999999999998E-5</v>
      </c>
      <c r="K98" s="1008">
        <v>5.1000000000000003E-6</v>
      </c>
      <c r="L98" s="1008">
        <v>2.1000000000000001E-4</v>
      </c>
      <c r="M98" s="1009">
        <v>1</v>
      </c>
      <c r="N98" s="1010">
        <v>0.04</v>
      </c>
      <c r="O98" s="1001">
        <v>0.13511808269875999</v>
      </c>
      <c r="P98" s="1001">
        <v>4.4719480484289003</v>
      </c>
      <c r="Q98" s="1001">
        <v>10.7326753162294</v>
      </c>
      <c r="R98" s="1174">
        <v>2.06E-2</v>
      </c>
      <c r="S98" s="1011">
        <v>1.1000000000000001</v>
      </c>
      <c r="T98" s="1011">
        <v>3.1E-4</v>
      </c>
      <c r="U98" s="1011">
        <v>2.9999999999999997E-4</v>
      </c>
      <c r="V98" s="720">
        <v>2.9999999999999997E-4</v>
      </c>
      <c r="W98" s="1014" t="s">
        <v>954</v>
      </c>
      <c r="X98" s="1005"/>
      <c r="AD98" s="1005"/>
    </row>
    <row r="99" spans="1:30" ht="11.25" customHeight="1">
      <c r="A99" s="458" t="s">
        <v>344</v>
      </c>
      <c r="B99" s="570" t="s">
        <v>1405</v>
      </c>
      <c r="C99" s="1019" t="s">
        <v>638</v>
      </c>
      <c r="D99" s="1020">
        <v>237</v>
      </c>
      <c r="E99" s="1007">
        <v>236.74</v>
      </c>
      <c r="F99" s="1008">
        <v>196.8</v>
      </c>
      <c r="G99" s="1008">
        <v>3.2000000000000001E-2</v>
      </c>
      <c r="H99" s="1008">
        <v>8.8999999999999995E-6</v>
      </c>
      <c r="I99" s="1008">
        <v>50</v>
      </c>
      <c r="J99" s="900">
        <v>0.21</v>
      </c>
      <c r="K99" s="1008">
        <v>3.8999999999999998E-3</v>
      </c>
      <c r="L99" s="1008">
        <v>0.16</v>
      </c>
      <c r="M99" s="1009">
        <v>1</v>
      </c>
      <c r="N99" s="1010"/>
      <c r="O99" s="1001">
        <v>0.2455899385142</v>
      </c>
      <c r="P99" s="1001">
        <v>2.2263464612227</v>
      </c>
      <c r="Q99" s="1001">
        <v>5.3432315069344902</v>
      </c>
      <c r="R99" s="1174">
        <v>4.1500000000000002E-2</v>
      </c>
      <c r="S99" s="1011">
        <v>0.04</v>
      </c>
      <c r="T99" s="1011">
        <v>1.1E-5</v>
      </c>
      <c r="U99" s="1011">
        <v>6.9999999999999999E-4</v>
      </c>
      <c r="V99" s="720">
        <v>6.9999999999999999E-4</v>
      </c>
      <c r="W99" s="1004">
        <v>0.03</v>
      </c>
      <c r="X99" s="1005"/>
      <c r="AD99" s="1005"/>
    </row>
    <row r="100" spans="1:30" ht="11.25" customHeight="1">
      <c r="A100" s="458" t="s">
        <v>104</v>
      </c>
      <c r="B100" s="570" t="s">
        <v>653</v>
      </c>
      <c r="C100" s="1019" t="s">
        <v>638</v>
      </c>
      <c r="D100" s="1020">
        <v>252</v>
      </c>
      <c r="E100" s="1007">
        <v>252.32</v>
      </c>
      <c r="F100" s="1008">
        <v>129.4</v>
      </c>
      <c r="G100" s="1008">
        <v>2.5000000000000001E-2</v>
      </c>
      <c r="H100" s="1008">
        <v>6.2999999999999998E-6</v>
      </c>
      <c r="I100" s="1008">
        <v>33000</v>
      </c>
      <c r="J100" s="900">
        <v>2.2999999999999999E-7</v>
      </c>
      <c r="K100" s="1008">
        <v>2.2999999999999999E-12</v>
      </c>
      <c r="L100" s="1008">
        <v>9.2000000000000005E-11</v>
      </c>
      <c r="M100" s="1009">
        <v>1</v>
      </c>
      <c r="N100" s="1010">
        <v>0.1</v>
      </c>
      <c r="O100" s="1001">
        <v>6.2316443829799999E-3</v>
      </c>
      <c r="P100" s="1001">
        <v>2.72170311040471</v>
      </c>
      <c r="Q100" s="1001">
        <v>6.5320874649713101</v>
      </c>
      <c r="R100" s="1174">
        <v>1.0200000000000001E-3</v>
      </c>
      <c r="S100" s="1011"/>
      <c r="T100" s="1011"/>
      <c r="U100" s="1011">
        <v>3.3000000000000002E-2</v>
      </c>
      <c r="V100" s="720">
        <v>3.3000000000000002E-2</v>
      </c>
      <c r="W100" s="1014" t="s">
        <v>954</v>
      </c>
      <c r="X100" s="1005"/>
      <c r="AD100" s="1005"/>
    </row>
    <row r="101" spans="1:30" ht="11.25" customHeight="1">
      <c r="A101" s="458" t="s">
        <v>345</v>
      </c>
      <c r="B101" s="570" t="s">
        <v>653</v>
      </c>
      <c r="C101" s="1019" t="s">
        <v>638</v>
      </c>
      <c r="D101" s="1020">
        <v>276</v>
      </c>
      <c r="E101" s="1007">
        <v>276.33999999999997</v>
      </c>
      <c r="F101" s="1008">
        <v>1951000</v>
      </c>
      <c r="G101" s="1012">
        <v>2.5000000000000001E-2</v>
      </c>
      <c r="H101" s="1012">
        <v>6.3999999999999997E-6</v>
      </c>
      <c r="I101" s="1008">
        <v>1.9000000000000001E-4</v>
      </c>
      <c r="J101" s="900">
        <v>1.2999999999999999E-10</v>
      </c>
      <c r="K101" s="1008">
        <v>3.4999999999999998E-7</v>
      </c>
      <c r="L101" s="1008">
        <v>1.4E-5</v>
      </c>
      <c r="M101" s="1009">
        <v>1</v>
      </c>
      <c r="N101" s="1010">
        <v>0.13</v>
      </c>
      <c r="O101" s="1001">
        <v>7.92811997831343</v>
      </c>
      <c r="P101" s="1001">
        <v>3.7098192431956001</v>
      </c>
      <c r="Q101" s="1001">
        <v>16.651939304483601</v>
      </c>
      <c r="R101" s="1174">
        <v>1.24</v>
      </c>
      <c r="S101" s="1011">
        <v>0.1</v>
      </c>
      <c r="T101" s="1011">
        <v>6.0000000000000002E-5</v>
      </c>
      <c r="U101" s="1015"/>
      <c r="V101" s="720">
        <v>0</v>
      </c>
      <c r="W101" s="1014" t="s">
        <v>954</v>
      </c>
      <c r="X101" s="1005"/>
      <c r="AD101" s="1005"/>
    </row>
    <row r="102" spans="1:30" ht="11.25" customHeight="1">
      <c r="A102" s="458" t="s">
        <v>105</v>
      </c>
      <c r="B102" s="570" t="s">
        <v>653</v>
      </c>
      <c r="C102" s="1019" t="s">
        <v>652</v>
      </c>
      <c r="D102" s="1020">
        <v>138</v>
      </c>
      <c r="E102" s="1007">
        <v>138.21</v>
      </c>
      <c r="F102" s="1008">
        <v>65</v>
      </c>
      <c r="G102" s="1008">
        <v>5.2999999999999999E-2</v>
      </c>
      <c r="H102" s="1008">
        <v>7.5000000000000002E-6</v>
      </c>
      <c r="I102" s="1008">
        <v>12000</v>
      </c>
      <c r="J102" s="900">
        <v>0.44</v>
      </c>
      <c r="K102" s="1008">
        <v>6.6000000000000003E-6</v>
      </c>
      <c r="L102" s="1008">
        <v>2.7E-4</v>
      </c>
      <c r="M102" s="1009">
        <v>1</v>
      </c>
      <c r="N102" s="1010">
        <v>0.1</v>
      </c>
      <c r="O102" s="1001">
        <v>1.6006620468310001E-2</v>
      </c>
      <c r="P102" s="1001">
        <v>0.62492046840691995</v>
      </c>
      <c r="Q102" s="1001">
        <v>1.4998091241766001</v>
      </c>
      <c r="R102" s="1174">
        <v>3.5400000000000002E-3</v>
      </c>
      <c r="S102" s="1011">
        <v>9.5E-4</v>
      </c>
      <c r="T102" s="1011"/>
      <c r="U102" s="1011">
        <v>0.2</v>
      </c>
      <c r="V102" s="720">
        <v>0.2</v>
      </c>
      <c r="W102" s="1004">
        <v>2</v>
      </c>
      <c r="X102" s="1005"/>
      <c r="AD102" s="1005"/>
    </row>
    <row r="103" spans="1:30" ht="11.25" customHeight="1">
      <c r="A103" s="458" t="s">
        <v>346</v>
      </c>
      <c r="B103" s="570" t="s">
        <v>653</v>
      </c>
      <c r="C103" s="1019" t="s">
        <v>638</v>
      </c>
      <c r="D103" s="1020">
        <v>207</v>
      </c>
      <c r="E103" s="1007">
        <v>207</v>
      </c>
      <c r="F103" s="1012" t="s">
        <v>954</v>
      </c>
      <c r="G103" s="1012" t="s">
        <v>954</v>
      </c>
      <c r="H103" s="1012" t="s">
        <v>954</v>
      </c>
      <c r="I103" s="1012" t="s">
        <v>954</v>
      </c>
      <c r="J103" s="900"/>
      <c r="K103" s="1012"/>
      <c r="L103" s="1012" t="s">
        <v>954</v>
      </c>
      <c r="M103" s="1009">
        <v>1</v>
      </c>
      <c r="N103" s="1010"/>
      <c r="O103" s="1001">
        <v>5.5363243739999998E-4</v>
      </c>
      <c r="P103" s="1001">
        <v>1.52113846901482</v>
      </c>
      <c r="Q103" s="1001">
        <v>3.6507323256355702</v>
      </c>
      <c r="R103" s="1174">
        <v>1E-4</v>
      </c>
      <c r="S103" s="1011"/>
      <c r="T103" s="1011"/>
      <c r="U103" s="1012"/>
      <c r="V103" s="720">
        <v>0</v>
      </c>
      <c r="W103" s="1014" t="s">
        <v>954</v>
      </c>
      <c r="X103" s="1005"/>
      <c r="AD103" s="1005"/>
    </row>
    <row r="104" spans="1:30" ht="11.25" customHeight="1">
      <c r="A104" s="458" t="s">
        <v>347</v>
      </c>
      <c r="B104" s="570" t="s">
        <v>653</v>
      </c>
      <c r="C104" s="1019" t="s">
        <v>638</v>
      </c>
      <c r="D104" s="1020">
        <v>201</v>
      </c>
      <c r="E104" s="1007">
        <v>200.59</v>
      </c>
      <c r="F104" s="1012" t="s">
        <v>954</v>
      </c>
      <c r="G104" s="1012" t="s">
        <v>954</v>
      </c>
      <c r="H104" s="1012" t="s">
        <v>954</v>
      </c>
      <c r="I104" s="1008">
        <v>69000</v>
      </c>
      <c r="J104" s="900"/>
      <c r="K104" s="1012" t="s">
        <v>954</v>
      </c>
      <c r="L104" s="1012" t="s">
        <v>954</v>
      </c>
      <c r="M104" s="1021">
        <v>7.0000000000000007E-2</v>
      </c>
      <c r="N104" s="1010"/>
      <c r="O104" s="1001">
        <v>6.3374065589600001E-3</v>
      </c>
      <c r="P104" s="1001">
        <v>3.4853688835921401</v>
      </c>
      <c r="Q104" s="1001">
        <v>8.3648853206211395</v>
      </c>
      <c r="R104" s="1174">
        <v>1E-3</v>
      </c>
      <c r="S104" s="1011"/>
      <c r="T104" s="1011"/>
      <c r="U104" s="1011">
        <v>2.9999999999999997E-4</v>
      </c>
      <c r="V104" s="720">
        <v>2.9999999999999997E-4</v>
      </c>
      <c r="W104" s="1004">
        <v>2.9999999999999997E-4</v>
      </c>
      <c r="X104" s="1005"/>
      <c r="AD104" s="1005"/>
    </row>
    <row r="105" spans="1:30" ht="11.25" customHeight="1">
      <c r="A105" s="458" t="s">
        <v>348</v>
      </c>
      <c r="B105" s="570" t="s">
        <v>653</v>
      </c>
      <c r="C105" s="1019" t="s">
        <v>638</v>
      </c>
      <c r="D105" s="1020">
        <v>346</v>
      </c>
      <c r="E105" s="1007">
        <v>345.66</v>
      </c>
      <c r="F105" s="1008">
        <v>26890</v>
      </c>
      <c r="G105" s="1008">
        <v>2.1999999999999999E-2</v>
      </c>
      <c r="H105" s="1008">
        <v>5.5999999999999997E-6</v>
      </c>
      <c r="I105" s="1008">
        <v>0.1</v>
      </c>
      <c r="J105" s="900">
        <v>2.6000000000000001E-6</v>
      </c>
      <c r="K105" s="1008">
        <v>1.9999999999999999E-7</v>
      </c>
      <c r="L105" s="1008">
        <v>8.3000000000000002E-6</v>
      </c>
      <c r="M105" s="1009">
        <v>1</v>
      </c>
      <c r="N105" s="1010">
        <v>0.1</v>
      </c>
      <c r="O105" s="1001">
        <v>0.30605183225013999</v>
      </c>
      <c r="P105" s="1001">
        <v>9.0686940341139906</v>
      </c>
      <c r="Q105" s="1001">
        <v>21.764865681873601</v>
      </c>
      <c r="R105" s="1174">
        <v>4.2799999999999998E-2</v>
      </c>
      <c r="S105" s="1011"/>
      <c r="T105" s="1011"/>
      <c r="U105" s="1011">
        <v>5.0000000000000001E-3</v>
      </c>
      <c r="V105" s="720">
        <v>5.0000000000000001E-3</v>
      </c>
      <c r="W105" s="1014" t="s">
        <v>954</v>
      </c>
      <c r="X105" s="1005"/>
      <c r="AD105" s="1005"/>
    </row>
    <row r="106" spans="1:30" ht="11.25" customHeight="1">
      <c r="A106" s="458" t="s">
        <v>350</v>
      </c>
      <c r="B106" s="570" t="s">
        <v>651</v>
      </c>
      <c r="C106" s="1019" t="s">
        <v>652</v>
      </c>
      <c r="D106" s="1020">
        <v>72</v>
      </c>
      <c r="E106" s="1007">
        <v>72.11</v>
      </c>
      <c r="F106" s="1008">
        <v>4.51</v>
      </c>
      <c r="G106" s="1008">
        <v>9.0999999999999998E-2</v>
      </c>
      <c r="H106" s="1008">
        <v>1.0000000000000001E-5</v>
      </c>
      <c r="I106" s="1008">
        <v>223000</v>
      </c>
      <c r="J106" s="900">
        <v>90.6</v>
      </c>
      <c r="K106" s="1008">
        <v>5.7000000000000003E-5</v>
      </c>
      <c r="L106" s="1008">
        <v>2.3E-3</v>
      </c>
      <c r="M106" s="1009">
        <v>1</v>
      </c>
      <c r="N106" s="1010"/>
      <c r="O106" s="1001">
        <v>3.1419078917099999E-3</v>
      </c>
      <c r="P106" s="1001">
        <v>0.26647320757247001</v>
      </c>
      <c r="Q106" s="1001">
        <v>0.63953569817392997</v>
      </c>
      <c r="R106" s="1174">
        <v>9.6199999999999996E-4</v>
      </c>
      <c r="S106" s="1011"/>
      <c r="T106" s="1011"/>
      <c r="U106" s="1011">
        <v>0.6</v>
      </c>
      <c r="V106" s="720">
        <v>0.6</v>
      </c>
      <c r="W106" s="1004">
        <v>5</v>
      </c>
      <c r="X106" s="1005"/>
      <c r="AD106" s="1005"/>
    </row>
    <row r="107" spans="1:30" ht="11.25" customHeight="1">
      <c r="A107" s="458" t="s">
        <v>351</v>
      </c>
      <c r="B107" s="570" t="s">
        <v>651</v>
      </c>
      <c r="C107" s="1019" t="s">
        <v>652</v>
      </c>
      <c r="D107" s="1020">
        <v>100</v>
      </c>
      <c r="E107" s="1007">
        <v>100.16</v>
      </c>
      <c r="F107" s="1008">
        <v>12.6</v>
      </c>
      <c r="G107" s="1008">
        <v>7.0000000000000007E-2</v>
      </c>
      <c r="H107" s="1008">
        <v>8.3000000000000002E-6</v>
      </c>
      <c r="I107" s="1008">
        <v>19000</v>
      </c>
      <c r="J107" s="900">
        <v>19.86</v>
      </c>
      <c r="K107" s="1008">
        <v>1.3999999999999999E-4</v>
      </c>
      <c r="L107" s="1008">
        <v>5.5999999999999999E-3</v>
      </c>
      <c r="M107" s="1009">
        <v>1</v>
      </c>
      <c r="N107" s="1010"/>
      <c r="O107" s="1001">
        <v>1.227904223083E-2</v>
      </c>
      <c r="P107" s="1001">
        <v>0.38259980964473</v>
      </c>
      <c r="Q107" s="1001">
        <v>0.91823954314735001</v>
      </c>
      <c r="R107" s="1174">
        <v>3.1900000000000001E-3</v>
      </c>
      <c r="S107" s="1011"/>
      <c r="T107" s="1011"/>
      <c r="U107" s="1015" t="s">
        <v>954</v>
      </c>
      <c r="V107" s="720" t="s">
        <v>954</v>
      </c>
      <c r="W107" s="1004">
        <v>3</v>
      </c>
      <c r="X107" s="1005"/>
      <c r="AD107" s="1005"/>
    </row>
    <row r="108" spans="1:30" ht="11.25" customHeight="1">
      <c r="A108" s="458" t="s">
        <v>352</v>
      </c>
      <c r="B108" s="570" t="s">
        <v>653</v>
      </c>
      <c r="C108" s="1019" t="s">
        <v>638</v>
      </c>
      <c r="D108" s="1020">
        <v>216</v>
      </c>
      <c r="E108" s="1007">
        <v>215.63</v>
      </c>
      <c r="F108" s="1012" t="s">
        <v>954</v>
      </c>
      <c r="G108" s="1012" t="s">
        <v>954</v>
      </c>
      <c r="H108" s="1012" t="s">
        <v>954</v>
      </c>
      <c r="I108" s="1012" t="s">
        <v>954</v>
      </c>
      <c r="J108" s="900"/>
      <c r="K108" s="1012"/>
      <c r="L108" s="1012" t="s">
        <v>954</v>
      </c>
      <c r="M108" s="1009">
        <v>1</v>
      </c>
      <c r="N108" s="1010"/>
      <c r="O108" s="1001">
        <v>5.6609400812500004E-3</v>
      </c>
      <c r="P108" s="1001">
        <v>1.71787401155715</v>
      </c>
      <c r="Q108" s="1001">
        <v>4.1228976277371698</v>
      </c>
      <c r="R108" s="1174">
        <v>1E-3</v>
      </c>
      <c r="S108" s="1011"/>
      <c r="T108" s="1011"/>
      <c r="U108" s="1011">
        <v>1E-4</v>
      </c>
      <c r="V108" s="720">
        <v>1E-4</v>
      </c>
      <c r="W108" s="1014" t="s">
        <v>954</v>
      </c>
      <c r="X108" s="1005"/>
      <c r="AD108" s="1005"/>
    </row>
    <row r="109" spans="1:30" ht="11.25" customHeight="1">
      <c r="A109" s="458" t="s">
        <v>353</v>
      </c>
      <c r="B109" s="570" t="s">
        <v>651</v>
      </c>
      <c r="C109" s="1019" t="s">
        <v>652</v>
      </c>
      <c r="D109" s="1020">
        <v>88</v>
      </c>
      <c r="E109" s="1007">
        <v>88.15</v>
      </c>
      <c r="F109" s="1008">
        <v>11.56</v>
      </c>
      <c r="G109" s="1008">
        <v>7.4999999999999997E-2</v>
      </c>
      <c r="H109" s="1008">
        <v>8.6000000000000007E-6</v>
      </c>
      <c r="I109" s="1008">
        <v>51000</v>
      </c>
      <c r="J109" s="900">
        <v>250</v>
      </c>
      <c r="K109" s="1008">
        <v>5.9000000000000003E-4</v>
      </c>
      <c r="L109" s="1008">
        <v>2.4E-2</v>
      </c>
      <c r="M109" s="1009">
        <v>1</v>
      </c>
      <c r="N109" s="1010"/>
      <c r="O109" s="1001">
        <v>7.6194343068800002E-3</v>
      </c>
      <c r="P109" s="1001">
        <v>0.32771351306433</v>
      </c>
      <c r="Q109" s="1001">
        <v>0.78651243135438997</v>
      </c>
      <c r="R109" s="1174">
        <v>2.1099999999999999E-3</v>
      </c>
      <c r="S109" s="1011">
        <v>1.8E-3</v>
      </c>
      <c r="T109" s="1011">
        <v>2.6E-7</v>
      </c>
      <c r="U109" s="1015" t="s">
        <v>954</v>
      </c>
      <c r="V109" s="720" t="s">
        <v>954</v>
      </c>
      <c r="W109" s="1004">
        <v>3</v>
      </c>
      <c r="X109" s="1005"/>
      <c r="AD109" s="1005"/>
    </row>
    <row r="110" spans="1:30" ht="11.25" customHeight="1">
      <c r="A110" s="458" t="s">
        <v>349</v>
      </c>
      <c r="B110" s="570" t="s">
        <v>651</v>
      </c>
      <c r="C110" s="1019" t="s">
        <v>652</v>
      </c>
      <c r="D110" s="1020">
        <v>85</v>
      </c>
      <c r="E110" s="1007">
        <v>84.93</v>
      </c>
      <c r="F110" s="1008">
        <v>21.73</v>
      </c>
      <c r="G110" s="1008">
        <v>0.1</v>
      </c>
      <c r="H110" s="1008">
        <v>1.2999999999999999E-5</v>
      </c>
      <c r="I110" s="1008">
        <v>13000</v>
      </c>
      <c r="J110" s="900">
        <v>435</v>
      </c>
      <c r="K110" s="1008">
        <v>3.3E-3</v>
      </c>
      <c r="L110" s="1008">
        <v>0.13</v>
      </c>
      <c r="M110" s="1009">
        <v>1</v>
      </c>
      <c r="N110" s="1010"/>
      <c r="O110" s="1001">
        <v>1.254781613522E-2</v>
      </c>
      <c r="P110" s="1001">
        <v>0.31439349353999002</v>
      </c>
      <c r="Q110" s="1001">
        <v>0.75454438449597006</v>
      </c>
      <c r="R110" s="1174">
        <v>3.5400000000000002E-3</v>
      </c>
      <c r="S110" s="1011">
        <v>2E-3</v>
      </c>
      <c r="T110" s="1011">
        <v>1E-8</v>
      </c>
      <c r="U110" s="1011">
        <v>6.0000000000000001E-3</v>
      </c>
      <c r="V110" s="720">
        <v>6.0000000000000001E-3</v>
      </c>
      <c r="W110" s="1004">
        <v>0.6</v>
      </c>
      <c r="X110" s="1005"/>
      <c r="AD110" s="1005"/>
    </row>
    <row r="111" spans="1:30" ht="11.25" customHeight="1">
      <c r="A111" s="458" t="s">
        <v>590</v>
      </c>
      <c r="B111" s="570" t="s">
        <v>651</v>
      </c>
      <c r="C111" s="1019" t="s">
        <v>638</v>
      </c>
      <c r="D111" s="1020">
        <v>142</v>
      </c>
      <c r="E111" s="1007">
        <v>142.19999999999999</v>
      </c>
      <c r="F111" s="1008">
        <v>2528</v>
      </c>
      <c r="G111" s="1008">
        <v>5.2999999999999999E-2</v>
      </c>
      <c r="H111" s="1008">
        <v>7.7999999999999999E-6</v>
      </c>
      <c r="I111" s="1008">
        <v>25.8</v>
      </c>
      <c r="J111" s="900">
        <v>6.7000000000000004E-2</v>
      </c>
      <c r="K111" s="1008">
        <v>5.1000000000000004E-4</v>
      </c>
      <c r="L111" s="1008">
        <v>2.1000000000000001E-2</v>
      </c>
      <c r="M111" s="1009">
        <v>1</v>
      </c>
      <c r="N111" s="1010">
        <v>0.13</v>
      </c>
      <c r="O111" s="1001">
        <v>0.42699828547527002</v>
      </c>
      <c r="P111" s="1001">
        <v>0.65791342676832998</v>
      </c>
      <c r="Q111" s="1001">
        <v>1.57899222424399</v>
      </c>
      <c r="R111" s="1174">
        <v>9.3100000000000002E-2</v>
      </c>
      <c r="S111" s="1011">
        <v>2.9000000000000001E-2</v>
      </c>
      <c r="T111" s="1011"/>
      <c r="U111" s="1011">
        <v>7.0000000000000007E-2</v>
      </c>
      <c r="V111" s="720">
        <v>7.0000000000000007E-2</v>
      </c>
      <c r="W111" s="1004">
        <v>0.24500000000000002</v>
      </c>
      <c r="X111" s="1005"/>
      <c r="AD111" s="1005"/>
    </row>
    <row r="112" spans="1:30" ht="11.25" customHeight="1">
      <c r="A112" s="458" t="s">
        <v>591</v>
      </c>
      <c r="B112" s="570" t="s">
        <v>651</v>
      </c>
      <c r="C112" s="1019" t="s">
        <v>638</v>
      </c>
      <c r="D112" s="1020">
        <v>142</v>
      </c>
      <c r="E112" s="1007">
        <v>142.19999999999999</v>
      </c>
      <c r="F112" s="1008">
        <v>2478</v>
      </c>
      <c r="G112" s="1008">
        <v>5.1999999999999998E-2</v>
      </c>
      <c r="H112" s="1008">
        <v>7.7999999999999999E-6</v>
      </c>
      <c r="I112" s="1008">
        <v>24.6</v>
      </c>
      <c r="J112" s="900">
        <v>5.5E-2</v>
      </c>
      <c r="K112" s="1008">
        <v>5.1999999999999995E-4</v>
      </c>
      <c r="L112" s="1008">
        <v>2.1000000000000001E-2</v>
      </c>
      <c r="M112" s="1009">
        <v>1</v>
      </c>
      <c r="N112" s="1010">
        <v>0.13</v>
      </c>
      <c r="O112" s="1001">
        <v>0.42057725862600998</v>
      </c>
      <c r="P112" s="1001">
        <v>0.65791342676832998</v>
      </c>
      <c r="Q112" s="1001">
        <v>1.57899222424399</v>
      </c>
      <c r="R112" s="1174">
        <v>9.1700000000000004E-2</v>
      </c>
      <c r="S112" s="1011"/>
      <c r="T112" s="1011"/>
      <c r="U112" s="1011">
        <v>4.0000000000000001E-3</v>
      </c>
      <c r="V112" s="720">
        <v>4.0000000000000001E-3</v>
      </c>
      <c r="W112" s="1004">
        <v>1.4E-2</v>
      </c>
      <c r="X112" s="1005"/>
      <c r="AD112" s="1005"/>
    </row>
    <row r="113" spans="1:30" ht="11.25" customHeight="1">
      <c r="A113" s="458" t="s">
        <v>465</v>
      </c>
      <c r="B113" s="570" t="s">
        <v>653</v>
      </c>
      <c r="C113" s="1019" t="s">
        <v>638</v>
      </c>
      <c r="D113" s="1020">
        <v>96</v>
      </c>
      <c r="E113" s="1007">
        <v>95.94</v>
      </c>
      <c r="F113" s="1012" t="s">
        <v>954</v>
      </c>
      <c r="G113" s="1012" t="s">
        <v>954</v>
      </c>
      <c r="H113" s="1012" t="s">
        <v>954</v>
      </c>
      <c r="I113" s="1012" t="s">
        <v>954</v>
      </c>
      <c r="J113" s="900"/>
      <c r="K113" s="1012"/>
      <c r="L113" s="1012" t="s">
        <v>954</v>
      </c>
      <c r="M113" s="1009">
        <v>1</v>
      </c>
      <c r="N113" s="1010"/>
      <c r="O113" s="1001">
        <v>3.7672679347599998E-3</v>
      </c>
      <c r="P113" s="1001">
        <v>0.36233705455365001</v>
      </c>
      <c r="Q113" s="1001">
        <v>0.86960893092876002</v>
      </c>
      <c r="R113" s="1174">
        <v>1E-3</v>
      </c>
      <c r="S113" s="1011"/>
      <c r="T113" s="1011"/>
      <c r="U113" s="1011">
        <v>5.0000000000000001E-3</v>
      </c>
      <c r="V113" s="720">
        <v>5.0000000000000001E-3</v>
      </c>
      <c r="W113" s="1014">
        <v>2E-3</v>
      </c>
      <c r="X113" s="1005"/>
      <c r="AD113" s="1005"/>
    </row>
    <row r="114" spans="1:30" ht="11.25" customHeight="1">
      <c r="A114" s="458" t="s">
        <v>466</v>
      </c>
      <c r="B114" s="570" t="s">
        <v>651</v>
      </c>
      <c r="C114" s="1019" t="s">
        <v>638</v>
      </c>
      <c r="D114" s="1020">
        <v>128</v>
      </c>
      <c r="E114" s="1007">
        <v>128.18</v>
      </c>
      <c r="F114" s="1008">
        <v>1544</v>
      </c>
      <c r="G114" s="1008">
        <v>0.06</v>
      </c>
      <c r="H114" s="1008">
        <v>8.3999999999999992E-6</v>
      </c>
      <c r="I114" s="1008">
        <v>31</v>
      </c>
      <c r="J114" s="900">
        <v>8.5000000000000006E-2</v>
      </c>
      <c r="K114" s="1008">
        <v>4.4000000000000002E-4</v>
      </c>
      <c r="L114" s="1008">
        <v>1.7999999999999999E-2</v>
      </c>
      <c r="M114" s="1009">
        <v>1</v>
      </c>
      <c r="N114" s="1010">
        <v>0.13</v>
      </c>
      <c r="O114" s="1001">
        <v>0.20291899482685</v>
      </c>
      <c r="P114" s="1001">
        <v>0.54910670856167998</v>
      </c>
      <c r="Q114" s="1001">
        <v>1.31785610054804</v>
      </c>
      <c r="R114" s="1174">
        <v>4.6600000000000003E-2</v>
      </c>
      <c r="S114" s="1015">
        <v>0.12</v>
      </c>
      <c r="T114" s="1011">
        <v>3.4E-5</v>
      </c>
      <c r="U114" s="1011">
        <v>0.02</v>
      </c>
      <c r="V114" s="720">
        <v>0.02</v>
      </c>
      <c r="W114" s="1004">
        <v>3.0000000000000001E-3</v>
      </c>
      <c r="X114" s="1005"/>
      <c r="AD114" s="1005"/>
    </row>
    <row r="115" spans="1:30" ht="11.25" customHeight="1">
      <c r="A115" s="458" t="s">
        <v>812</v>
      </c>
      <c r="B115" s="570" t="s">
        <v>653</v>
      </c>
      <c r="C115" s="1019" t="s">
        <v>638</v>
      </c>
      <c r="D115" s="1020">
        <v>59</v>
      </c>
      <c r="E115" s="1007">
        <v>58.69</v>
      </c>
      <c r="F115" s="1012" t="s">
        <v>954</v>
      </c>
      <c r="G115" s="1012" t="s">
        <v>954</v>
      </c>
      <c r="H115" s="1012" t="s">
        <v>954</v>
      </c>
      <c r="I115" s="1012" t="s">
        <v>954</v>
      </c>
      <c r="J115" s="900"/>
      <c r="K115" s="1012" t="s">
        <v>954</v>
      </c>
      <c r="L115" s="1012" t="s">
        <v>954</v>
      </c>
      <c r="M115" s="1010">
        <v>0.04</v>
      </c>
      <c r="N115" s="1010"/>
      <c r="O115" s="1001">
        <v>5.8940346936999996E-4</v>
      </c>
      <c r="P115" s="1001">
        <v>0.22419439440901001</v>
      </c>
      <c r="Q115" s="1001">
        <v>0.53806654658162001</v>
      </c>
      <c r="R115" s="1174">
        <v>2.0000000000000001E-4</v>
      </c>
      <c r="S115" s="1011"/>
      <c r="T115" s="1015"/>
      <c r="U115" s="1011">
        <v>0.02</v>
      </c>
      <c r="V115" s="720">
        <v>0.02</v>
      </c>
      <c r="W115" s="1016">
        <v>1.4E-5</v>
      </c>
      <c r="X115" s="1005"/>
      <c r="AD115" s="1005"/>
    </row>
    <row r="116" spans="1:30" ht="11.25" customHeight="1">
      <c r="A116" s="458" t="s">
        <v>106</v>
      </c>
      <c r="B116" s="570" t="s">
        <v>651</v>
      </c>
      <c r="C116" s="1019" t="s">
        <v>652</v>
      </c>
      <c r="D116" s="1020">
        <v>123</v>
      </c>
      <c r="E116" s="1007">
        <v>123.11</v>
      </c>
      <c r="F116" s="1008">
        <v>226.4</v>
      </c>
      <c r="G116" s="1008">
        <v>6.8000000000000005E-2</v>
      </c>
      <c r="H116" s="1008">
        <v>9.3999999999999998E-6</v>
      </c>
      <c r="I116" s="1008">
        <v>2090</v>
      </c>
      <c r="J116" s="900">
        <v>0.245</v>
      </c>
      <c r="K116" s="1008">
        <v>2.4000000000000001E-5</v>
      </c>
      <c r="L116" s="1008">
        <v>9.7999999999999997E-4</v>
      </c>
      <c r="M116" s="1009">
        <v>1</v>
      </c>
      <c r="N116" s="1010"/>
      <c r="O116" s="1001">
        <v>2.308716372459E-2</v>
      </c>
      <c r="P116" s="1001">
        <v>0.51435711250659999</v>
      </c>
      <c r="Q116" s="1001">
        <v>1.2344570700158399</v>
      </c>
      <c r="R116" s="1174">
        <v>5.4099999999999999E-3</v>
      </c>
      <c r="S116" s="1011"/>
      <c r="T116" s="1011">
        <v>4.0000000000000003E-5</v>
      </c>
      <c r="U116" s="1011">
        <v>2E-3</v>
      </c>
      <c r="V116" s="720">
        <v>2E-3</v>
      </c>
      <c r="W116" s="1004">
        <v>8.9999999999999993E-3</v>
      </c>
      <c r="X116" s="1005"/>
      <c r="AD116" s="1005"/>
    </row>
    <row r="117" spans="1:30" ht="11.25" customHeight="1">
      <c r="A117" s="458" t="s">
        <v>107</v>
      </c>
      <c r="B117" s="570" t="s">
        <v>653</v>
      </c>
      <c r="C117" s="1019" t="s">
        <v>652</v>
      </c>
      <c r="D117" s="1020">
        <v>227</v>
      </c>
      <c r="E117" s="1007">
        <v>227.09</v>
      </c>
      <c r="F117" s="1008">
        <v>115.8</v>
      </c>
      <c r="G117" s="1008">
        <v>2.9000000000000001E-2</v>
      </c>
      <c r="H117" s="1008">
        <v>7.7000000000000008E-6</v>
      </c>
      <c r="I117" s="1008">
        <v>1380</v>
      </c>
      <c r="J117" s="900">
        <v>4.0000000000000002E-4</v>
      </c>
      <c r="K117" s="1008">
        <v>8.6999999999999998E-8</v>
      </c>
      <c r="L117" s="1008">
        <v>3.4999999999999999E-6</v>
      </c>
      <c r="M117" s="1009">
        <v>1</v>
      </c>
      <c r="N117" s="1010">
        <v>0.1</v>
      </c>
      <c r="O117" s="1001">
        <v>5.7611879224799996E-3</v>
      </c>
      <c r="P117" s="1001">
        <v>1.9658607404698401</v>
      </c>
      <c r="Q117" s="1001">
        <v>4.7180657771276104</v>
      </c>
      <c r="R117" s="1174">
        <v>9.9400000000000009E-4</v>
      </c>
      <c r="S117" s="1011">
        <v>1.7000000000000001E-2</v>
      </c>
      <c r="T117" s="1011"/>
      <c r="U117" s="1011">
        <v>1E-4</v>
      </c>
      <c r="V117" s="720">
        <v>1E-4</v>
      </c>
      <c r="W117" s="1014" t="s">
        <v>954</v>
      </c>
      <c r="X117" s="1005"/>
      <c r="AD117" s="1005"/>
    </row>
    <row r="118" spans="1:30" ht="11.25" customHeight="1">
      <c r="A118" s="458" t="s">
        <v>108</v>
      </c>
      <c r="B118" s="570" t="s">
        <v>651</v>
      </c>
      <c r="C118" s="1019" t="s">
        <v>638</v>
      </c>
      <c r="D118" s="1020">
        <v>137</v>
      </c>
      <c r="E118" s="1007">
        <v>137.13999999999999</v>
      </c>
      <c r="F118" s="1008">
        <v>370.6</v>
      </c>
      <c r="G118" s="1008">
        <v>5.8999999999999997E-2</v>
      </c>
      <c r="H118" s="1008">
        <v>8.6999999999999997E-6</v>
      </c>
      <c r="I118" s="1008">
        <v>650</v>
      </c>
      <c r="J118" s="900">
        <v>0.19</v>
      </c>
      <c r="K118" s="1008">
        <v>1.2999999999999999E-5</v>
      </c>
      <c r="L118" s="1008">
        <v>5.1000000000000004E-4</v>
      </c>
      <c r="M118" s="1009">
        <v>1</v>
      </c>
      <c r="N118" s="1010"/>
      <c r="O118" s="1001">
        <v>4.0491924306260002E-2</v>
      </c>
      <c r="P118" s="1001">
        <v>0.61635759176264004</v>
      </c>
      <c r="Q118" s="1001">
        <v>1.4792582202303399</v>
      </c>
      <c r="R118" s="1174">
        <v>8.9899999999999997E-3</v>
      </c>
      <c r="S118" s="1011">
        <v>0.22</v>
      </c>
      <c r="T118" s="1011"/>
      <c r="U118" s="1011">
        <v>8.9999999999999998E-4</v>
      </c>
      <c r="V118" s="720">
        <v>8.9999999999999998E-4</v>
      </c>
      <c r="W118" s="1004">
        <v>3.15E-3</v>
      </c>
      <c r="X118" s="1005"/>
      <c r="AD118" s="1005"/>
    </row>
    <row r="119" spans="1:30" ht="11.25" customHeight="1">
      <c r="A119" s="458" t="s">
        <v>109</v>
      </c>
      <c r="B119" s="570" t="s">
        <v>653</v>
      </c>
      <c r="C119" s="1019" t="s">
        <v>638</v>
      </c>
      <c r="D119" s="1020">
        <v>137</v>
      </c>
      <c r="E119" s="1007">
        <v>137</v>
      </c>
      <c r="F119" s="1008">
        <v>363.2</v>
      </c>
      <c r="G119" s="1008">
        <v>5.8999999999999997E-2</v>
      </c>
      <c r="H119" s="1008">
        <v>8.6999999999999997E-6</v>
      </c>
      <c r="I119" s="1008">
        <v>500</v>
      </c>
      <c r="J119" s="900">
        <v>0.20499999999999999</v>
      </c>
      <c r="K119" s="1008">
        <v>9.3000000000000007E-6</v>
      </c>
      <c r="L119" s="1008">
        <v>3.8000000000000002E-4</v>
      </c>
      <c r="M119" s="1009">
        <v>1</v>
      </c>
      <c r="N119" s="1022">
        <v>0.1</v>
      </c>
      <c r="O119" s="1001">
        <v>5.0896412086840002E-2</v>
      </c>
      <c r="P119" s="1001">
        <v>0.61635759176264004</v>
      </c>
      <c r="Q119" s="1001">
        <v>1.4792582202303399</v>
      </c>
      <c r="R119" s="1174">
        <v>1.1299999999999999E-2</v>
      </c>
      <c r="S119" s="1011"/>
      <c r="T119" s="1011"/>
      <c r="U119" s="1008">
        <v>1E-4</v>
      </c>
      <c r="V119" s="720">
        <v>1E-4</v>
      </c>
      <c r="W119" s="1004"/>
      <c r="X119" s="1005"/>
      <c r="AD119" s="1005"/>
    </row>
    <row r="120" spans="1:30" ht="11.25" customHeight="1">
      <c r="A120" s="458" t="s">
        <v>110</v>
      </c>
      <c r="B120" s="570" t="s">
        <v>653</v>
      </c>
      <c r="C120" s="1019" t="s">
        <v>638</v>
      </c>
      <c r="D120" s="1020">
        <v>137</v>
      </c>
      <c r="E120" s="1007">
        <v>137.13999999999999</v>
      </c>
      <c r="F120" s="1008">
        <v>363.2</v>
      </c>
      <c r="G120" s="1008">
        <v>5.7000000000000002E-2</v>
      </c>
      <c r="H120" s="1008">
        <v>8.3999999999999992E-6</v>
      </c>
      <c r="I120" s="1008">
        <v>442</v>
      </c>
      <c r="J120" s="900">
        <v>1.6E-2</v>
      </c>
      <c r="K120" s="1008">
        <v>5.5999999999999997E-6</v>
      </c>
      <c r="L120" s="1008">
        <v>2.3000000000000001E-4</v>
      </c>
      <c r="M120" s="1009">
        <v>1</v>
      </c>
      <c r="N120" s="1010">
        <v>0.1</v>
      </c>
      <c r="O120" s="1001">
        <v>4.504107264322E-2</v>
      </c>
      <c r="P120" s="1001">
        <v>0.61635759176264004</v>
      </c>
      <c r="Q120" s="1001">
        <v>1.4792582202303399</v>
      </c>
      <c r="R120" s="1174">
        <v>0.01</v>
      </c>
      <c r="S120" s="1011">
        <v>1.6E-2</v>
      </c>
      <c r="T120" s="1011"/>
      <c r="U120" s="1011">
        <v>4.0000000000000001E-3</v>
      </c>
      <c r="V120" s="720">
        <v>4.0000000000000001E-3</v>
      </c>
      <c r="W120" s="1004">
        <v>1.4E-2</v>
      </c>
      <c r="X120" s="1005"/>
      <c r="AD120" s="1005"/>
    </row>
    <row r="121" spans="1:30" ht="11.25" customHeight="1">
      <c r="A121" s="458" t="s">
        <v>467</v>
      </c>
      <c r="B121" s="570" t="s">
        <v>653</v>
      </c>
      <c r="C121" s="1019" t="s">
        <v>638</v>
      </c>
      <c r="D121" s="1020">
        <v>266</v>
      </c>
      <c r="E121" s="1007">
        <v>266.33999999999997</v>
      </c>
      <c r="F121" s="1008">
        <v>592</v>
      </c>
      <c r="G121" s="1008">
        <v>0.03</v>
      </c>
      <c r="H121" s="1008">
        <v>7.9999999999999996E-6</v>
      </c>
      <c r="I121" s="1008">
        <v>14</v>
      </c>
      <c r="J121" s="900">
        <v>1.1E-4</v>
      </c>
      <c r="K121" s="1008">
        <v>2.4999999999999999E-8</v>
      </c>
      <c r="L121" s="1008">
        <v>9.9999999999999995E-7</v>
      </c>
      <c r="M121" s="1009">
        <v>1</v>
      </c>
      <c r="N121" s="1010">
        <v>0.25</v>
      </c>
      <c r="O121" s="1001">
        <v>0.79716563913217997</v>
      </c>
      <c r="P121" s="1001">
        <v>3.2610146481414501</v>
      </c>
      <c r="Q121" s="1001">
        <v>12.5468979093956</v>
      </c>
      <c r="R121" s="1174">
        <v>0.127</v>
      </c>
      <c r="S121" s="1011">
        <v>0.4</v>
      </c>
      <c r="T121" s="1011">
        <v>5.1000000000000003E-6</v>
      </c>
      <c r="U121" s="1011">
        <v>5.0000000000000001E-3</v>
      </c>
      <c r="V121" s="720">
        <v>5.0000000000000001E-3</v>
      </c>
      <c r="W121" s="1014" t="s">
        <v>954</v>
      </c>
      <c r="X121" s="1005"/>
      <c r="AD121" s="1005"/>
    </row>
    <row r="122" spans="1:30" ht="11.25" customHeight="1">
      <c r="A122" s="458" t="s">
        <v>111</v>
      </c>
      <c r="B122" s="570" t="s">
        <v>653</v>
      </c>
      <c r="C122" s="1019" t="s">
        <v>638</v>
      </c>
      <c r="D122" s="1020">
        <v>316</v>
      </c>
      <c r="E122" s="1007">
        <v>316</v>
      </c>
      <c r="F122" s="1008">
        <v>647.9</v>
      </c>
      <c r="G122" s="1008">
        <v>2.5999999999999999E-2</v>
      </c>
      <c r="H122" s="1008">
        <v>6.8000000000000001E-6</v>
      </c>
      <c r="I122" s="1008">
        <v>43</v>
      </c>
      <c r="J122" s="900">
        <v>5.4999999999999996E-9</v>
      </c>
      <c r="K122" s="1008">
        <v>1.3000000000000001E-9</v>
      </c>
      <c r="L122" s="1008">
        <v>5.4E-8</v>
      </c>
      <c r="M122" s="1009">
        <v>1</v>
      </c>
      <c r="N122" s="1010">
        <v>0.1</v>
      </c>
      <c r="O122" s="1001">
        <v>6.9069728724199999E-3</v>
      </c>
      <c r="P122" s="1001">
        <v>6.1977313850137996</v>
      </c>
      <c r="Q122" s="1001">
        <v>14.8745553240331</v>
      </c>
      <c r="R122" s="1174">
        <v>1.01E-3</v>
      </c>
      <c r="S122" s="1015">
        <v>4.3E-3</v>
      </c>
      <c r="T122" s="1011"/>
      <c r="U122" s="1015">
        <v>8.9999999999999993E-3</v>
      </c>
      <c r="V122" s="720">
        <v>8.9999999999999993E-3</v>
      </c>
      <c r="W122" s="1014" t="s">
        <v>954</v>
      </c>
      <c r="X122" s="1005"/>
      <c r="AD122" s="1005"/>
    </row>
    <row r="123" spans="1:30" ht="11.25" customHeight="1">
      <c r="A123" s="458" t="s">
        <v>231</v>
      </c>
      <c r="B123" s="570" t="s">
        <v>653</v>
      </c>
      <c r="C123" s="1019" t="s">
        <v>638</v>
      </c>
      <c r="D123" s="1020">
        <v>117</v>
      </c>
      <c r="E123" s="1007">
        <v>117.49</v>
      </c>
      <c r="F123" s="1012" t="s">
        <v>954</v>
      </c>
      <c r="G123" s="1012" t="s">
        <v>954</v>
      </c>
      <c r="H123" s="1012" t="s">
        <v>954</v>
      </c>
      <c r="I123" s="1008">
        <v>245000</v>
      </c>
      <c r="J123" s="900"/>
      <c r="K123" s="1012" t="s">
        <v>954</v>
      </c>
      <c r="L123" s="1012" t="s">
        <v>954</v>
      </c>
      <c r="M123" s="1009">
        <v>1</v>
      </c>
      <c r="N123" s="1010"/>
      <c r="O123" s="1001">
        <v>4.1689540072800003E-3</v>
      </c>
      <c r="P123" s="1001">
        <v>0.47840173896024002</v>
      </c>
      <c r="Q123" s="1001">
        <v>1.14816417350457</v>
      </c>
      <c r="R123" s="1174">
        <v>1E-3</v>
      </c>
      <c r="S123" s="1011"/>
      <c r="T123" s="1011"/>
      <c r="U123" s="1011">
        <v>6.9999999999999999E-4</v>
      </c>
      <c r="V123" s="720">
        <v>6.9999999999999999E-4</v>
      </c>
      <c r="W123" s="1014" t="s">
        <v>954</v>
      </c>
      <c r="X123" s="1005"/>
      <c r="AD123" s="1005"/>
    </row>
    <row r="124" spans="1:30" ht="11.25" customHeight="1">
      <c r="A124" s="458" t="s">
        <v>468</v>
      </c>
      <c r="B124" s="570" t="s">
        <v>651</v>
      </c>
      <c r="C124" s="1019" t="s">
        <v>638</v>
      </c>
      <c r="D124" s="1020">
        <v>178</v>
      </c>
      <c r="E124" s="1007">
        <v>178</v>
      </c>
      <c r="F124" s="1008">
        <v>14000</v>
      </c>
      <c r="G124" s="1008">
        <v>6.08E-2</v>
      </c>
      <c r="H124" s="1008">
        <v>7.8800000000000008E-6</v>
      </c>
      <c r="I124" s="1008">
        <v>0.81599999999999995</v>
      </c>
      <c r="J124" s="900"/>
      <c r="K124" s="1008">
        <v>3.93E-5</v>
      </c>
      <c r="L124" s="1008">
        <v>1.6100000000000001E-3</v>
      </c>
      <c r="M124" s="1009">
        <v>1</v>
      </c>
      <c r="N124" s="1010">
        <v>0.13</v>
      </c>
      <c r="O124" s="1001">
        <v>0.54545757350781998</v>
      </c>
      <c r="P124" s="1001">
        <v>0.89676933595412001</v>
      </c>
      <c r="Q124" s="1001">
        <v>2.1522464062898998</v>
      </c>
      <c r="R124" s="1174">
        <v>0.11</v>
      </c>
      <c r="S124" s="1011"/>
      <c r="T124" s="1011"/>
      <c r="U124" s="1011">
        <v>0.04</v>
      </c>
      <c r="V124" s="720">
        <v>0.04</v>
      </c>
      <c r="W124" s="1004">
        <v>0.14000000000000001</v>
      </c>
      <c r="X124" s="1005"/>
      <c r="AD124" s="1005"/>
    </row>
    <row r="125" spans="1:30" ht="11.25" customHeight="1">
      <c r="A125" s="458" t="s">
        <v>469</v>
      </c>
      <c r="B125" s="570" t="s">
        <v>653</v>
      </c>
      <c r="C125" s="1019" t="s">
        <v>638</v>
      </c>
      <c r="D125" s="1020">
        <v>94</v>
      </c>
      <c r="E125" s="1007">
        <v>94.11</v>
      </c>
      <c r="F125" s="1008">
        <v>187.2</v>
      </c>
      <c r="G125" s="1008">
        <v>8.3000000000000004E-2</v>
      </c>
      <c r="H125" s="1008">
        <v>1.0000000000000001E-5</v>
      </c>
      <c r="I125" s="1008">
        <v>82800</v>
      </c>
      <c r="J125" s="900">
        <v>0.35</v>
      </c>
      <c r="K125" s="1008">
        <v>3.3000000000000002E-7</v>
      </c>
      <c r="L125" s="1008">
        <v>1.4E-5</v>
      </c>
      <c r="M125" s="1009">
        <v>1</v>
      </c>
      <c r="N125" s="1010">
        <v>0.1</v>
      </c>
      <c r="O125" s="1001">
        <v>1.6193603357629999E-2</v>
      </c>
      <c r="P125" s="1001">
        <v>0.35390536767007003</v>
      </c>
      <c r="Q125" s="1001">
        <v>0.84937288240816</v>
      </c>
      <c r="R125" s="1174">
        <v>4.3400000000000001E-3</v>
      </c>
      <c r="S125" s="1011"/>
      <c r="T125" s="1011"/>
      <c r="U125" s="1011">
        <v>0.3</v>
      </c>
      <c r="V125" s="720">
        <v>0.3</v>
      </c>
      <c r="W125" s="1004">
        <v>0.2</v>
      </c>
      <c r="X125" s="1005"/>
      <c r="AD125" s="1005"/>
    </row>
    <row r="126" spans="1:30" ht="11.25" customHeight="1">
      <c r="A126" s="458" t="s">
        <v>365</v>
      </c>
      <c r="B126" s="570" t="s">
        <v>1405</v>
      </c>
      <c r="C126" s="1019" t="s">
        <v>638</v>
      </c>
      <c r="D126" s="1020">
        <v>326</v>
      </c>
      <c r="E126" s="1007">
        <v>326.44</v>
      </c>
      <c r="F126" s="1008">
        <v>130500</v>
      </c>
      <c r="G126" s="1008">
        <v>2.4E-2</v>
      </c>
      <c r="H126" s="1008">
        <v>6.1E-6</v>
      </c>
      <c r="I126" s="1008">
        <v>4.2999999999999997E-2</v>
      </c>
      <c r="J126" s="900">
        <v>7.7000000000000001E-5</v>
      </c>
      <c r="K126" s="1008">
        <v>2.7999999999999998E-4</v>
      </c>
      <c r="L126" s="1008">
        <v>1.2E-2</v>
      </c>
      <c r="M126" s="1009">
        <v>1</v>
      </c>
      <c r="N126" s="1010">
        <v>0.14000000000000001</v>
      </c>
      <c r="O126" s="1001">
        <v>5.2187713992049698</v>
      </c>
      <c r="P126" s="1001">
        <v>7.0780357134763596</v>
      </c>
      <c r="Q126" s="1001">
        <v>31.096662612958699</v>
      </c>
      <c r="R126" s="1174">
        <v>0.751</v>
      </c>
      <c r="S126" s="1011">
        <v>2</v>
      </c>
      <c r="T126" s="1011">
        <v>5.6999999999999998E-4</v>
      </c>
      <c r="U126" s="1011">
        <v>2.0000000000000002E-5</v>
      </c>
      <c r="V126" s="720">
        <v>2.0000000000000002E-5</v>
      </c>
      <c r="W126" s="1014" t="s">
        <v>954</v>
      </c>
      <c r="X126" s="1005"/>
      <c r="AD126" s="1005"/>
    </row>
    <row r="127" spans="1:30" ht="11.25" customHeight="1">
      <c r="A127" s="458" t="s">
        <v>112</v>
      </c>
      <c r="B127" s="570" t="s">
        <v>653</v>
      </c>
      <c r="C127" s="1019" t="s">
        <v>652</v>
      </c>
      <c r="D127" s="1020">
        <v>342</v>
      </c>
      <c r="E127" s="1007">
        <v>342.23</v>
      </c>
      <c r="F127" s="1008">
        <v>1556</v>
      </c>
      <c r="G127" s="1008">
        <v>2.1000000000000001E-2</v>
      </c>
      <c r="H127" s="1008">
        <v>5.3000000000000001E-6</v>
      </c>
      <c r="I127" s="1008">
        <v>110</v>
      </c>
      <c r="J127" s="900">
        <v>4.2E-7</v>
      </c>
      <c r="K127" s="1008">
        <v>1.6999999999999999E-9</v>
      </c>
      <c r="L127" s="1008">
        <v>7.0000000000000005E-8</v>
      </c>
      <c r="M127" s="1009">
        <v>1</v>
      </c>
      <c r="N127" s="1010">
        <v>0.1</v>
      </c>
      <c r="O127" s="1001">
        <v>3.9702686053739999E-2</v>
      </c>
      <c r="P127" s="1001">
        <v>8.6763437404766002</v>
      </c>
      <c r="Q127" s="1001">
        <v>20.823224977143798</v>
      </c>
      <c r="R127" s="1174">
        <v>5.5799999999999999E-3</v>
      </c>
      <c r="S127" s="1011"/>
      <c r="T127" s="1011"/>
      <c r="U127" s="1011">
        <v>0.1</v>
      </c>
      <c r="V127" s="720">
        <v>0.1</v>
      </c>
      <c r="W127" s="1014" t="s">
        <v>954</v>
      </c>
      <c r="X127" s="1005"/>
      <c r="AD127" s="1005"/>
    </row>
    <row r="128" spans="1:30" ht="11.25" customHeight="1">
      <c r="A128" s="458" t="s">
        <v>470</v>
      </c>
      <c r="B128" s="570" t="s">
        <v>651</v>
      </c>
      <c r="C128" s="1019" t="s">
        <v>638</v>
      </c>
      <c r="D128" s="1020">
        <v>202</v>
      </c>
      <c r="E128" s="1007">
        <v>199</v>
      </c>
      <c r="F128" s="1008">
        <v>54340</v>
      </c>
      <c r="G128" s="1008">
        <v>2.8000000000000001E-2</v>
      </c>
      <c r="H128" s="1008">
        <v>7.1999999999999997E-6</v>
      </c>
      <c r="I128" s="1008">
        <v>0.13500000000000001</v>
      </c>
      <c r="J128" s="900">
        <v>4.5000000000000001E-6</v>
      </c>
      <c r="K128" s="1008">
        <v>1.2E-5</v>
      </c>
      <c r="L128" s="1008">
        <v>4.8999999999999998E-4</v>
      </c>
      <c r="M128" s="1009">
        <v>1</v>
      </c>
      <c r="N128" s="1010">
        <v>0.13</v>
      </c>
      <c r="O128" s="1001">
        <v>1.09945563857003</v>
      </c>
      <c r="P128" s="1001">
        <v>1.42726543921932</v>
      </c>
      <c r="Q128" s="1001">
        <v>5.53530713863268</v>
      </c>
      <c r="R128" s="1174">
        <v>0.20100000000000001</v>
      </c>
      <c r="S128" s="1011"/>
      <c r="T128" s="1011"/>
      <c r="U128" s="1011">
        <v>0.03</v>
      </c>
      <c r="V128" s="720">
        <v>0.03</v>
      </c>
      <c r="W128" s="1004">
        <v>0.105</v>
      </c>
      <c r="X128" s="1005"/>
      <c r="AD128" s="1005"/>
    </row>
    <row r="129" spans="1:30" ht="11.25" customHeight="1">
      <c r="A129" s="458" t="s">
        <v>471</v>
      </c>
      <c r="B129" s="570" t="s">
        <v>653</v>
      </c>
      <c r="C129" s="1019" t="s">
        <v>638</v>
      </c>
      <c r="D129" s="1020">
        <v>81</v>
      </c>
      <c r="E129" s="1007">
        <v>80.98</v>
      </c>
      <c r="F129" s="1012" t="s">
        <v>954</v>
      </c>
      <c r="G129" s="1012" t="s">
        <v>954</v>
      </c>
      <c r="H129" s="1012"/>
      <c r="I129" s="1012" t="s">
        <v>954</v>
      </c>
      <c r="J129" s="900">
        <v>1.4000000000000001E-10</v>
      </c>
      <c r="K129" s="1012"/>
      <c r="L129" s="1012" t="s">
        <v>954</v>
      </c>
      <c r="M129" s="1009">
        <v>1</v>
      </c>
      <c r="N129" s="1010"/>
      <c r="O129" s="1001">
        <v>3.4176707525400002E-3</v>
      </c>
      <c r="P129" s="1001">
        <v>0.29108829990245999</v>
      </c>
      <c r="Q129" s="1001">
        <v>0.69861191976590997</v>
      </c>
      <c r="R129" s="1174">
        <v>1E-3</v>
      </c>
      <c r="S129" s="1011"/>
      <c r="T129" s="1011"/>
      <c r="U129" s="1011">
        <v>5.0000000000000001E-3</v>
      </c>
      <c r="V129" s="720">
        <v>5.0000000000000001E-3</v>
      </c>
      <c r="W129" s="1004">
        <v>0.02</v>
      </c>
      <c r="X129" s="1005"/>
      <c r="AD129" s="1005"/>
    </row>
    <row r="130" spans="1:30" ht="11.25" customHeight="1">
      <c r="A130" s="458" t="s">
        <v>813</v>
      </c>
      <c r="B130" s="570" t="s">
        <v>653</v>
      </c>
      <c r="C130" s="1019" t="s">
        <v>638</v>
      </c>
      <c r="D130" s="1020">
        <v>108</v>
      </c>
      <c r="E130" s="1007">
        <v>107.87</v>
      </c>
      <c r="F130" s="1012" t="s">
        <v>954</v>
      </c>
      <c r="G130" s="1012" t="s">
        <v>954</v>
      </c>
      <c r="H130" s="1012"/>
      <c r="I130" s="1012" t="s">
        <v>954</v>
      </c>
      <c r="J130" s="900"/>
      <c r="K130" s="1012"/>
      <c r="L130" s="1012" t="s">
        <v>954</v>
      </c>
      <c r="M130" s="1010">
        <v>0.04</v>
      </c>
      <c r="N130" s="1010"/>
      <c r="O130" s="1001">
        <v>2.3967803848100001E-3</v>
      </c>
      <c r="P130" s="1001">
        <v>0.42259149241587002</v>
      </c>
      <c r="Q130" s="1001">
        <v>1.0142195817980899</v>
      </c>
      <c r="R130" s="1174">
        <v>5.9999999999999995E-4</v>
      </c>
      <c r="S130" s="1011"/>
      <c r="T130" s="1011"/>
      <c r="U130" s="1011">
        <v>5.0000000000000001E-3</v>
      </c>
      <c r="V130" s="720">
        <v>5.0000000000000001E-3</v>
      </c>
      <c r="W130" s="1014" t="s">
        <v>954</v>
      </c>
      <c r="X130" s="1005"/>
      <c r="AD130" s="1005"/>
    </row>
    <row r="131" spans="1:30" ht="11.25" customHeight="1">
      <c r="A131" s="458" t="s">
        <v>113</v>
      </c>
      <c r="B131" s="570" t="s">
        <v>653</v>
      </c>
      <c r="C131" s="1019" t="s">
        <v>638</v>
      </c>
      <c r="D131" s="1020">
        <v>202</v>
      </c>
      <c r="E131" s="1007">
        <v>201.66</v>
      </c>
      <c r="F131" s="1008">
        <v>146.5</v>
      </c>
      <c r="G131" s="1008">
        <v>2.8000000000000001E-2</v>
      </c>
      <c r="H131" s="1008">
        <v>7.4000000000000003E-6</v>
      </c>
      <c r="I131" s="1008">
        <v>6.2</v>
      </c>
      <c r="J131" s="900">
        <v>2.1999999999999998E-8</v>
      </c>
      <c r="K131" s="1008">
        <v>9.4000000000000006E-10</v>
      </c>
      <c r="L131" s="1008">
        <v>3.8999999999999998E-8</v>
      </c>
      <c r="M131" s="1009">
        <v>1</v>
      </c>
      <c r="N131" s="1010">
        <v>0.1</v>
      </c>
      <c r="O131" s="1001">
        <v>1.7750880259860002E-2</v>
      </c>
      <c r="P131" s="1001">
        <v>1.41626574027702</v>
      </c>
      <c r="Q131" s="1001">
        <v>3.3990377766648598</v>
      </c>
      <c r="R131" s="1174">
        <v>3.2499999999999999E-3</v>
      </c>
      <c r="S131" s="1011">
        <v>0.12</v>
      </c>
      <c r="T131" s="1011"/>
      <c r="U131" s="1011">
        <v>5.0000000000000001E-3</v>
      </c>
      <c r="V131" s="720">
        <v>5.0000000000000001E-3</v>
      </c>
      <c r="W131" s="1014" t="s">
        <v>954</v>
      </c>
      <c r="X131" s="1005"/>
      <c r="AD131" s="1005"/>
    </row>
    <row r="132" spans="1:30" ht="11.25" customHeight="1">
      <c r="A132" s="458" t="s">
        <v>472</v>
      </c>
      <c r="B132" s="570" t="s">
        <v>651</v>
      </c>
      <c r="C132" s="1019" t="s">
        <v>652</v>
      </c>
      <c r="D132" s="1020">
        <v>104</v>
      </c>
      <c r="E132" s="1007">
        <v>104.15</v>
      </c>
      <c r="F132" s="1008">
        <v>446.1</v>
      </c>
      <c r="G132" s="1008">
        <v>7.0999999999999994E-2</v>
      </c>
      <c r="H132" s="1008">
        <v>8.8000000000000004E-6</v>
      </c>
      <c r="I132" s="1008">
        <v>310</v>
      </c>
      <c r="J132" s="900">
        <v>6.4</v>
      </c>
      <c r="K132" s="1008">
        <v>2.8E-3</v>
      </c>
      <c r="L132" s="1008">
        <v>0.11</v>
      </c>
      <c r="M132" s="1009">
        <v>1</v>
      </c>
      <c r="N132" s="1018" t="s">
        <v>954</v>
      </c>
      <c r="O132" s="1001">
        <v>0.14601559047828</v>
      </c>
      <c r="P132" s="1001">
        <v>0.40279933938787998</v>
      </c>
      <c r="Q132" s="1001">
        <v>0.96671841453092</v>
      </c>
      <c r="R132" s="1174">
        <v>3.7199999999999997E-2</v>
      </c>
      <c r="S132" s="1011"/>
      <c r="T132" s="1011"/>
      <c r="U132" s="1011">
        <v>0.2</v>
      </c>
      <c r="V132" s="720">
        <v>0.2</v>
      </c>
      <c r="W132" s="1004">
        <v>1</v>
      </c>
      <c r="X132" s="1005"/>
      <c r="AD132" s="1005"/>
    </row>
    <row r="133" spans="1:30" ht="11.25" customHeight="1">
      <c r="A133" s="458" t="s">
        <v>114</v>
      </c>
      <c r="B133" s="570" t="s">
        <v>653</v>
      </c>
      <c r="C133" s="1019" t="s">
        <v>638</v>
      </c>
      <c r="D133" s="1020">
        <v>217</v>
      </c>
      <c r="E133" s="1007">
        <v>216.67</v>
      </c>
      <c r="F133" s="1008">
        <v>50.1</v>
      </c>
      <c r="G133" s="1008">
        <v>2.7E-2</v>
      </c>
      <c r="H133" s="1008">
        <v>7.1999999999999997E-6</v>
      </c>
      <c r="I133" s="1008">
        <v>710</v>
      </c>
      <c r="J133" s="900">
        <v>4.7E-7</v>
      </c>
      <c r="K133" s="1008">
        <v>1.2E-10</v>
      </c>
      <c r="L133" s="1008">
        <v>4.9E-9</v>
      </c>
      <c r="M133" s="1009">
        <v>1</v>
      </c>
      <c r="N133" s="1010">
        <v>0.1</v>
      </c>
      <c r="O133" s="1001">
        <v>9.7376573978400008E-3</v>
      </c>
      <c r="P133" s="1001">
        <v>1.71870266197127</v>
      </c>
      <c r="Q133" s="1001">
        <v>4.1248863887310501</v>
      </c>
      <c r="R133" s="1174">
        <v>1.72E-3</v>
      </c>
      <c r="S133" s="1011"/>
      <c r="T133" s="1011"/>
      <c r="U133" s="1011">
        <v>1.2999999999999999E-2</v>
      </c>
      <c r="V133" s="720">
        <v>1.2999999999999999E-2</v>
      </c>
      <c r="W133" s="1014" t="s">
        <v>954</v>
      </c>
      <c r="X133" s="1005"/>
      <c r="AD133" s="1005"/>
    </row>
    <row r="134" spans="1:30" ht="11.25" customHeight="1">
      <c r="A134" s="458" t="s">
        <v>19</v>
      </c>
      <c r="B134" s="570" t="s">
        <v>651</v>
      </c>
      <c r="C134" s="1019" t="s">
        <v>652</v>
      </c>
      <c r="D134" s="1020">
        <v>74</v>
      </c>
      <c r="E134" s="1007">
        <v>74</v>
      </c>
      <c r="F134" s="1012">
        <v>2.1</v>
      </c>
      <c r="G134" s="1012">
        <v>8.8999999999999996E-2</v>
      </c>
      <c r="H134" s="1012">
        <v>9.9000000000000001E-6</v>
      </c>
      <c r="I134" s="1008">
        <v>1000000</v>
      </c>
      <c r="J134" s="900">
        <v>40.700000000000003</v>
      </c>
      <c r="K134" s="1012">
        <v>9.0999999999999993E-6</v>
      </c>
      <c r="L134" s="1012">
        <v>3.6999999999999999E-4</v>
      </c>
      <c r="M134" s="1009">
        <v>1</v>
      </c>
      <c r="N134" s="1010"/>
      <c r="O134" s="1001">
        <v>3.4106982661499998E-3</v>
      </c>
      <c r="P134" s="1001">
        <v>0.27349106952802998</v>
      </c>
      <c r="Q134" s="1001">
        <v>0.65637856686726004</v>
      </c>
      <c r="R134" s="1174">
        <v>1.0300000000000001E-3</v>
      </c>
      <c r="S134" s="1015">
        <v>5.0000000000000001E-4</v>
      </c>
      <c r="T134" s="1011"/>
      <c r="U134" s="1012">
        <v>0.4</v>
      </c>
      <c r="V134" s="720">
        <v>0.4</v>
      </c>
      <c r="W134" s="1014">
        <v>5</v>
      </c>
      <c r="X134" s="1005"/>
      <c r="AD134" s="1005"/>
    </row>
    <row r="135" spans="1:30" ht="11.25" customHeight="1">
      <c r="A135" s="458" t="s">
        <v>473</v>
      </c>
      <c r="B135" s="570" t="s">
        <v>651</v>
      </c>
      <c r="C135" s="1019" t="s">
        <v>652</v>
      </c>
      <c r="D135" s="1020">
        <v>168</v>
      </c>
      <c r="E135" s="1007">
        <v>167.85</v>
      </c>
      <c r="F135" s="1008">
        <v>86.03</v>
      </c>
      <c r="G135" s="1008">
        <v>4.8000000000000001E-2</v>
      </c>
      <c r="H135" s="1008">
        <v>9.0999999999999993E-6</v>
      </c>
      <c r="I135" s="1008">
        <v>1070</v>
      </c>
      <c r="J135" s="900">
        <v>12</v>
      </c>
      <c r="K135" s="1008">
        <v>2.5000000000000001E-3</v>
      </c>
      <c r="L135" s="1008">
        <v>0.1</v>
      </c>
      <c r="M135" s="1009">
        <v>1</v>
      </c>
      <c r="N135" s="1010"/>
      <c r="O135" s="1001">
        <v>7.9229050112039998E-2</v>
      </c>
      <c r="P135" s="1001">
        <v>0.91581710267245997</v>
      </c>
      <c r="Q135" s="1001">
        <v>2.1979610464139001</v>
      </c>
      <c r="R135" s="1174">
        <v>1.5900000000000001E-2</v>
      </c>
      <c r="S135" s="1011">
        <v>2.5999999999999999E-2</v>
      </c>
      <c r="T135" s="1011">
        <v>7.4000000000000003E-6</v>
      </c>
      <c r="U135" s="1011">
        <v>0.03</v>
      </c>
      <c r="V135" s="720">
        <v>0.03</v>
      </c>
      <c r="W135" s="1004">
        <v>0.105</v>
      </c>
      <c r="X135" s="1005"/>
      <c r="AD135" s="1005"/>
    </row>
    <row r="136" spans="1:30" ht="11.25" customHeight="1">
      <c r="A136" s="458" t="s">
        <v>474</v>
      </c>
      <c r="B136" s="570" t="s">
        <v>651</v>
      </c>
      <c r="C136" s="1019" t="s">
        <v>652</v>
      </c>
      <c r="D136" s="1020">
        <v>168</v>
      </c>
      <c r="E136" s="1007">
        <v>167.85</v>
      </c>
      <c r="F136" s="1008">
        <v>94.94</v>
      </c>
      <c r="G136" s="1008">
        <v>4.9000000000000002E-2</v>
      </c>
      <c r="H136" s="1008">
        <v>9.3000000000000007E-6</v>
      </c>
      <c r="I136" s="1008">
        <v>2830</v>
      </c>
      <c r="J136" s="900">
        <v>4.62</v>
      </c>
      <c r="K136" s="1008">
        <v>3.6999999999999999E-4</v>
      </c>
      <c r="L136" s="1008">
        <v>1.4999999999999999E-2</v>
      </c>
      <c r="M136" s="1009">
        <v>1</v>
      </c>
      <c r="N136" s="1010"/>
      <c r="O136" s="1001">
        <v>3.4581736338209997E-2</v>
      </c>
      <c r="P136" s="1001">
        <v>0.91581710267245997</v>
      </c>
      <c r="Q136" s="1001">
        <v>2.1979610464139001</v>
      </c>
      <c r="R136" s="1174">
        <v>6.94E-3</v>
      </c>
      <c r="S136" s="1011">
        <v>0.2</v>
      </c>
      <c r="T136" s="1011">
        <v>5.8E-5</v>
      </c>
      <c r="U136" s="1011">
        <v>0.02</v>
      </c>
      <c r="V136" s="720">
        <v>0.02</v>
      </c>
      <c r="W136" s="1014" t="s">
        <v>954</v>
      </c>
      <c r="X136" s="1005"/>
      <c r="AD136" s="1005"/>
    </row>
    <row r="137" spans="1:30" ht="11.25" customHeight="1">
      <c r="A137" s="458" t="s">
        <v>475</v>
      </c>
      <c r="B137" s="570" t="s">
        <v>651</v>
      </c>
      <c r="C137" s="1019" t="s">
        <v>652</v>
      </c>
      <c r="D137" s="1020">
        <v>166</v>
      </c>
      <c r="E137" s="1007">
        <v>165.83</v>
      </c>
      <c r="F137" s="1008">
        <v>94.94</v>
      </c>
      <c r="G137" s="1008">
        <v>0.05</v>
      </c>
      <c r="H137" s="1008">
        <v>9.5000000000000005E-6</v>
      </c>
      <c r="I137" s="1008">
        <v>206</v>
      </c>
      <c r="J137" s="900">
        <v>18.5</v>
      </c>
      <c r="K137" s="1008">
        <v>1.7999999999999999E-2</v>
      </c>
      <c r="L137" s="1008">
        <v>0.72</v>
      </c>
      <c r="M137" s="1009">
        <v>1</v>
      </c>
      <c r="N137" s="1010"/>
      <c r="O137" s="1001">
        <v>0.16542634303645001</v>
      </c>
      <c r="P137" s="1001">
        <v>0.89227094155288</v>
      </c>
      <c r="Q137" s="1001">
        <v>2.1414502597269101</v>
      </c>
      <c r="R137" s="1174">
        <v>3.3399999999999999E-2</v>
      </c>
      <c r="S137" s="1011">
        <v>2.1000000000000001E-2</v>
      </c>
      <c r="T137" s="1011">
        <v>6.1E-6</v>
      </c>
      <c r="U137" s="1011">
        <v>6.0000000000000001E-3</v>
      </c>
      <c r="V137" s="720">
        <v>6.0000000000000001E-3</v>
      </c>
      <c r="W137" s="1004">
        <v>0.04</v>
      </c>
      <c r="X137" s="1005"/>
      <c r="AD137" s="1005"/>
    </row>
    <row r="138" spans="1:30" ht="11.25" customHeight="1">
      <c r="A138" s="458" t="s">
        <v>115</v>
      </c>
      <c r="B138" s="570" t="s">
        <v>653</v>
      </c>
      <c r="C138" s="1019" t="s">
        <v>638</v>
      </c>
      <c r="D138" s="1020">
        <v>232</v>
      </c>
      <c r="E138" s="1007">
        <v>231.89</v>
      </c>
      <c r="F138" s="1008">
        <v>280</v>
      </c>
      <c r="G138" s="1008">
        <v>0.05</v>
      </c>
      <c r="H138" s="1008">
        <v>5.9000000000000003E-6</v>
      </c>
      <c r="I138" s="1008">
        <v>23</v>
      </c>
      <c r="J138" s="900">
        <v>6.7000000000000002E-4</v>
      </c>
      <c r="K138" s="1008">
        <v>8.8000000000000004E-6</v>
      </c>
      <c r="L138" s="1008">
        <v>3.6000000000000002E-4</v>
      </c>
      <c r="M138" s="1009">
        <v>1</v>
      </c>
      <c r="N138" s="1010">
        <v>0.1</v>
      </c>
      <c r="O138" s="1001">
        <v>0.41583975954843999</v>
      </c>
      <c r="P138" s="1001">
        <v>2.0913790325471999</v>
      </c>
      <c r="Q138" s="1001">
        <v>5.0193096781132898</v>
      </c>
      <c r="R138" s="1174">
        <v>7.0999999999999994E-2</v>
      </c>
      <c r="S138" s="1011"/>
      <c r="T138" s="1011"/>
      <c r="U138" s="1011">
        <v>0.03</v>
      </c>
      <c r="V138" s="720">
        <v>0.03</v>
      </c>
      <c r="W138" s="1014" t="s">
        <v>954</v>
      </c>
      <c r="X138" s="1005"/>
      <c r="AD138" s="1005"/>
    </row>
    <row r="139" spans="1:30" ht="11.25" customHeight="1">
      <c r="A139" s="458" t="s">
        <v>116</v>
      </c>
      <c r="B139" s="570" t="s">
        <v>653</v>
      </c>
      <c r="C139" s="1019" t="s">
        <v>638</v>
      </c>
      <c r="D139" s="1020">
        <v>296</v>
      </c>
      <c r="E139" s="1007">
        <v>296.16000000000003</v>
      </c>
      <c r="F139" s="1008">
        <v>531.6</v>
      </c>
      <c r="G139" s="1008">
        <v>4.2999999999999997E-2</v>
      </c>
      <c r="H139" s="1008">
        <v>5.0000000000000004E-6</v>
      </c>
      <c r="I139" s="1008">
        <v>5</v>
      </c>
      <c r="J139" s="900">
        <v>3.2999999999999998E-14</v>
      </c>
      <c r="K139" s="1008">
        <v>8.6999999999999999E-10</v>
      </c>
      <c r="L139" s="1008">
        <v>3.5000000000000002E-8</v>
      </c>
      <c r="M139" s="1009">
        <v>1</v>
      </c>
      <c r="N139" s="1010">
        <v>6.0000000000000001E-3</v>
      </c>
      <c r="O139" s="1001">
        <v>2.8858671991000001E-4</v>
      </c>
      <c r="P139" s="1001">
        <v>4.7901018706865504</v>
      </c>
      <c r="Q139" s="1001">
        <v>11.496244489647699</v>
      </c>
      <c r="R139" s="1174">
        <v>4.3600000000000003E-5</v>
      </c>
      <c r="S139" s="1011"/>
      <c r="T139" s="1011"/>
      <c r="U139" s="1011">
        <v>0.05</v>
      </c>
      <c r="V139" s="720">
        <v>0.05</v>
      </c>
      <c r="W139" s="1014" t="s">
        <v>954</v>
      </c>
      <c r="X139" s="1005"/>
      <c r="AD139" s="1005"/>
    </row>
    <row r="140" spans="1:30" ht="11.25" customHeight="1">
      <c r="A140" s="458" t="s">
        <v>476</v>
      </c>
      <c r="B140" s="570" t="s">
        <v>653</v>
      </c>
      <c r="C140" s="1019" t="s">
        <v>638</v>
      </c>
      <c r="D140" s="1020">
        <v>204</v>
      </c>
      <c r="E140" s="1007">
        <v>204.38</v>
      </c>
      <c r="F140" s="1012" t="s">
        <v>954</v>
      </c>
      <c r="G140" s="1012" t="s">
        <v>954</v>
      </c>
      <c r="H140" s="1012" t="s">
        <v>954</v>
      </c>
      <c r="I140" s="1012" t="s">
        <v>954</v>
      </c>
      <c r="J140" s="900"/>
      <c r="K140" s="1012"/>
      <c r="L140" s="1012"/>
      <c r="M140" s="1009">
        <v>1</v>
      </c>
      <c r="N140" s="1010"/>
      <c r="O140" s="1001">
        <v>5.4985205110700004E-3</v>
      </c>
      <c r="P140" s="1001">
        <v>1.46681975246134</v>
      </c>
      <c r="Q140" s="1001">
        <v>3.5203674059072099</v>
      </c>
      <c r="R140" s="1174">
        <v>1E-3</v>
      </c>
      <c r="S140" s="1011"/>
      <c r="T140" s="1011"/>
      <c r="U140" s="1011">
        <v>1.0000000000000001E-5</v>
      </c>
      <c r="V140" s="720">
        <v>1.0000000000000001E-5</v>
      </c>
      <c r="W140" s="1014" t="s">
        <v>954</v>
      </c>
      <c r="X140" s="1005"/>
      <c r="AD140" s="1005"/>
    </row>
    <row r="141" spans="1:30" ht="11.25" customHeight="1">
      <c r="A141" s="458" t="s">
        <v>366</v>
      </c>
      <c r="B141" s="570" t="s">
        <v>651</v>
      </c>
      <c r="C141" s="1019" t="s">
        <v>652</v>
      </c>
      <c r="D141" s="1020">
        <v>92</v>
      </c>
      <c r="E141" s="1007">
        <v>92.14</v>
      </c>
      <c r="F141" s="1008">
        <v>233.9</v>
      </c>
      <c r="G141" s="1008">
        <v>7.8E-2</v>
      </c>
      <c r="H141" s="1008">
        <v>9.2E-6</v>
      </c>
      <c r="I141" s="1008">
        <v>526</v>
      </c>
      <c r="J141" s="900">
        <v>28.4</v>
      </c>
      <c r="K141" s="1008">
        <v>6.6E-3</v>
      </c>
      <c r="L141" s="1008">
        <v>0.27</v>
      </c>
      <c r="M141" s="1009">
        <v>1</v>
      </c>
      <c r="N141" s="1010"/>
      <c r="O141" s="1001">
        <v>0.11481955474085</v>
      </c>
      <c r="P141" s="1001">
        <v>0.34501974481163</v>
      </c>
      <c r="Q141" s="1001">
        <v>0.82804738754789997</v>
      </c>
      <c r="R141" s="1174">
        <v>3.1099999999999999E-2</v>
      </c>
      <c r="S141" s="1011"/>
      <c r="T141" s="1011"/>
      <c r="U141" s="1011">
        <v>0.08</v>
      </c>
      <c r="V141" s="720">
        <v>0.08</v>
      </c>
      <c r="W141" s="1004">
        <v>5</v>
      </c>
      <c r="X141" s="1005"/>
      <c r="AD141" s="1005"/>
    </row>
    <row r="142" spans="1:30" ht="11.25" customHeight="1">
      <c r="A142" s="458" t="s">
        <v>20</v>
      </c>
      <c r="B142" s="570" t="s">
        <v>653</v>
      </c>
      <c r="C142" s="1019" t="s">
        <v>638</v>
      </c>
      <c r="D142" s="1020">
        <v>414</v>
      </c>
      <c r="E142" s="1007">
        <v>413.82</v>
      </c>
      <c r="F142" s="1008">
        <v>77200</v>
      </c>
      <c r="G142" s="1012">
        <v>2.1000000000000001E-2</v>
      </c>
      <c r="H142" s="1012">
        <v>5.3000000000000001E-6</v>
      </c>
      <c r="I142" s="1008">
        <v>0.55000000000000004</v>
      </c>
      <c r="J142" s="900">
        <v>6.7000000000000002E-6</v>
      </c>
      <c r="K142" s="1008">
        <v>6.0000000000000002E-6</v>
      </c>
      <c r="L142" s="1008">
        <v>2.5000000000000001E-4</v>
      </c>
      <c r="M142" s="1009">
        <v>1</v>
      </c>
      <c r="N142" s="1010">
        <v>0.1</v>
      </c>
      <c r="O142" s="1001">
        <v>0.42181440336665998</v>
      </c>
      <c r="P142" s="1001">
        <v>34.049030432443402</v>
      </c>
      <c r="Q142" s="1001">
        <v>81.717673037864103</v>
      </c>
      <c r="R142" s="1174">
        <v>5.1799999999999999E-2</v>
      </c>
      <c r="S142" s="1011">
        <v>1.1000000000000001</v>
      </c>
      <c r="T142" s="1011">
        <v>3.2000000000000003E-4</v>
      </c>
      <c r="U142" s="1015">
        <v>9.0000000000000006E-5</v>
      </c>
      <c r="V142" s="720">
        <v>9.0000000000000006E-5</v>
      </c>
      <c r="W142" s="1014" t="s">
        <v>954</v>
      </c>
      <c r="X142" s="1005"/>
      <c r="AD142" s="1005"/>
    </row>
    <row r="143" spans="1:30" ht="11.25" customHeight="1">
      <c r="A143" s="458" t="s">
        <v>57</v>
      </c>
      <c r="B143" s="570" t="s">
        <v>651</v>
      </c>
      <c r="C143" s="1019" t="s">
        <v>652</v>
      </c>
      <c r="D143" s="1026">
        <v>108</v>
      </c>
      <c r="E143" s="1027">
        <v>108</v>
      </c>
      <c r="F143" s="1008">
        <v>1778</v>
      </c>
      <c r="G143" s="1008">
        <v>7.0000000000000007E-2</v>
      </c>
      <c r="H143" s="1008">
        <v>1.0000000000000001E-5</v>
      </c>
      <c r="I143" s="1008">
        <v>150</v>
      </c>
      <c r="J143" s="900">
        <v>300</v>
      </c>
      <c r="K143" s="1008">
        <v>0.33</v>
      </c>
      <c r="L143" s="1008">
        <v>13.9</v>
      </c>
      <c r="M143" s="1009">
        <v>1</v>
      </c>
      <c r="N143" s="1022">
        <v>0.1</v>
      </c>
      <c r="O143" s="1473" t="s">
        <v>1404</v>
      </c>
      <c r="P143" s="1474"/>
      <c r="Q143" s="1474"/>
      <c r="R143" s="1474"/>
      <c r="S143" s="1475"/>
      <c r="T143" s="1475"/>
      <c r="U143" s="1475"/>
      <c r="V143" s="1475"/>
      <c r="W143" s="1476"/>
      <c r="X143" s="1005"/>
      <c r="AD143" s="1005"/>
    </row>
    <row r="144" spans="1:30" ht="11.25" customHeight="1">
      <c r="A144" s="458" t="s">
        <v>56</v>
      </c>
      <c r="B144" s="570" t="s">
        <v>651</v>
      </c>
      <c r="C144" s="1019" t="s">
        <v>652</v>
      </c>
      <c r="D144" s="1026">
        <v>198</v>
      </c>
      <c r="E144" s="1027">
        <v>198</v>
      </c>
      <c r="F144" s="1008">
        <v>1778</v>
      </c>
      <c r="G144" s="1008">
        <v>7.0000000000000007E-2</v>
      </c>
      <c r="H144" s="1008">
        <v>1.0000000000000001E-5</v>
      </c>
      <c r="I144" s="1008">
        <v>51</v>
      </c>
      <c r="J144" s="900">
        <v>1</v>
      </c>
      <c r="K144" s="1008">
        <v>0.33</v>
      </c>
      <c r="L144" s="1008">
        <v>13.9</v>
      </c>
      <c r="M144" s="1009">
        <v>1</v>
      </c>
      <c r="N144" s="1022">
        <v>0.1</v>
      </c>
      <c r="O144" s="1477"/>
      <c r="P144" s="1400"/>
      <c r="Q144" s="1400"/>
      <c r="R144" s="1400"/>
      <c r="S144" s="1478"/>
      <c r="T144" s="1478"/>
      <c r="U144" s="1478"/>
      <c r="V144" s="1478"/>
      <c r="W144" s="1479"/>
      <c r="X144" s="1005"/>
      <c r="AD144" s="1005"/>
    </row>
    <row r="145" spans="1:30" ht="11.25" customHeight="1">
      <c r="A145" s="458" t="s">
        <v>777</v>
      </c>
      <c r="B145" s="570" t="s">
        <v>1405</v>
      </c>
      <c r="C145" s="1019" t="s">
        <v>652</v>
      </c>
      <c r="D145" s="1026">
        <v>650</v>
      </c>
      <c r="E145" s="1027">
        <v>198</v>
      </c>
      <c r="F145" s="1008"/>
      <c r="G145" s="1008"/>
      <c r="H145" s="1008"/>
      <c r="I145" s="1008"/>
      <c r="J145" s="900"/>
      <c r="K145" s="1008"/>
      <c r="L145" s="1008"/>
      <c r="M145" s="1009">
        <v>1</v>
      </c>
      <c r="N145" s="1010"/>
      <c r="O145" s="1480"/>
      <c r="P145" s="1481"/>
      <c r="Q145" s="1481"/>
      <c r="R145" s="1481"/>
      <c r="S145" s="1482"/>
      <c r="T145" s="1482"/>
      <c r="U145" s="1482"/>
      <c r="V145" s="1482"/>
      <c r="W145" s="1483"/>
      <c r="X145" s="1005"/>
      <c r="AD145" s="1005"/>
    </row>
    <row r="146" spans="1:30" ht="11.25" customHeight="1">
      <c r="A146" s="458" t="s">
        <v>814</v>
      </c>
      <c r="B146" s="570" t="s">
        <v>651</v>
      </c>
      <c r="C146" s="1019" t="s">
        <v>638</v>
      </c>
      <c r="D146" s="1020">
        <v>181</v>
      </c>
      <c r="E146" s="1007">
        <v>181.45</v>
      </c>
      <c r="F146" s="1008">
        <v>1356</v>
      </c>
      <c r="G146" s="1008">
        <v>0.04</v>
      </c>
      <c r="H146" s="1008">
        <v>8.3999999999999992E-6</v>
      </c>
      <c r="I146" s="1008">
        <v>49</v>
      </c>
      <c r="J146" s="900">
        <v>0.46</v>
      </c>
      <c r="K146" s="1008">
        <v>1.4E-3</v>
      </c>
      <c r="L146" s="1008">
        <v>5.8000000000000003E-2</v>
      </c>
      <c r="M146" s="1009">
        <v>1</v>
      </c>
      <c r="N146" s="1010"/>
      <c r="O146" s="1001">
        <v>0.22997144535892999</v>
      </c>
      <c r="P146" s="1001">
        <v>6.0915631332310598</v>
      </c>
      <c r="Q146" s="1001">
        <v>14.619751519754599</v>
      </c>
      <c r="R146" s="1174">
        <v>3.3700000000000001E-2</v>
      </c>
      <c r="S146" s="1011">
        <v>2.9000000000000001E-2</v>
      </c>
      <c r="T146" s="1011"/>
      <c r="U146" s="1011">
        <v>0.01</v>
      </c>
      <c r="V146" s="720">
        <v>0.01</v>
      </c>
      <c r="W146" s="1004">
        <v>2E-3</v>
      </c>
      <c r="X146" s="1005"/>
      <c r="AD146" s="1005"/>
    </row>
    <row r="147" spans="1:30" ht="11.25" customHeight="1">
      <c r="A147" s="458" t="s">
        <v>815</v>
      </c>
      <c r="B147" s="570" t="s">
        <v>651</v>
      </c>
      <c r="C147" s="1019" t="s">
        <v>652</v>
      </c>
      <c r="D147" s="1020">
        <v>133</v>
      </c>
      <c r="E147" s="1007">
        <v>133.41</v>
      </c>
      <c r="F147" s="1008">
        <v>43.89</v>
      </c>
      <c r="G147" s="1008">
        <v>6.5000000000000002E-2</v>
      </c>
      <c r="H147" s="1008">
        <v>9.5999999999999996E-6</v>
      </c>
      <c r="I147" s="1008">
        <v>1290</v>
      </c>
      <c r="J147" s="900">
        <v>124</v>
      </c>
      <c r="K147" s="1008">
        <v>1.7000000000000001E-2</v>
      </c>
      <c r="L147" s="1008">
        <v>0.7</v>
      </c>
      <c r="M147" s="1009">
        <v>1</v>
      </c>
      <c r="N147" s="1010"/>
      <c r="O147" s="1001">
        <v>5.5974650327540003E-2</v>
      </c>
      <c r="P147" s="1001">
        <v>0.58741461764628999</v>
      </c>
      <c r="Q147" s="1001">
        <v>1.4097950823510901</v>
      </c>
      <c r="R147" s="1174">
        <v>1.26E-2</v>
      </c>
      <c r="S147" s="1011"/>
      <c r="T147" s="1011"/>
      <c r="U147" s="1011">
        <v>2</v>
      </c>
      <c r="V147" s="720">
        <v>2</v>
      </c>
      <c r="W147" s="1004">
        <v>5</v>
      </c>
      <c r="X147" s="1005"/>
      <c r="AD147" s="1005"/>
    </row>
    <row r="148" spans="1:30" ht="11.25" customHeight="1">
      <c r="A148" s="458" t="s">
        <v>477</v>
      </c>
      <c r="B148" s="570" t="s">
        <v>651</v>
      </c>
      <c r="C148" s="1019" t="s">
        <v>652</v>
      </c>
      <c r="D148" s="1020">
        <v>133</v>
      </c>
      <c r="E148" s="1007">
        <v>133.41</v>
      </c>
      <c r="F148" s="1008">
        <v>60.7</v>
      </c>
      <c r="G148" s="1008">
        <v>6.7000000000000004E-2</v>
      </c>
      <c r="H148" s="1008">
        <v>1.0000000000000001E-5</v>
      </c>
      <c r="I148" s="1008">
        <v>4590</v>
      </c>
      <c r="J148" s="900">
        <v>23</v>
      </c>
      <c r="K148" s="1008">
        <v>8.1999999999999998E-4</v>
      </c>
      <c r="L148" s="1008">
        <v>3.4000000000000002E-2</v>
      </c>
      <c r="M148" s="1009">
        <v>1</v>
      </c>
      <c r="N148" s="1010"/>
      <c r="O148" s="1001">
        <v>2.2389860131009999E-2</v>
      </c>
      <c r="P148" s="1001">
        <v>0.58741461764628999</v>
      </c>
      <c r="Q148" s="1001">
        <v>1.4097950823510901</v>
      </c>
      <c r="R148" s="1174">
        <v>5.0400000000000002E-3</v>
      </c>
      <c r="S148" s="1011">
        <v>5.7000000000000002E-2</v>
      </c>
      <c r="T148" s="1011">
        <v>1.5999999999999999E-5</v>
      </c>
      <c r="U148" s="1011">
        <v>4.0000000000000001E-3</v>
      </c>
      <c r="V148" s="720">
        <v>4.0000000000000001E-3</v>
      </c>
      <c r="W148" s="1004">
        <v>2.0000000000000001E-4</v>
      </c>
      <c r="X148" s="1005"/>
      <c r="AD148" s="1005"/>
    </row>
    <row r="149" spans="1:30" ht="11.25" customHeight="1">
      <c r="A149" s="458" t="s">
        <v>478</v>
      </c>
      <c r="B149" s="570" t="s">
        <v>651</v>
      </c>
      <c r="C149" s="1019" t="s">
        <v>652</v>
      </c>
      <c r="D149" s="1020">
        <v>131</v>
      </c>
      <c r="E149" s="1007">
        <v>131.38999999999999</v>
      </c>
      <c r="F149" s="1008">
        <v>60.7</v>
      </c>
      <c r="G149" s="1008">
        <v>6.9000000000000006E-2</v>
      </c>
      <c r="H149" s="1008">
        <v>1.0000000000000001E-5</v>
      </c>
      <c r="I149" s="1008">
        <v>1280</v>
      </c>
      <c r="J149" s="900">
        <v>69</v>
      </c>
      <c r="K149" s="1008">
        <v>9.9000000000000008E-3</v>
      </c>
      <c r="L149" s="1008">
        <v>0.4</v>
      </c>
      <c r="M149" s="1009">
        <v>1</v>
      </c>
      <c r="N149" s="1010"/>
      <c r="O149" s="1001">
        <v>5.1140597474600001E-2</v>
      </c>
      <c r="P149" s="1001">
        <v>0.57231186493427</v>
      </c>
      <c r="Q149" s="1001">
        <v>1.37354847584226</v>
      </c>
      <c r="R149" s="1174">
        <v>1.1599999999999999E-2</v>
      </c>
      <c r="S149" s="1011">
        <v>4.5999999999999999E-2</v>
      </c>
      <c r="T149" s="1011">
        <v>4.0999999999999997E-6</v>
      </c>
      <c r="U149" s="1011">
        <v>5.0000000000000001E-4</v>
      </c>
      <c r="V149" s="720">
        <v>5.0000000000000001E-4</v>
      </c>
      <c r="W149" s="1004">
        <v>2E-3</v>
      </c>
      <c r="X149" s="1005"/>
      <c r="AD149" s="1005"/>
    </row>
    <row r="150" spans="1:30" ht="11.25" customHeight="1">
      <c r="A150" s="458" t="s">
        <v>479</v>
      </c>
      <c r="B150" s="570" t="s">
        <v>653</v>
      </c>
      <c r="C150" s="1019" t="s">
        <v>638</v>
      </c>
      <c r="D150" s="1020">
        <v>198</v>
      </c>
      <c r="E150" s="1007">
        <v>197.45</v>
      </c>
      <c r="F150" s="1008">
        <v>1597</v>
      </c>
      <c r="G150" s="1008">
        <v>3.1E-2</v>
      </c>
      <c r="H150" s="1008">
        <v>8.1000000000000004E-6</v>
      </c>
      <c r="I150" s="1008">
        <v>1200</v>
      </c>
      <c r="J150" s="900">
        <v>7.4999999999999997E-3</v>
      </c>
      <c r="K150" s="1008">
        <v>1.5999999999999999E-6</v>
      </c>
      <c r="L150" s="1008">
        <v>6.6000000000000005E-5</v>
      </c>
      <c r="M150" s="1009">
        <v>1</v>
      </c>
      <c r="N150" s="1010">
        <v>0.1</v>
      </c>
      <c r="O150" s="1001">
        <v>0.19564276480390999</v>
      </c>
      <c r="P150" s="1001">
        <v>1.34143226979738</v>
      </c>
      <c r="Q150" s="1001">
        <v>3.21943744751372</v>
      </c>
      <c r="R150" s="1174">
        <v>3.6200000000000003E-2</v>
      </c>
      <c r="S150" s="1011"/>
      <c r="T150" s="1011"/>
      <c r="U150" s="1011">
        <v>0.1</v>
      </c>
      <c r="V150" s="720">
        <v>0.1</v>
      </c>
      <c r="W150" s="1004">
        <v>0.35</v>
      </c>
      <c r="X150" s="1005"/>
      <c r="AD150" s="1005"/>
    </row>
    <row r="151" spans="1:30" ht="11.25" customHeight="1">
      <c r="A151" s="458" t="s">
        <v>480</v>
      </c>
      <c r="B151" s="570" t="s">
        <v>653</v>
      </c>
      <c r="C151" s="1019" t="s">
        <v>638</v>
      </c>
      <c r="D151" s="1020">
        <v>198</v>
      </c>
      <c r="E151" s="1007">
        <v>197.45</v>
      </c>
      <c r="F151" s="1008">
        <v>381</v>
      </c>
      <c r="G151" s="1008">
        <v>3.1E-2</v>
      </c>
      <c r="H151" s="1008">
        <v>8.1000000000000004E-6</v>
      </c>
      <c r="I151" s="1008">
        <v>800</v>
      </c>
      <c r="J151" s="900">
        <v>8.0000000000000002E-3</v>
      </c>
      <c r="K151" s="1008">
        <v>2.6000000000000001E-6</v>
      </c>
      <c r="L151" s="1008">
        <v>1.1E-4</v>
      </c>
      <c r="M151" s="1009">
        <v>1</v>
      </c>
      <c r="N151" s="1010">
        <v>0.1</v>
      </c>
      <c r="O151" s="1001">
        <v>0.18699557077942999</v>
      </c>
      <c r="P151" s="1001">
        <v>1.34143226979738</v>
      </c>
      <c r="Q151" s="1001">
        <v>3.21943744751372</v>
      </c>
      <c r="R151" s="1174">
        <v>3.4599999999999999E-2</v>
      </c>
      <c r="S151" s="1011">
        <v>1.0999999999999999E-2</v>
      </c>
      <c r="T151" s="1011">
        <v>3.1E-6</v>
      </c>
      <c r="U151" s="1011">
        <v>1E-3</v>
      </c>
      <c r="V151" s="720">
        <v>1E-3</v>
      </c>
      <c r="W151" s="1017"/>
      <c r="X151" s="1005"/>
      <c r="AD151" s="1005"/>
    </row>
    <row r="152" spans="1:30" ht="11.25" customHeight="1">
      <c r="A152" s="462" t="s">
        <v>117</v>
      </c>
      <c r="B152" s="570" t="s">
        <v>653</v>
      </c>
      <c r="C152" s="1019" t="s">
        <v>638</v>
      </c>
      <c r="D152" s="1020">
        <v>255</v>
      </c>
      <c r="E152" s="1007">
        <v>255.49</v>
      </c>
      <c r="F152" s="1008">
        <v>107</v>
      </c>
      <c r="G152" s="1008">
        <v>2.9000000000000001E-2</v>
      </c>
      <c r="H152" s="1008">
        <v>7.7999999999999999E-6</v>
      </c>
      <c r="I152" s="1008">
        <v>278</v>
      </c>
      <c r="J152" s="900">
        <v>3.8000000000000002E-5</v>
      </c>
      <c r="K152" s="1008">
        <v>8.7000000000000001E-9</v>
      </c>
      <c r="L152" s="1008">
        <v>3.4999999999999998E-7</v>
      </c>
      <c r="M152" s="1009">
        <v>1</v>
      </c>
      <c r="N152" s="1010">
        <v>0.1</v>
      </c>
      <c r="O152" s="1001">
        <v>5.619009947222E-2</v>
      </c>
      <c r="P152" s="1001">
        <v>2.8352590777776498</v>
      </c>
      <c r="Q152" s="1001">
        <v>6.8046217866663703</v>
      </c>
      <c r="R152" s="1174">
        <v>9.1400000000000006E-3</v>
      </c>
      <c r="S152" s="1011"/>
      <c r="T152" s="1011"/>
      <c r="U152" s="1011">
        <v>0.01</v>
      </c>
      <c r="V152" s="720">
        <v>0.01</v>
      </c>
      <c r="W152" s="1017"/>
      <c r="X152" s="1005"/>
      <c r="AD152" s="1005"/>
    </row>
    <row r="153" spans="1:30" ht="11.25" customHeight="1">
      <c r="A153" s="458" t="s">
        <v>118</v>
      </c>
      <c r="B153" s="570" t="s">
        <v>653</v>
      </c>
      <c r="C153" s="1019" t="s">
        <v>638</v>
      </c>
      <c r="D153" s="1020">
        <v>270</v>
      </c>
      <c r="E153" s="1007">
        <v>269.51</v>
      </c>
      <c r="F153" s="1008">
        <v>175.3</v>
      </c>
      <c r="G153" s="1008">
        <v>2.3E-2</v>
      </c>
      <c r="H153" s="1008">
        <v>5.9000000000000003E-6</v>
      </c>
      <c r="I153" s="1008">
        <v>71</v>
      </c>
      <c r="J153" s="900">
        <v>1.0000000000000001E-5</v>
      </c>
      <c r="K153" s="1008">
        <v>9.1000000000000004E-9</v>
      </c>
      <c r="L153" s="1008">
        <v>3.7E-7</v>
      </c>
      <c r="M153" s="1009">
        <v>1</v>
      </c>
      <c r="N153" s="1010">
        <v>0.1</v>
      </c>
      <c r="O153" s="1001">
        <v>0.10165762755271</v>
      </c>
      <c r="P153" s="1001">
        <v>3.39707198355448</v>
      </c>
      <c r="Q153" s="1001">
        <v>8.1529727605307496</v>
      </c>
      <c r="R153" s="1174">
        <v>1.61E-2</v>
      </c>
      <c r="S153" s="1011"/>
      <c r="T153" s="1011"/>
      <c r="U153" s="1011">
        <v>8.0000000000000002E-3</v>
      </c>
      <c r="V153" s="720">
        <v>8.0000000000000002E-3</v>
      </c>
      <c r="W153" s="1017"/>
      <c r="X153" s="1005"/>
      <c r="AD153" s="1005"/>
    </row>
    <row r="154" spans="1:30" ht="11.25" customHeight="1">
      <c r="A154" s="458" t="s">
        <v>119</v>
      </c>
      <c r="B154" s="570" t="s">
        <v>651</v>
      </c>
      <c r="C154" s="1019" t="s">
        <v>652</v>
      </c>
      <c r="D154" s="1020">
        <v>147</v>
      </c>
      <c r="E154" s="1007">
        <v>147.43</v>
      </c>
      <c r="F154" s="1008">
        <v>115.8</v>
      </c>
      <c r="G154" s="1008">
        <v>5.7000000000000002E-2</v>
      </c>
      <c r="H154" s="1008">
        <v>9.2E-6</v>
      </c>
      <c r="I154" s="1008">
        <v>1750</v>
      </c>
      <c r="J154" s="900">
        <v>3.69</v>
      </c>
      <c r="K154" s="1008">
        <v>3.4000000000000002E-4</v>
      </c>
      <c r="L154" s="1008">
        <v>1.4E-2</v>
      </c>
      <c r="M154" s="1009">
        <v>1</v>
      </c>
      <c r="N154" s="1010"/>
      <c r="O154" s="1001">
        <v>3.5118618673219998E-2</v>
      </c>
      <c r="P154" s="1001">
        <v>0.70381213342263005</v>
      </c>
      <c r="Q154" s="1001">
        <v>1.6891491202143201</v>
      </c>
      <c r="R154" s="1174">
        <v>7.5199999999999998E-3</v>
      </c>
      <c r="S154" s="1011">
        <v>30</v>
      </c>
      <c r="T154" s="1011"/>
      <c r="U154" s="1011">
        <v>4.0000000000000001E-3</v>
      </c>
      <c r="V154" s="720">
        <v>4.0000000000000001E-3</v>
      </c>
      <c r="W154" s="1004">
        <v>2.9999999999999997E-4</v>
      </c>
      <c r="X154" s="1005"/>
      <c r="AD154" s="1005"/>
    </row>
    <row r="155" spans="1:30" ht="11.25" customHeight="1">
      <c r="A155" s="458" t="s">
        <v>120</v>
      </c>
      <c r="B155" s="570" t="s">
        <v>651</v>
      </c>
      <c r="C155" s="1019" t="s">
        <v>652</v>
      </c>
      <c r="D155" s="1020">
        <v>145</v>
      </c>
      <c r="E155" s="1007">
        <v>145</v>
      </c>
      <c r="F155" s="1008">
        <v>115.8</v>
      </c>
      <c r="G155" s="1008">
        <v>5.8999999999999997E-2</v>
      </c>
      <c r="H155" s="1008">
        <v>9.3999999999999998E-6</v>
      </c>
      <c r="I155" s="1008">
        <v>334.2</v>
      </c>
      <c r="J155" s="900">
        <v>4.4000000000000004</v>
      </c>
      <c r="K155" s="1008">
        <v>1.7999999999999999E-2</v>
      </c>
      <c r="L155" s="1008">
        <v>0.72</v>
      </c>
      <c r="M155" s="1009">
        <v>1</v>
      </c>
      <c r="N155" s="1010"/>
      <c r="O155" s="1001">
        <v>7.8383639874660002E-2</v>
      </c>
      <c r="P155" s="1001">
        <v>0.68580516188263996</v>
      </c>
      <c r="Q155" s="1001">
        <v>1.6459323885183399</v>
      </c>
      <c r="R155" s="1174">
        <v>1.6899999999999998E-2</v>
      </c>
      <c r="S155" s="1011"/>
      <c r="T155" s="1011"/>
      <c r="U155" s="1011">
        <v>3.0000000000000001E-3</v>
      </c>
      <c r="V155" s="720">
        <v>3.0000000000000001E-3</v>
      </c>
      <c r="W155" s="1004">
        <v>2.9999999999999997E-4</v>
      </c>
      <c r="X155" s="1005"/>
      <c r="AD155" s="1005"/>
    </row>
    <row r="156" spans="1:30" ht="11.25" customHeight="1">
      <c r="A156" s="458" t="s">
        <v>602</v>
      </c>
      <c r="B156" s="570" t="s">
        <v>1405</v>
      </c>
      <c r="C156" s="1019" t="s">
        <v>638</v>
      </c>
      <c r="D156" s="1020">
        <v>335</v>
      </c>
      <c r="E156" s="1007">
        <v>335.29</v>
      </c>
      <c r="F156" s="1008">
        <v>16390</v>
      </c>
      <c r="G156" s="1008">
        <v>2.1999999999999999E-2</v>
      </c>
      <c r="H156" s="1008">
        <v>5.5999999999999997E-6</v>
      </c>
      <c r="I156" s="1008">
        <v>0.18</v>
      </c>
      <c r="J156" s="900">
        <v>4.6E-5</v>
      </c>
      <c r="K156" s="1008">
        <v>1E-4</v>
      </c>
      <c r="L156" s="1008">
        <v>4.1999999999999997E-3</v>
      </c>
      <c r="M156" s="1009">
        <v>1</v>
      </c>
      <c r="N156" s="1010"/>
      <c r="O156" s="1001">
        <v>0.51270591960694001</v>
      </c>
      <c r="P156" s="1001">
        <v>7.9336447450844201</v>
      </c>
      <c r="Q156" s="1001">
        <v>19.0407473882026</v>
      </c>
      <c r="R156" s="1174">
        <v>7.2800000000000004E-2</v>
      </c>
      <c r="S156" s="1011">
        <v>7.7000000000000002E-3</v>
      </c>
      <c r="T156" s="1011"/>
      <c r="U156" s="1011">
        <v>7.4999999999999997E-3</v>
      </c>
      <c r="V156" s="720">
        <v>7.4999999999999997E-3</v>
      </c>
      <c r="W156" s="1017"/>
      <c r="X156" s="1005"/>
      <c r="AD156" s="1005"/>
    </row>
    <row r="157" spans="1:30" ht="11.25" customHeight="1">
      <c r="A157" s="458" t="s">
        <v>939</v>
      </c>
      <c r="B157" s="570" t="s">
        <v>653</v>
      </c>
      <c r="C157" s="1019" t="s">
        <v>638</v>
      </c>
      <c r="D157" s="1020">
        <v>213</v>
      </c>
      <c r="E157" s="1007">
        <v>213.11</v>
      </c>
      <c r="F157" s="1008">
        <v>1683</v>
      </c>
      <c r="G157" s="1008">
        <v>2.9000000000000001E-2</v>
      </c>
      <c r="H157" s="1008">
        <v>7.7000000000000008E-6</v>
      </c>
      <c r="I157" s="1008">
        <v>278</v>
      </c>
      <c r="J157" s="900">
        <v>6.3999999999999997E-6</v>
      </c>
      <c r="K157" s="1008">
        <v>6.5000000000000003E-9</v>
      </c>
      <c r="L157" s="1008">
        <v>2.7000000000000001E-7</v>
      </c>
      <c r="M157" s="1009">
        <v>1</v>
      </c>
      <c r="N157" s="1010">
        <v>1.9E-2</v>
      </c>
      <c r="O157" s="1001">
        <v>0.26186079740758</v>
      </c>
      <c r="P157" s="1001">
        <v>0.49541454114276001</v>
      </c>
      <c r="Q157" s="1001">
        <v>1.18899489874263</v>
      </c>
      <c r="R157" s="1174">
        <v>6.2100000000000002E-2</v>
      </c>
      <c r="S157" s="1011"/>
      <c r="T157" s="1011"/>
      <c r="U157" s="1011">
        <v>0.03</v>
      </c>
      <c r="V157" s="720">
        <v>0.03</v>
      </c>
      <c r="W157" s="1017"/>
      <c r="X157" s="1005"/>
      <c r="AD157" s="1005"/>
    </row>
    <row r="158" spans="1:30" ht="11.25" customHeight="1">
      <c r="A158" s="458" t="s">
        <v>603</v>
      </c>
      <c r="B158" s="570" t="s">
        <v>653</v>
      </c>
      <c r="C158" s="1019" t="s">
        <v>638</v>
      </c>
      <c r="D158" s="1020">
        <v>287</v>
      </c>
      <c r="E158" s="1007">
        <v>287.14999999999998</v>
      </c>
      <c r="F158" s="1008">
        <v>4605</v>
      </c>
      <c r="G158" s="1008">
        <v>2.5999999999999999E-2</v>
      </c>
      <c r="H158" s="1008">
        <v>6.7000000000000002E-6</v>
      </c>
      <c r="I158" s="1008">
        <v>74</v>
      </c>
      <c r="J158" s="900">
        <v>5.7000000000000001E-8</v>
      </c>
      <c r="K158" s="1008">
        <v>2.7000000000000002E-9</v>
      </c>
      <c r="L158" s="1008">
        <v>1.1000000000000001E-7</v>
      </c>
      <c r="M158" s="1009">
        <v>1</v>
      </c>
      <c r="N158" s="1010">
        <v>6.4999999999999997E-4</v>
      </c>
      <c r="O158" s="1001">
        <v>3.0892951600299998E-3</v>
      </c>
      <c r="P158" s="1001">
        <v>4.2647025870452699</v>
      </c>
      <c r="Q158" s="1001">
        <v>10.235286208908599</v>
      </c>
      <c r="R158" s="1174">
        <v>4.7399999999999997E-4</v>
      </c>
      <c r="S158" s="1011"/>
      <c r="T158" s="1011"/>
      <c r="U158" s="1011">
        <v>2E-3</v>
      </c>
      <c r="V158" s="720">
        <v>2E-3</v>
      </c>
      <c r="W158" s="1014" t="s">
        <v>954</v>
      </c>
      <c r="X158" s="1005"/>
      <c r="AD158" s="1005"/>
    </row>
    <row r="159" spans="1:30" ht="11.25" customHeight="1">
      <c r="A159" s="458" t="s">
        <v>605</v>
      </c>
      <c r="B159" s="570" t="s">
        <v>653</v>
      </c>
      <c r="C159" s="1019" t="s">
        <v>638</v>
      </c>
      <c r="D159" s="1020">
        <v>227</v>
      </c>
      <c r="E159" s="1007">
        <v>227.13</v>
      </c>
      <c r="F159" s="1008">
        <v>2812</v>
      </c>
      <c r="G159" s="1008">
        <v>0.03</v>
      </c>
      <c r="H159" s="1008">
        <v>7.9000000000000006E-6</v>
      </c>
      <c r="I159" s="1008">
        <v>115</v>
      </c>
      <c r="J159" s="900">
        <v>7.9999999999999996E-6</v>
      </c>
      <c r="K159" s="1008">
        <v>2.0999999999999999E-8</v>
      </c>
      <c r="L159" s="1008">
        <v>8.5000000000000001E-7</v>
      </c>
      <c r="M159" s="1009">
        <v>1</v>
      </c>
      <c r="N159" s="1010">
        <v>3.2000000000000001E-2</v>
      </c>
      <c r="O159" s="1001">
        <v>5.5820045943600002E-3</v>
      </c>
      <c r="P159" s="1001">
        <v>1.96687495180828</v>
      </c>
      <c r="Q159" s="1001">
        <v>4.7204998843398798</v>
      </c>
      <c r="R159" s="1174">
        <v>9.6299999999999999E-4</v>
      </c>
      <c r="S159" s="1011">
        <v>0.03</v>
      </c>
      <c r="T159" s="1011"/>
      <c r="U159" s="1011">
        <v>5.0000000000000001E-4</v>
      </c>
      <c r="V159" s="720">
        <v>5.0000000000000001E-4</v>
      </c>
      <c r="W159" s="1017"/>
      <c r="X159" s="1005"/>
      <c r="AD159" s="1005"/>
    </row>
    <row r="160" spans="1:30" ht="11.25" customHeight="1">
      <c r="A160" s="458" t="s">
        <v>481</v>
      </c>
      <c r="B160" s="570" t="s">
        <v>653</v>
      </c>
      <c r="C160" s="1019" t="s">
        <v>638</v>
      </c>
      <c r="D160" s="1020">
        <v>51</v>
      </c>
      <c r="E160" s="1007">
        <v>50.94</v>
      </c>
      <c r="F160" s="1008"/>
      <c r="G160" s="1008"/>
      <c r="H160" s="1008"/>
      <c r="I160" s="1008"/>
      <c r="J160" s="1008"/>
      <c r="K160" s="1008"/>
      <c r="L160" s="1008"/>
      <c r="M160" s="1010">
        <v>2.5999999999999999E-2</v>
      </c>
      <c r="N160" s="1010"/>
      <c r="O160" s="1001">
        <v>2.7450870584699999E-3</v>
      </c>
      <c r="P160" s="1001">
        <v>0.20282092058974999</v>
      </c>
      <c r="Q160" s="1001">
        <v>0.48677020941540999</v>
      </c>
      <c r="R160" s="1174">
        <v>1E-3</v>
      </c>
      <c r="S160" s="1011"/>
      <c r="T160" s="1011"/>
      <c r="U160" s="1011">
        <v>5.0000000000000001E-3</v>
      </c>
      <c r="V160" s="720">
        <v>5.0000000000000001E-3</v>
      </c>
      <c r="W160" s="1004">
        <v>1E-4</v>
      </c>
      <c r="X160" s="1005"/>
      <c r="AD160" s="1005"/>
    </row>
    <row r="161" spans="1:30" ht="11.25" customHeight="1">
      <c r="A161" s="458" t="s">
        <v>482</v>
      </c>
      <c r="B161" s="570" t="s">
        <v>651</v>
      </c>
      <c r="C161" s="1019" t="s">
        <v>21</v>
      </c>
      <c r="D161" s="1020">
        <v>63</v>
      </c>
      <c r="E161" s="1007">
        <v>62.5</v>
      </c>
      <c r="F161" s="1008">
        <v>21.73</v>
      </c>
      <c r="G161" s="1008">
        <v>0.11</v>
      </c>
      <c r="H161" s="1008">
        <v>1.2E-5</v>
      </c>
      <c r="I161" s="1008">
        <v>8800</v>
      </c>
      <c r="J161" s="900">
        <v>2980</v>
      </c>
      <c r="K161" s="1008">
        <v>2.8000000000000001E-2</v>
      </c>
      <c r="L161" s="1008">
        <v>1.1000000000000001</v>
      </c>
      <c r="M161" s="1009">
        <v>1</v>
      </c>
      <c r="N161" s="1010"/>
      <c r="O161" s="1001">
        <v>2.548045653103E-2</v>
      </c>
      <c r="P161" s="1001">
        <v>0.23541988846799999</v>
      </c>
      <c r="Q161" s="1001">
        <v>0.56500773232319002</v>
      </c>
      <c r="R161" s="1174">
        <v>8.3800000000000003E-3</v>
      </c>
      <c r="S161" s="1011">
        <v>0.72</v>
      </c>
      <c r="T161" s="1011">
        <v>4.4000000000000002E-6</v>
      </c>
      <c r="U161" s="1011">
        <v>3.0000000000000001E-3</v>
      </c>
      <c r="V161" s="720">
        <v>3.0000000000000001E-3</v>
      </c>
      <c r="W161" s="1004">
        <v>0.1</v>
      </c>
      <c r="X161" s="1005"/>
      <c r="AD161" s="1005"/>
    </row>
    <row r="162" spans="1:30" ht="11.25" customHeight="1">
      <c r="A162" s="458" t="s">
        <v>483</v>
      </c>
      <c r="B162" s="570" t="s">
        <v>651</v>
      </c>
      <c r="C162" s="1019" t="s">
        <v>652</v>
      </c>
      <c r="D162" s="1020">
        <v>106</v>
      </c>
      <c r="E162" s="1007">
        <v>106.17</v>
      </c>
      <c r="F162" s="1008">
        <v>382.9</v>
      </c>
      <c r="G162" s="1008">
        <v>6.9000000000000006E-2</v>
      </c>
      <c r="H162" s="1008">
        <v>8.4999999999999999E-6</v>
      </c>
      <c r="I162" s="1008">
        <v>106</v>
      </c>
      <c r="J162" s="900">
        <v>8</v>
      </c>
      <c r="K162" s="1008">
        <v>6.6E-3</v>
      </c>
      <c r="L162" s="1008">
        <v>0.27</v>
      </c>
      <c r="M162" s="1009">
        <v>1</v>
      </c>
      <c r="N162" s="1010"/>
      <c r="O162" s="1001">
        <v>0.21083329346460999</v>
      </c>
      <c r="P162" s="1001">
        <v>0.41342882164758998</v>
      </c>
      <c r="Q162" s="1001">
        <v>0.99222917195421001</v>
      </c>
      <c r="R162" s="1174">
        <v>5.3199999999999997E-2</v>
      </c>
      <c r="S162" s="1011"/>
      <c r="T162" s="1011"/>
      <c r="U162" s="1011">
        <v>2</v>
      </c>
      <c r="V162" s="720">
        <v>2</v>
      </c>
      <c r="W162" s="1004">
        <v>0.1</v>
      </c>
      <c r="X162" s="1005"/>
      <c r="AD162" s="1005"/>
    </row>
    <row r="163" spans="1:30" ht="11.25" customHeight="1" thickBot="1">
      <c r="A163" s="516" t="s">
        <v>484</v>
      </c>
      <c r="B163" s="570" t="s">
        <v>653</v>
      </c>
      <c r="C163" s="1028" t="s">
        <v>638</v>
      </c>
      <c r="D163" s="1029">
        <v>67</v>
      </c>
      <c r="E163" s="1030">
        <v>67.41</v>
      </c>
      <c r="F163" s="1031"/>
      <c r="G163" s="1031"/>
      <c r="H163" s="1031"/>
      <c r="I163" s="1031"/>
      <c r="J163" s="903"/>
      <c r="K163" s="1031"/>
      <c r="L163" s="1031"/>
      <c r="M163" s="1032">
        <v>1</v>
      </c>
      <c r="N163" s="1033"/>
      <c r="O163" s="1034">
        <v>1.8658088336000001E-3</v>
      </c>
      <c r="P163" s="1034">
        <v>0.24429847143290001</v>
      </c>
      <c r="Q163" s="1034">
        <v>0.58631633143895001</v>
      </c>
      <c r="R163" s="1175">
        <v>5.9999999999999995E-4</v>
      </c>
      <c r="S163" s="1035"/>
      <c r="T163" s="1035"/>
      <c r="U163" s="1035">
        <v>0.3</v>
      </c>
      <c r="V163" s="722">
        <v>0.3</v>
      </c>
      <c r="W163" s="1036"/>
      <c r="X163" s="1005"/>
      <c r="AD163" s="1005"/>
    </row>
    <row r="164" spans="1:30" s="417" customFormat="1" ht="11.25" customHeight="1" thickTop="1">
      <c r="A164" s="526" t="s">
        <v>13</v>
      </c>
      <c r="B164" s="921"/>
      <c r="C164" s="921"/>
      <c r="D164" s="1037"/>
      <c r="E164" s="1037"/>
      <c r="F164" s="1038"/>
      <c r="G164" s="1038"/>
      <c r="H164" s="1038"/>
      <c r="I164" s="1038"/>
      <c r="J164" s="1038"/>
      <c r="K164" s="1038"/>
      <c r="L164" s="1038"/>
      <c r="M164" s="1038"/>
      <c r="N164" s="1039"/>
      <c r="O164" s="1039"/>
      <c r="P164" s="1039"/>
      <c r="Q164" s="1039"/>
      <c r="R164" s="1039"/>
      <c r="S164" s="1039"/>
      <c r="T164" s="1040"/>
      <c r="U164" s="1040"/>
      <c r="V164" s="1040"/>
      <c r="W164" s="1041"/>
      <c r="X164" s="922"/>
    </row>
    <row r="165" spans="1:30" s="417" customFormat="1" ht="11.25" customHeight="1">
      <c r="A165" s="474" t="s">
        <v>1344</v>
      </c>
      <c r="B165" s="510"/>
      <c r="C165" s="510"/>
      <c r="D165" s="606"/>
      <c r="E165" s="606"/>
      <c r="F165" s="1042"/>
      <c r="G165" s="1042"/>
      <c r="H165" s="1043"/>
      <c r="I165" s="1042"/>
      <c r="K165" s="1042"/>
      <c r="L165" s="1042"/>
      <c r="M165" s="1042"/>
      <c r="N165" s="1042"/>
      <c r="O165" s="1042"/>
      <c r="P165" s="1042"/>
      <c r="Q165" s="1042"/>
      <c r="R165" s="1042"/>
      <c r="S165" s="1042"/>
      <c r="T165" s="1042"/>
      <c r="U165" s="1042"/>
      <c r="V165" s="1042"/>
      <c r="W165" s="1044"/>
      <c r="X165" s="922"/>
    </row>
    <row r="166" spans="1:30" s="417" customFormat="1" ht="11.25" customHeight="1">
      <c r="A166" s="479" t="s">
        <v>1345</v>
      </c>
      <c r="B166" s="510"/>
      <c r="C166" s="510"/>
      <c r="D166" s="606"/>
      <c r="E166" s="606"/>
      <c r="F166" s="1042"/>
      <c r="G166" s="1042"/>
      <c r="H166" s="1042"/>
      <c r="I166" s="1042"/>
      <c r="J166" s="1042"/>
      <c r="K166" s="1042"/>
      <c r="L166" s="1042"/>
      <c r="M166" s="1042"/>
      <c r="N166" s="1042"/>
      <c r="O166" s="1042"/>
      <c r="P166" s="1042"/>
      <c r="Q166" s="1042"/>
      <c r="R166" s="1042"/>
      <c r="S166" s="1042"/>
      <c r="T166" s="1042"/>
      <c r="U166" s="1042"/>
      <c r="V166" s="1042"/>
      <c r="W166" s="1044"/>
      <c r="X166" s="922"/>
    </row>
    <row r="167" spans="1:30" s="417" customFormat="1" ht="25.5" customHeight="1">
      <c r="A167" s="1472" t="s">
        <v>1402</v>
      </c>
      <c r="B167" s="1181"/>
      <c r="C167" s="1181"/>
      <c r="D167" s="1181"/>
      <c r="E167" s="1181"/>
      <c r="F167" s="1181"/>
      <c r="G167" s="1181"/>
      <c r="H167" s="1181"/>
      <c r="I167" s="1181"/>
      <c r="J167" s="1181"/>
      <c r="K167" s="1181"/>
      <c r="L167" s="1181"/>
      <c r="M167" s="1181"/>
      <c r="N167" s="1181"/>
      <c r="O167" s="1181"/>
      <c r="P167" s="1181"/>
      <c r="Q167" s="1181"/>
      <c r="R167" s="1181"/>
      <c r="S167" s="1181"/>
      <c r="T167" s="1181"/>
      <c r="U167" s="1181"/>
      <c r="V167" s="1181"/>
      <c r="W167" s="1387"/>
      <c r="X167"/>
    </row>
    <row r="168" spans="1:30" s="417" customFormat="1" ht="36.75" customHeight="1">
      <c r="A168" s="1470" t="s">
        <v>1346</v>
      </c>
      <c r="B168" s="1398"/>
      <c r="C168" s="1398"/>
      <c r="D168" s="1398"/>
      <c r="E168" s="1398"/>
      <c r="F168" s="1398"/>
      <c r="G168" s="1398"/>
      <c r="H168" s="1398"/>
      <c r="I168" s="1398"/>
      <c r="J168" s="1398"/>
      <c r="K168" s="1398"/>
      <c r="L168" s="1398"/>
      <c r="M168" s="1398"/>
      <c r="N168" s="1398"/>
      <c r="O168" s="1398"/>
      <c r="P168" s="1398"/>
      <c r="Q168" s="1398"/>
      <c r="R168" s="1398"/>
      <c r="S168" s="1398"/>
      <c r="T168" s="1398"/>
      <c r="U168" s="1398"/>
      <c r="V168" s="1398"/>
      <c r="W168" s="1471"/>
      <c r="X168" s="1043"/>
    </row>
    <row r="169" spans="1:30" s="417" customFormat="1" ht="11.25" customHeight="1">
      <c r="A169" s="479"/>
      <c r="W169" s="1046"/>
    </row>
    <row r="170" spans="1:30" s="417" customFormat="1" ht="11.25" customHeight="1">
      <c r="A170" s="1047" t="s">
        <v>14</v>
      </c>
      <c r="B170" s="439"/>
      <c r="C170" s="439"/>
      <c r="D170" s="439"/>
      <c r="E170" s="439"/>
      <c r="F170" s="439"/>
      <c r="G170" s="439"/>
      <c r="H170" s="439"/>
      <c r="I170" s="439"/>
      <c r="J170" s="439"/>
      <c r="K170" s="439"/>
      <c r="L170" s="439"/>
      <c r="M170" s="439"/>
      <c r="N170" s="439"/>
      <c r="O170" s="439"/>
      <c r="P170" s="439"/>
      <c r="Q170" s="439"/>
      <c r="R170" s="439"/>
      <c r="S170" s="439"/>
      <c r="T170" s="439"/>
      <c r="U170" s="439"/>
      <c r="V170" s="439"/>
      <c r="W170" s="848"/>
      <c r="X170" s="439"/>
    </row>
    <row r="171" spans="1:30" s="417" customFormat="1" ht="11.25" customHeight="1">
      <c r="A171" s="1048" t="s">
        <v>1389</v>
      </c>
      <c r="B171" s="439"/>
      <c r="C171" s="439"/>
      <c r="D171" s="439"/>
      <c r="E171" s="439"/>
      <c r="F171" s="439"/>
      <c r="G171" s="439"/>
      <c r="H171" s="439"/>
      <c r="I171" s="439"/>
      <c r="J171" s="439"/>
      <c r="K171" s="439"/>
      <c r="L171" s="439"/>
      <c r="M171" s="439"/>
      <c r="N171" s="439"/>
      <c r="O171" s="439"/>
      <c r="P171" s="439"/>
      <c r="Q171" s="439"/>
      <c r="R171" s="439"/>
      <c r="S171" s="439"/>
      <c r="T171" s="439"/>
      <c r="U171" s="439"/>
      <c r="V171" s="439"/>
      <c r="W171" s="848"/>
      <c r="X171" s="439"/>
    </row>
    <row r="172" spans="1:30" s="417" customFormat="1" ht="12.75">
      <c r="A172" s="4" t="s">
        <v>1347</v>
      </c>
      <c r="B172" s="3"/>
      <c r="C172" s="3"/>
      <c r="D172" s="1049"/>
      <c r="E172" s="1050"/>
      <c r="F172" s="3"/>
      <c r="G172" s="3"/>
      <c r="H172" s="3"/>
      <c r="I172" s="3"/>
      <c r="J172" s="439"/>
      <c r="K172" s="3"/>
      <c r="L172" s="3"/>
      <c r="M172" s="3"/>
      <c r="N172" s="1051"/>
      <c r="O172" s="1051"/>
      <c r="P172" s="1051"/>
      <c r="Q172" s="1051"/>
      <c r="R172" s="1051"/>
      <c r="S172" s="1051"/>
      <c r="T172" s="961"/>
      <c r="U172" s="961"/>
      <c r="V172" s="961"/>
      <c r="W172" s="1052"/>
      <c r="X172" s="1043"/>
    </row>
    <row r="173" spans="1:30" s="417" customFormat="1" ht="12.75">
      <c r="A173" s="4" t="s">
        <v>1390</v>
      </c>
      <c r="B173" s="3"/>
      <c r="C173" s="3"/>
      <c r="D173" s="1049"/>
      <c r="E173" s="1050"/>
      <c r="F173" s="3"/>
      <c r="G173" s="3"/>
      <c r="H173" s="3"/>
      <c r="I173" s="3"/>
      <c r="J173" s="439"/>
      <c r="K173" s="3"/>
      <c r="L173" s="3"/>
      <c r="M173" s="3"/>
      <c r="N173" s="1051"/>
      <c r="O173" s="1051"/>
      <c r="P173" s="1051"/>
      <c r="Q173" s="1051"/>
      <c r="R173" s="1051"/>
      <c r="S173" s="1051"/>
      <c r="T173" s="961"/>
      <c r="U173" s="961"/>
      <c r="V173" s="961"/>
      <c r="W173" s="1052"/>
      <c r="X173" s="1043"/>
    </row>
    <row r="174" spans="1:30" s="417" customFormat="1" ht="12.75">
      <c r="A174" s="4" t="s">
        <v>1348</v>
      </c>
      <c r="B174" s="3"/>
      <c r="C174" s="3"/>
      <c r="D174" s="1049"/>
      <c r="E174" s="1050"/>
      <c r="F174" s="3"/>
      <c r="G174" s="3"/>
      <c r="H174" s="3"/>
      <c r="I174" s="3"/>
      <c r="J174" s="3"/>
      <c r="K174" s="3"/>
      <c r="L174" s="3"/>
      <c r="M174" s="3"/>
      <c r="N174" s="1051"/>
      <c r="O174" s="1051"/>
      <c r="P174" s="1051"/>
      <c r="Q174" s="1051"/>
      <c r="R174" s="1051"/>
      <c r="S174" s="1051"/>
      <c r="T174" s="961"/>
      <c r="U174" s="961"/>
      <c r="V174" s="961"/>
      <c r="W174" s="1052"/>
      <c r="X174" s="1043"/>
    </row>
    <row r="175" spans="1:30" s="417" customFormat="1" ht="12.75">
      <c r="A175" s="482" t="s">
        <v>1349</v>
      </c>
      <c r="B175" s="3"/>
      <c r="C175" s="3"/>
      <c r="D175" s="1049"/>
      <c r="E175" s="1050"/>
      <c r="F175" s="3"/>
      <c r="G175" s="3"/>
      <c r="H175" s="3"/>
      <c r="I175" s="3"/>
      <c r="J175" s="3"/>
      <c r="K175" s="3"/>
      <c r="L175" s="3"/>
      <c r="M175" s="3"/>
      <c r="N175" s="1051"/>
      <c r="O175" s="1051"/>
      <c r="P175" s="1051"/>
      <c r="Q175" s="1051"/>
      <c r="R175" s="1051"/>
      <c r="S175" s="1051"/>
      <c r="T175" s="961"/>
      <c r="U175" s="961"/>
      <c r="V175" s="961"/>
      <c r="W175" s="1052"/>
      <c r="X175" s="1043"/>
    </row>
    <row r="176" spans="1:30" s="417" customFormat="1" ht="11.25" customHeight="1">
      <c r="A176" s="479" t="s">
        <v>1071</v>
      </c>
      <c r="B176" s="510"/>
      <c r="C176" s="510"/>
      <c r="D176" s="957"/>
      <c r="E176" s="957"/>
      <c r="N176" s="1053"/>
      <c r="O176" s="1053"/>
      <c r="P176" s="1053"/>
      <c r="Q176" s="1053"/>
      <c r="R176" s="1053"/>
      <c r="S176" s="1053"/>
      <c r="T176" s="922"/>
      <c r="U176" s="922"/>
      <c r="V176" s="922"/>
      <c r="W176" s="1054"/>
      <c r="X176" s="922"/>
    </row>
    <row r="177" spans="1:24" s="417" customFormat="1" ht="12.75">
      <c r="A177" s="4" t="s">
        <v>1350</v>
      </c>
      <c r="B177" s="3"/>
      <c r="C177" s="3"/>
      <c r="D177" s="1049"/>
      <c r="E177" s="1050"/>
      <c r="F177" s="3"/>
      <c r="G177" s="3"/>
      <c r="H177" s="3"/>
      <c r="I177" s="3"/>
      <c r="J177" s="3"/>
      <c r="K177" s="3"/>
      <c r="L177" s="3"/>
      <c r="M177" s="3"/>
      <c r="N177" s="1051"/>
      <c r="O177" s="1051"/>
      <c r="P177" s="1051"/>
      <c r="Q177" s="1051"/>
      <c r="R177" s="1051"/>
      <c r="S177" s="1051"/>
      <c r="T177" s="961"/>
      <c r="U177" s="961"/>
      <c r="V177" s="961"/>
      <c r="W177" s="1052"/>
      <c r="X177" s="1043"/>
    </row>
    <row r="178" spans="1:24" s="417" customFormat="1" ht="12.75">
      <c r="A178" s="4" t="s">
        <v>1351</v>
      </c>
      <c r="B178" s="3"/>
      <c r="C178" s="3"/>
      <c r="D178" s="1049"/>
      <c r="E178" s="1050"/>
      <c r="F178" s="3"/>
      <c r="G178" s="3"/>
      <c r="H178" s="3"/>
      <c r="I178" s="3"/>
      <c r="J178" s="3"/>
      <c r="K178" s="3"/>
      <c r="L178" s="3"/>
      <c r="M178" s="3"/>
      <c r="N178" s="1051"/>
      <c r="O178" s="1051"/>
      <c r="P178" s="1051"/>
      <c r="Q178" s="1051"/>
      <c r="R178" s="1051"/>
      <c r="S178" s="1051"/>
      <c r="T178" s="961"/>
      <c r="U178" s="961"/>
      <c r="V178" s="961"/>
      <c r="W178" s="1052"/>
      <c r="X178" s="1043"/>
    </row>
    <row r="179" spans="1:24" s="417" customFormat="1" ht="12.75">
      <c r="A179" s="4" t="s">
        <v>1352</v>
      </c>
      <c r="B179" s="3"/>
      <c r="C179" s="3"/>
      <c r="D179" s="1049"/>
      <c r="E179" s="1050"/>
      <c r="F179" s="3"/>
      <c r="G179" s="3"/>
      <c r="H179" s="3"/>
      <c r="I179" s="3"/>
      <c r="J179" s="3"/>
      <c r="K179" s="3"/>
      <c r="L179" s="3"/>
      <c r="M179" s="3"/>
      <c r="N179" s="1051"/>
      <c r="O179" s="1051"/>
      <c r="P179" s="1051"/>
      <c r="Q179" s="1051"/>
      <c r="R179" s="1051"/>
      <c r="S179" s="1051"/>
      <c r="T179" s="961"/>
      <c r="U179" s="961"/>
      <c r="V179" s="961"/>
      <c r="W179" s="1052"/>
      <c r="X179" s="1043"/>
    </row>
    <row r="180" spans="1:24" s="417" customFormat="1" ht="12.75">
      <c r="A180" s="4" t="s">
        <v>2</v>
      </c>
      <c r="B180" s="3"/>
      <c r="C180" s="3"/>
      <c r="D180" s="1049"/>
      <c r="E180" s="1050"/>
      <c r="F180" s="3"/>
      <c r="G180" s="3"/>
      <c r="H180" s="3"/>
      <c r="I180" s="3"/>
      <c r="J180" s="3"/>
      <c r="K180" s="3"/>
      <c r="L180" s="3"/>
      <c r="M180" s="3"/>
      <c r="N180" s="1051"/>
      <c r="O180" s="1051"/>
      <c r="P180" s="1051"/>
      <c r="Q180" s="1051"/>
      <c r="R180" s="1051"/>
      <c r="S180" s="1051"/>
      <c r="T180" s="961"/>
      <c r="U180" s="961"/>
      <c r="V180" s="961"/>
      <c r="W180" s="1052"/>
      <c r="X180" s="1043"/>
    </row>
    <row r="181" spans="1:24" s="417" customFormat="1" ht="12.75">
      <c r="A181" s="4" t="s">
        <v>1391</v>
      </c>
      <c r="B181" s="3"/>
      <c r="C181" s="3"/>
      <c r="D181" s="1049"/>
      <c r="E181" s="1050"/>
      <c r="F181" s="3"/>
      <c r="G181" s="3"/>
      <c r="H181" s="3"/>
      <c r="I181" s="3"/>
      <c r="J181" s="3"/>
      <c r="K181" s="3"/>
      <c r="L181" s="3"/>
      <c r="M181" s="3"/>
      <c r="N181" s="1051"/>
      <c r="O181" s="1051"/>
      <c r="P181" s="1051"/>
      <c r="Q181" s="1051"/>
      <c r="R181" s="1051"/>
      <c r="S181" s="1051"/>
      <c r="T181" s="961"/>
      <c r="U181" s="961"/>
      <c r="V181" s="961"/>
      <c r="W181" s="1052"/>
      <c r="X181" s="1043"/>
    </row>
    <row r="182" spans="1:24" s="417" customFormat="1" ht="12.75">
      <c r="A182" s="4" t="s">
        <v>1353</v>
      </c>
      <c r="B182" s="3"/>
      <c r="C182" s="3"/>
      <c r="D182" s="1049"/>
      <c r="E182" s="1050"/>
      <c r="F182" s="3"/>
      <c r="G182" s="3"/>
      <c r="H182" s="3"/>
      <c r="I182" s="3"/>
      <c r="J182" s="3"/>
      <c r="K182" s="3"/>
      <c r="L182" s="3"/>
      <c r="M182" s="3"/>
      <c r="N182" s="1051"/>
      <c r="O182" s="1051"/>
      <c r="P182" s="1051"/>
      <c r="Q182" s="1051"/>
      <c r="R182" s="1051"/>
      <c r="S182" s="1051"/>
      <c r="T182" s="961"/>
      <c r="U182" s="961"/>
      <c r="V182" s="961"/>
      <c r="W182" s="1052"/>
      <c r="X182" s="1043"/>
    </row>
    <row r="183" spans="1:24" s="417" customFormat="1" ht="12.75">
      <c r="A183" s="4" t="s">
        <v>211</v>
      </c>
      <c r="B183" s="3"/>
      <c r="C183" s="3"/>
      <c r="D183" s="1049"/>
      <c r="E183" s="1050"/>
      <c r="F183" s="3"/>
      <c r="G183" s="3"/>
      <c r="H183" s="3"/>
      <c r="I183" s="3"/>
      <c r="K183" s="3"/>
      <c r="L183" s="3"/>
      <c r="M183" s="3"/>
      <c r="N183" s="1051"/>
      <c r="O183" s="1051"/>
      <c r="P183" s="1051"/>
      <c r="Q183" s="1051"/>
      <c r="R183" s="1051"/>
      <c r="S183" s="1051"/>
      <c r="T183" s="961"/>
      <c r="U183" s="961"/>
      <c r="V183" s="961"/>
      <c r="W183" s="1052"/>
      <c r="X183" s="1043"/>
    </row>
    <row r="184" spans="1:24" s="417" customFormat="1" ht="11.25" customHeight="1">
      <c r="A184" s="4" t="s">
        <v>1354</v>
      </c>
      <c r="B184" s="3"/>
      <c r="C184" s="3"/>
      <c r="D184" s="1055"/>
      <c r="E184" s="1055"/>
      <c r="N184" s="1053"/>
      <c r="O184" s="1053"/>
      <c r="P184" s="1053"/>
      <c r="Q184" s="1053"/>
      <c r="R184" s="1053"/>
      <c r="S184" s="1053"/>
      <c r="T184" s="922"/>
      <c r="U184" s="922"/>
      <c r="V184" s="922"/>
      <c r="W184" s="1054"/>
      <c r="X184" s="922"/>
    </row>
    <row r="185" spans="1:24" s="417" customFormat="1" ht="11.25" customHeight="1">
      <c r="A185" s="4" t="s">
        <v>1328</v>
      </c>
      <c r="B185" s="3"/>
      <c r="C185" s="3"/>
      <c r="D185" s="1055"/>
      <c r="E185" s="1055"/>
      <c r="N185" s="1053"/>
      <c r="O185" s="1053"/>
      <c r="P185" s="1053"/>
      <c r="Q185" s="1053"/>
      <c r="R185" s="1053"/>
      <c r="S185" s="1053"/>
      <c r="T185" s="922"/>
      <c r="U185" s="922"/>
      <c r="V185" s="922"/>
      <c r="W185" s="1054"/>
      <c r="X185" s="922"/>
    </row>
    <row r="186" spans="1:24" s="417" customFormat="1" ht="23.25" customHeight="1">
      <c r="A186" s="1386" t="s">
        <v>1403</v>
      </c>
      <c r="B186" s="1181"/>
      <c r="C186" s="1181"/>
      <c r="D186" s="1181"/>
      <c r="E186" s="1181"/>
      <c r="F186" s="1181"/>
      <c r="G186" s="1181"/>
      <c r="H186" s="1181"/>
      <c r="I186" s="1181"/>
      <c r="J186" s="1181"/>
      <c r="K186" s="1181"/>
      <c r="L186" s="1181"/>
      <c r="M186" s="1181"/>
      <c r="N186" s="1181"/>
      <c r="O186" s="1181"/>
      <c r="P186" s="1181"/>
      <c r="Q186" s="1181"/>
      <c r="R186" s="1181"/>
      <c r="S186" s="1181"/>
      <c r="T186" s="1181"/>
      <c r="U186" s="1181"/>
      <c r="V186" s="1181"/>
      <c r="W186" s="1387"/>
      <c r="X186" s="922"/>
    </row>
    <row r="187" spans="1:24" s="417" customFormat="1" ht="11.25" customHeight="1">
      <c r="A187" s="479" t="s">
        <v>1355</v>
      </c>
      <c r="B187" s="1"/>
      <c r="C187" s="510"/>
      <c r="D187" s="1055"/>
      <c r="E187" s="1055"/>
      <c r="N187" s="1053"/>
      <c r="O187" s="1053"/>
      <c r="P187" s="1053"/>
      <c r="Q187" s="1053"/>
      <c r="R187" s="1053"/>
      <c r="S187" s="1053"/>
      <c r="T187" s="922"/>
      <c r="U187" s="922"/>
      <c r="V187" s="922"/>
      <c r="W187" s="1054"/>
      <c r="X187" s="922"/>
    </row>
    <row r="188" spans="1:24" s="417" customFormat="1" ht="11.25" customHeight="1">
      <c r="A188" s="479" t="s">
        <v>1406</v>
      </c>
      <c r="B188" s="1"/>
      <c r="C188" s="510"/>
      <c r="D188" s="1055"/>
      <c r="E188" s="1055"/>
      <c r="N188" s="1053"/>
      <c r="O188" s="1053"/>
      <c r="P188" s="1053"/>
      <c r="Q188" s="1053"/>
      <c r="R188" s="1053"/>
      <c r="S188" s="1053"/>
      <c r="T188" s="922"/>
      <c r="U188" s="922"/>
      <c r="V188" s="922"/>
      <c r="W188" s="1054"/>
      <c r="X188" s="922"/>
    </row>
    <row r="189" spans="1:24" ht="11.25" customHeight="1">
      <c r="A189" s="482" t="s">
        <v>1381</v>
      </c>
      <c r="J189"/>
      <c r="N189" s="1057"/>
      <c r="O189" s="1057"/>
      <c r="P189" s="1057"/>
      <c r="Q189" s="1057"/>
      <c r="R189" s="1057"/>
      <c r="S189" s="1057"/>
      <c r="T189" s="615"/>
      <c r="U189" s="615"/>
      <c r="V189" s="615"/>
      <c r="W189" s="937"/>
    </row>
    <row r="190" spans="1:24" s="417" customFormat="1" ht="11.25" customHeight="1">
      <c r="A190" s="4" t="s">
        <v>54</v>
      </c>
      <c r="B190" s="3"/>
      <c r="C190" s="3"/>
      <c r="D190" s="1055"/>
      <c r="E190" s="1055"/>
      <c r="J190" s="3"/>
      <c r="N190" s="1053"/>
      <c r="O190" s="1053"/>
      <c r="P190" s="1053"/>
      <c r="Q190" s="1053"/>
      <c r="R190" s="1053"/>
      <c r="S190" s="1053"/>
      <c r="T190" s="922"/>
      <c r="U190" s="922"/>
      <c r="V190" s="922"/>
      <c r="W190" s="1054"/>
      <c r="X190" s="922"/>
    </row>
    <row r="191" spans="1:24" s="417" customFormat="1" ht="12.75">
      <c r="A191" s="4" t="s">
        <v>873</v>
      </c>
      <c r="B191" s="3"/>
      <c r="C191" s="3"/>
      <c r="D191" s="1049"/>
      <c r="E191" s="1050"/>
      <c r="F191" s="3"/>
      <c r="G191" s="3"/>
      <c r="H191" s="3"/>
      <c r="I191" s="3"/>
      <c r="J191" s="518"/>
      <c r="K191" s="3"/>
      <c r="L191" s="3"/>
      <c r="M191" s="3"/>
      <c r="N191" s="1051"/>
      <c r="O191" s="1051"/>
      <c r="P191" s="1051"/>
      <c r="Q191" s="1051"/>
      <c r="R191" s="1051"/>
      <c r="S191" s="1051"/>
      <c r="T191" s="961"/>
      <c r="U191" s="961"/>
      <c r="V191" s="961"/>
      <c r="W191" s="1052"/>
      <c r="X191" s="1043"/>
    </row>
    <row r="192" spans="1:24" s="417" customFormat="1" ht="13.15" thickBot="1">
      <c r="A192" s="5" t="s">
        <v>874</v>
      </c>
      <c r="B192" s="487"/>
      <c r="C192" s="487"/>
      <c r="D192" s="1058"/>
      <c r="E192" s="1059"/>
      <c r="F192" s="487"/>
      <c r="G192" s="487"/>
      <c r="H192" s="487"/>
      <c r="I192" s="487"/>
      <c r="J192" s="938"/>
      <c r="K192" s="487"/>
      <c r="L192" s="487"/>
      <c r="M192" s="487"/>
      <c r="N192" s="1060"/>
      <c r="O192" s="1060"/>
      <c r="P192" s="1060"/>
      <c r="Q192" s="1060"/>
      <c r="R192" s="1060"/>
      <c r="S192" s="1060"/>
      <c r="T192" s="1061"/>
      <c r="U192" s="1061"/>
      <c r="V192" s="1061"/>
      <c r="W192" s="1062"/>
      <c r="X192" s="1043"/>
    </row>
    <row r="193" spans="4:24" ht="13.15" thickTop="1">
      <c r="X193"/>
    </row>
    <row r="194" spans="4:24" ht="12.75">
      <c r="X194" s="922"/>
    </row>
    <row r="195" spans="4:24" ht="12.75">
      <c r="X195" s="1043"/>
    </row>
    <row r="196" spans="4:24" ht="12.75">
      <c r="X196" s="1043"/>
    </row>
    <row r="207" spans="4:24" s="2" customFormat="1" ht="12.75">
      <c r="D207" s="1063"/>
      <c r="E207" s="1064"/>
      <c r="N207" s="1065"/>
      <c r="O207" s="1065"/>
      <c r="P207" s="1065"/>
      <c r="Q207" s="1065"/>
      <c r="R207" s="1065"/>
      <c r="S207" s="1065"/>
      <c r="T207" s="1066"/>
      <c r="U207" s="1066"/>
      <c r="V207" s="1066"/>
      <c r="W207" s="1066"/>
      <c r="X207" s="961"/>
    </row>
    <row r="208" spans="4:24" s="2" customFormat="1" ht="12.75">
      <c r="D208" s="1063"/>
      <c r="E208" s="1064"/>
      <c r="N208" s="1065"/>
      <c r="O208" s="1065"/>
      <c r="P208" s="1065"/>
      <c r="Q208" s="1065"/>
      <c r="R208" s="1065"/>
      <c r="S208" s="1065"/>
      <c r="T208" s="1066"/>
      <c r="U208" s="1066"/>
      <c r="V208" s="1066"/>
      <c r="W208" s="1066"/>
      <c r="X208" s="961"/>
    </row>
    <row r="209" spans="4:24" s="2" customFormat="1" ht="12.75">
      <c r="D209" s="1063"/>
      <c r="E209" s="1064"/>
      <c r="N209" s="1065"/>
      <c r="O209" s="1065"/>
      <c r="P209" s="1065"/>
      <c r="Q209" s="1065"/>
      <c r="R209" s="1065"/>
      <c r="S209" s="1065"/>
      <c r="T209" s="1066"/>
      <c r="U209" s="1066"/>
      <c r="V209" s="1066"/>
      <c r="W209" s="1066"/>
      <c r="X209" s="961"/>
    </row>
    <row r="210" spans="4:24" s="2" customFormat="1" ht="12.75">
      <c r="D210" s="1063"/>
      <c r="E210" s="1064"/>
      <c r="N210" s="1065"/>
      <c r="O210" s="1065"/>
      <c r="P210" s="1065"/>
      <c r="Q210" s="1065"/>
      <c r="R210" s="1065"/>
      <c r="S210" s="1065"/>
      <c r="T210" s="1066"/>
      <c r="U210" s="1066"/>
      <c r="V210" s="1066"/>
      <c r="W210" s="1066"/>
      <c r="X210" s="961"/>
    </row>
    <row r="211" spans="4:24" s="2" customFormat="1" ht="12.75">
      <c r="D211" s="1063"/>
      <c r="E211" s="1064"/>
      <c r="N211" s="1065"/>
      <c r="O211" s="1065"/>
      <c r="P211" s="1065"/>
      <c r="Q211" s="1065"/>
      <c r="R211" s="1065"/>
      <c r="S211" s="1065"/>
      <c r="T211" s="1066"/>
      <c r="U211" s="1066"/>
      <c r="V211" s="1066"/>
      <c r="W211" s="1066"/>
      <c r="X211" s="1043"/>
    </row>
    <row r="212" spans="4:24" s="2" customFormat="1" ht="12.75">
      <c r="D212" s="1063"/>
      <c r="E212" s="1064"/>
      <c r="N212" s="1065"/>
      <c r="O212" s="1065"/>
      <c r="P212" s="1065"/>
      <c r="Q212" s="1065"/>
      <c r="R212" s="1065"/>
      <c r="S212" s="1065"/>
      <c r="T212" s="1066"/>
      <c r="U212" s="1066"/>
      <c r="V212" s="1066"/>
      <c r="W212" s="1066"/>
      <c r="X212" s="1043"/>
    </row>
    <row r="213" spans="4:24" s="2" customFormat="1" ht="12.75">
      <c r="D213" s="1063"/>
      <c r="E213" s="1064"/>
      <c r="N213" s="1065"/>
      <c r="O213" s="1065"/>
      <c r="P213" s="1065"/>
      <c r="Q213" s="1065"/>
      <c r="R213" s="1065"/>
      <c r="S213" s="1065"/>
      <c r="T213" s="1066"/>
      <c r="U213" s="1066"/>
      <c r="V213" s="1066"/>
      <c r="W213" s="1066"/>
      <c r="X213" s="1043"/>
    </row>
    <row r="214" spans="4:24" s="2" customFormat="1" ht="12.75">
      <c r="D214" s="1063"/>
      <c r="E214" s="1064"/>
      <c r="N214" s="1065"/>
      <c r="O214" s="1065"/>
      <c r="P214" s="1065"/>
      <c r="Q214" s="1065"/>
      <c r="R214" s="1065"/>
      <c r="S214" s="1065"/>
      <c r="T214" s="1066"/>
      <c r="U214" s="1066"/>
      <c r="V214" s="1066"/>
      <c r="W214" s="1066"/>
      <c r="X214" s="1043"/>
    </row>
    <row r="215" spans="4:24" s="2" customFormat="1" ht="12.75">
      <c r="D215" s="1063"/>
      <c r="E215" s="1064"/>
      <c r="N215" s="1065"/>
      <c r="O215" s="1065"/>
      <c r="P215" s="1065"/>
      <c r="Q215" s="1065"/>
      <c r="R215" s="1065"/>
      <c r="S215" s="1065"/>
      <c r="T215" s="1066"/>
      <c r="U215" s="1066"/>
      <c r="V215" s="1066"/>
      <c r="W215" s="1066"/>
      <c r="X215" s="1043"/>
    </row>
    <row r="216" spans="4:24" s="2" customFormat="1" ht="12.75">
      <c r="D216" s="1063"/>
      <c r="E216" s="1064"/>
      <c r="N216" s="1065"/>
      <c r="O216" s="1065"/>
      <c r="P216" s="1065"/>
      <c r="Q216" s="1065"/>
      <c r="R216" s="1065"/>
      <c r="S216" s="1065"/>
      <c r="T216" s="1066"/>
      <c r="U216" s="1066"/>
      <c r="V216" s="1066"/>
      <c r="W216" s="1066"/>
      <c r="X216" s="1043"/>
    </row>
    <row r="217" spans="4:24" s="2" customFormat="1" ht="12.75">
      <c r="D217" s="1063"/>
      <c r="E217" s="1064"/>
      <c r="N217" s="1065"/>
      <c r="O217" s="1065"/>
      <c r="P217" s="1065"/>
      <c r="Q217" s="1065"/>
      <c r="R217" s="1065"/>
      <c r="S217" s="1065"/>
      <c r="T217" s="1066"/>
      <c r="U217" s="1066"/>
      <c r="V217" s="1066"/>
      <c r="W217" s="1066"/>
      <c r="X217" s="1043"/>
    </row>
    <row r="218" spans="4:24" s="2" customFormat="1" ht="12.75">
      <c r="D218" s="1063"/>
      <c r="E218" s="1064"/>
      <c r="N218" s="1065"/>
      <c r="O218" s="1065"/>
      <c r="P218" s="1065"/>
      <c r="Q218" s="1065"/>
      <c r="R218" s="1065"/>
      <c r="S218" s="1065"/>
      <c r="T218" s="1066"/>
      <c r="U218" s="1066"/>
      <c r="V218" s="1066"/>
      <c r="W218" s="1066"/>
      <c r="X218" s="1043"/>
    </row>
    <row r="219" spans="4:24" s="2" customFormat="1" ht="12.75">
      <c r="D219" s="1063"/>
      <c r="E219" s="1064"/>
      <c r="N219" s="1065"/>
      <c r="O219" s="1065"/>
      <c r="P219" s="1065"/>
      <c r="Q219" s="1065"/>
      <c r="R219" s="1065"/>
      <c r="S219" s="1065"/>
      <c r="T219" s="1066"/>
      <c r="U219" s="1066"/>
      <c r="V219" s="1066"/>
      <c r="W219" s="1066"/>
      <c r="X219" s="1043"/>
    </row>
    <row r="220" spans="4:24" s="2" customFormat="1" ht="12.75">
      <c r="D220" s="1063"/>
      <c r="E220" s="1064"/>
      <c r="N220" s="1065"/>
      <c r="O220" s="1065"/>
      <c r="P220" s="1065"/>
      <c r="Q220" s="1065"/>
      <c r="R220" s="1065"/>
      <c r="S220" s="1065"/>
      <c r="T220" s="1066"/>
      <c r="U220" s="1066"/>
      <c r="V220" s="1066"/>
      <c r="W220" s="1066"/>
      <c r="X220" s="1043"/>
    </row>
    <row r="221" spans="4:24" s="2" customFormat="1" ht="12.75">
      <c r="D221" s="1063"/>
      <c r="E221" s="1064"/>
      <c r="N221" s="1065"/>
      <c r="O221" s="1065"/>
      <c r="P221" s="1065"/>
      <c r="Q221" s="1065"/>
      <c r="R221" s="1065"/>
      <c r="S221" s="1065"/>
      <c r="T221" s="1066"/>
      <c r="U221" s="1066"/>
      <c r="V221" s="1066"/>
      <c r="W221" s="1066"/>
      <c r="X221" s="1043"/>
    </row>
    <row r="222" spans="4:24" s="2" customFormat="1" ht="12.75">
      <c r="D222" s="1063"/>
      <c r="E222" s="1064"/>
      <c r="N222" s="1065"/>
      <c r="O222" s="1065"/>
      <c r="P222" s="1065"/>
      <c r="Q222" s="1065"/>
      <c r="R222" s="1065"/>
      <c r="S222" s="1065"/>
      <c r="T222" s="1066"/>
      <c r="U222" s="1066"/>
      <c r="V222" s="1066"/>
      <c r="W222" s="1066"/>
      <c r="X222" s="1043"/>
    </row>
    <row r="223" spans="4:24" s="2" customFormat="1" ht="12.75">
      <c r="D223" s="1063"/>
      <c r="E223" s="1064"/>
      <c r="N223" s="1065"/>
      <c r="O223" s="1065"/>
      <c r="P223" s="1065"/>
      <c r="Q223" s="1065"/>
      <c r="R223" s="1065"/>
      <c r="S223" s="1065"/>
      <c r="T223" s="1066"/>
      <c r="U223" s="1066"/>
      <c r="V223" s="1066"/>
      <c r="W223" s="1066"/>
      <c r="X223" s="1043"/>
    </row>
    <row r="224" spans="4:24" s="2" customFormat="1" ht="12.75">
      <c r="D224" s="1063"/>
      <c r="E224" s="1064"/>
      <c r="N224" s="1065"/>
      <c r="O224" s="1065"/>
      <c r="P224" s="1065"/>
      <c r="Q224" s="1065"/>
      <c r="R224" s="1065"/>
      <c r="S224" s="1065"/>
      <c r="T224" s="1066"/>
      <c r="U224" s="1066"/>
      <c r="V224" s="1066"/>
      <c r="W224" s="1066"/>
      <c r="X224" s="1043"/>
    </row>
    <row r="225" spans="4:24" s="2" customFormat="1" ht="12.75">
      <c r="D225" s="1063"/>
      <c r="E225" s="1064"/>
      <c r="N225" s="1065"/>
      <c r="O225" s="1065"/>
      <c r="P225" s="1065"/>
      <c r="Q225" s="1065"/>
      <c r="R225" s="1065"/>
      <c r="S225" s="1065"/>
      <c r="T225" s="1066"/>
      <c r="U225" s="1066"/>
      <c r="V225" s="1066"/>
      <c r="W225" s="1066"/>
      <c r="X225" s="1043"/>
    </row>
    <row r="226" spans="4:24" s="2" customFormat="1" ht="12.75">
      <c r="D226" s="1063"/>
      <c r="E226" s="1064"/>
      <c r="N226" s="1065"/>
      <c r="O226" s="1065"/>
      <c r="P226" s="1065"/>
      <c r="Q226" s="1065"/>
      <c r="R226" s="1065"/>
      <c r="S226" s="1065"/>
      <c r="T226" s="1066"/>
      <c r="U226" s="1066"/>
      <c r="V226" s="1066"/>
      <c r="W226" s="1066"/>
      <c r="X226" s="1043"/>
    </row>
    <row r="227" spans="4:24" s="2" customFormat="1" ht="12.75">
      <c r="D227" s="1063"/>
      <c r="E227" s="1064"/>
      <c r="N227" s="1065"/>
      <c r="O227" s="1065"/>
      <c r="P227" s="1065"/>
      <c r="Q227" s="1065"/>
      <c r="R227" s="1065"/>
      <c r="S227" s="1065"/>
      <c r="T227" s="1066"/>
      <c r="U227" s="1066"/>
      <c r="V227" s="1066"/>
      <c r="W227" s="1066"/>
      <c r="X227" s="1043"/>
    </row>
    <row r="228" spans="4:24" s="2" customFormat="1" ht="12.75">
      <c r="D228" s="1063"/>
      <c r="E228" s="1064"/>
      <c r="N228" s="1065"/>
      <c r="O228" s="1065"/>
      <c r="P228" s="1065"/>
      <c r="Q228" s="1065"/>
      <c r="R228" s="1065"/>
      <c r="S228" s="1065"/>
      <c r="T228" s="1066"/>
      <c r="U228" s="1066"/>
      <c r="V228" s="1066"/>
      <c r="W228" s="1066"/>
      <c r="X228" s="1043"/>
    </row>
    <row r="229" spans="4:24" s="2" customFormat="1" ht="12.75">
      <c r="D229" s="1063"/>
      <c r="E229" s="1064"/>
      <c r="N229" s="1065"/>
      <c r="O229" s="1065"/>
      <c r="P229" s="1065"/>
      <c r="Q229" s="1065"/>
      <c r="R229" s="1065"/>
      <c r="S229" s="1065"/>
      <c r="T229" s="1066"/>
      <c r="U229" s="1066"/>
      <c r="V229" s="1066"/>
      <c r="W229" s="1066"/>
      <c r="X229" s="1043"/>
    </row>
    <row r="230" spans="4:24" s="2" customFormat="1" ht="12.75">
      <c r="D230" s="1063"/>
      <c r="E230" s="1064"/>
      <c r="N230" s="1065"/>
      <c r="O230" s="1065"/>
      <c r="P230" s="1065"/>
      <c r="Q230" s="1065"/>
      <c r="R230" s="1065"/>
      <c r="S230" s="1065"/>
      <c r="T230" s="1066"/>
      <c r="U230" s="1066"/>
      <c r="V230" s="1066"/>
      <c r="W230" s="1066"/>
      <c r="X230" s="1043"/>
    </row>
    <row r="231" spans="4:24" s="2" customFormat="1" ht="12.75">
      <c r="D231" s="1063"/>
      <c r="E231" s="1064"/>
      <c r="N231" s="1065"/>
      <c r="O231" s="1065"/>
      <c r="P231" s="1065"/>
      <c r="Q231" s="1065"/>
      <c r="R231" s="1065"/>
      <c r="S231" s="1065"/>
      <c r="T231" s="1066"/>
      <c r="U231" s="1066"/>
      <c r="V231" s="1066"/>
      <c r="W231" s="1066"/>
      <c r="X231" s="1043"/>
    </row>
    <row r="232" spans="4:24" s="2" customFormat="1" ht="12.75">
      <c r="D232" s="1063"/>
      <c r="E232" s="1064"/>
      <c r="N232" s="1065"/>
      <c r="O232" s="1065"/>
      <c r="P232" s="1065"/>
      <c r="Q232" s="1065"/>
      <c r="R232" s="1065"/>
      <c r="S232" s="1065"/>
      <c r="T232" s="1066"/>
      <c r="U232" s="1066"/>
      <c r="V232" s="1066"/>
      <c r="W232" s="1066"/>
      <c r="X232" s="1043"/>
    </row>
    <row r="233" spans="4:24" s="2" customFormat="1" ht="12.75">
      <c r="D233" s="1063"/>
      <c r="E233" s="1064"/>
      <c r="N233" s="1065"/>
      <c r="O233" s="1065"/>
      <c r="P233" s="1065"/>
      <c r="Q233" s="1065"/>
      <c r="R233" s="1065"/>
      <c r="S233" s="1065"/>
      <c r="T233" s="1066"/>
      <c r="U233" s="1066"/>
      <c r="V233" s="1066"/>
      <c r="W233" s="1066"/>
      <c r="X233" s="1043"/>
    </row>
    <row r="234" spans="4:24" s="2" customFormat="1" ht="12.75">
      <c r="D234" s="1063"/>
      <c r="E234" s="1064"/>
      <c r="N234" s="1065"/>
      <c r="O234" s="1065"/>
      <c r="P234" s="1065"/>
      <c r="Q234" s="1065"/>
      <c r="R234" s="1065"/>
      <c r="S234" s="1065"/>
      <c r="T234" s="1066"/>
      <c r="U234" s="1066"/>
      <c r="V234" s="1066"/>
      <c r="W234" s="1066"/>
      <c r="X234" s="1043"/>
    </row>
    <row r="235" spans="4:24" s="2" customFormat="1" ht="12.75">
      <c r="D235" s="1063"/>
      <c r="E235" s="1064"/>
      <c r="N235" s="1065"/>
      <c r="O235" s="1065"/>
      <c r="P235" s="1065"/>
      <c r="Q235" s="1065"/>
      <c r="R235" s="1065"/>
      <c r="S235" s="1065"/>
      <c r="T235" s="1066"/>
      <c r="U235" s="1066"/>
      <c r="V235" s="1066"/>
      <c r="W235" s="1066"/>
      <c r="X235" s="1043"/>
    </row>
    <row r="236" spans="4:24" s="2" customFormat="1" ht="12.75">
      <c r="D236" s="1063"/>
      <c r="E236" s="1064"/>
      <c r="N236" s="1065"/>
      <c r="O236" s="1065"/>
      <c r="P236" s="1065"/>
      <c r="Q236" s="1065"/>
      <c r="R236" s="1065"/>
      <c r="S236" s="1065"/>
      <c r="T236" s="1066"/>
      <c r="U236" s="1066"/>
      <c r="V236" s="1066"/>
      <c r="W236" s="1066"/>
      <c r="X236" s="1043"/>
    </row>
    <row r="237" spans="4:24" s="2" customFormat="1" ht="12.75">
      <c r="D237" s="1063"/>
      <c r="E237" s="1064"/>
      <c r="N237" s="1065"/>
      <c r="O237" s="1065"/>
      <c r="P237" s="1065"/>
      <c r="Q237" s="1065"/>
      <c r="R237" s="1065"/>
      <c r="S237" s="1065"/>
      <c r="T237" s="1066"/>
      <c r="U237" s="1066"/>
      <c r="V237" s="1066"/>
      <c r="W237" s="1066"/>
      <c r="X237" s="1043"/>
    </row>
    <row r="238" spans="4:24" s="2" customFormat="1" ht="12.75">
      <c r="D238" s="1063"/>
      <c r="E238" s="1064"/>
      <c r="N238" s="1065"/>
      <c r="O238" s="1065"/>
      <c r="P238" s="1065"/>
      <c r="Q238" s="1065"/>
      <c r="R238" s="1065"/>
      <c r="S238" s="1065"/>
      <c r="T238" s="1066"/>
      <c r="U238" s="1066"/>
      <c r="V238" s="1066"/>
      <c r="W238" s="1066"/>
      <c r="X238" s="1043"/>
    </row>
    <row r="239" spans="4:24" s="2" customFormat="1" ht="12.75">
      <c r="D239" s="1063"/>
      <c r="E239" s="1064"/>
      <c r="N239" s="1065"/>
      <c r="O239" s="1065"/>
      <c r="P239" s="1065"/>
      <c r="Q239" s="1065"/>
      <c r="R239" s="1065"/>
      <c r="S239" s="1065"/>
      <c r="T239" s="1066"/>
      <c r="U239" s="1066"/>
      <c r="V239" s="1066"/>
      <c r="W239" s="1066"/>
      <c r="X239" s="1043"/>
    </row>
    <row r="240" spans="4:24" s="2" customFormat="1" ht="12.75">
      <c r="D240" s="1063"/>
      <c r="E240" s="1064"/>
      <c r="N240" s="1065"/>
      <c r="O240" s="1065"/>
      <c r="P240" s="1065"/>
      <c r="Q240" s="1065"/>
      <c r="R240" s="1065"/>
      <c r="S240" s="1065"/>
      <c r="T240" s="1066"/>
      <c r="U240" s="1066"/>
      <c r="V240" s="1066"/>
      <c r="W240" s="1066"/>
      <c r="X240" s="1043"/>
    </row>
    <row r="241" spans="4:24" s="2" customFormat="1" ht="12.75">
      <c r="D241" s="1063"/>
      <c r="E241" s="1064"/>
      <c r="N241" s="1065"/>
      <c r="O241" s="1065"/>
      <c r="P241" s="1065"/>
      <c r="Q241" s="1065"/>
      <c r="R241" s="1065"/>
      <c r="S241" s="1065"/>
      <c r="T241" s="1066"/>
      <c r="U241" s="1066"/>
      <c r="V241" s="1066"/>
      <c r="W241" s="1066"/>
      <c r="X241" s="1043"/>
    </row>
    <row r="242" spans="4:24" s="2" customFormat="1" ht="12.75">
      <c r="D242" s="1063"/>
      <c r="E242" s="1064"/>
      <c r="N242" s="1065"/>
      <c r="O242" s="1065"/>
      <c r="P242" s="1065"/>
      <c r="Q242" s="1065"/>
      <c r="R242" s="1065"/>
      <c r="S242" s="1065"/>
      <c r="T242" s="1066"/>
      <c r="U242" s="1066"/>
      <c r="V242" s="1066"/>
      <c r="W242" s="1066"/>
      <c r="X242" s="1043"/>
    </row>
    <row r="243" spans="4:24" s="2" customFormat="1" ht="12.75">
      <c r="D243" s="1063"/>
      <c r="E243" s="1064"/>
      <c r="N243" s="1065"/>
      <c r="O243" s="1065"/>
      <c r="P243" s="1065"/>
      <c r="Q243" s="1065"/>
      <c r="R243" s="1065"/>
      <c r="S243" s="1065"/>
      <c r="T243" s="1066"/>
      <c r="U243" s="1066"/>
      <c r="V243" s="1066"/>
      <c r="W243" s="1066"/>
      <c r="X243" s="1043"/>
    </row>
    <row r="244" spans="4:24" s="2" customFormat="1" ht="12.75">
      <c r="D244" s="1063"/>
      <c r="E244" s="1064"/>
      <c r="N244" s="1065"/>
      <c r="O244" s="1065"/>
      <c r="P244" s="1065"/>
      <c r="Q244" s="1065"/>
      <c r="R244" s="1065"/>
      <c r="S244" s="1065"/>
      <c r="T244" s="1066"/>
      <c r="U244" s="1066"/>
      <c r="V244" s="1066"/>
      <c r="W244" s="1066"/>
      <c r="X244" s="1043"/>
    </row>
    <row r="245" spans="4:24" s="2" customFormat="1" ht="12.75">
      <c r="D245" s="1063"/>
      <c r="E245" s="1064"/>
      <c r="N245" s="1065"/>
      <c r="O245" s="1065"/>
      <c r="P245" s="1065"/>
      <c r="Q245" s="1065"/>
      <c r="R245" s="1065"/>
      <c r="S245" s="1065"/>
      <c r="T245" s="1066"/>
      <c r="U245" s="1066"/>
      <c r="V245" s="1066"/>
      <c r="W245" s="1066"/>
      <c r="X245" s="1043"/>
    </row>
    <row r="246" spans="4:24" s="2" customFormat="1" ht="12.75">
      <c r="D246" s="1063"/>
      <c r="E246" s="1064"/>
      <c r="N246" s="1065"/>
      <c r="O246" s="1065"/>
      <c r="P246" s="1065"/>
      <c r="Q246" s="1065"/>
      <c r="R246" s="1065"/>
      <c r="S246" s="1065"/>
      <c r="T246" s="1066"/>
      <c r="U246" s="1066"/>
      <c r="V246" s="1066"/>
      <c r="W246" s="1066"/>
      <c r="X246" s="1043"/>
    </row>
    <row r="247" spans="4:24" s="2" customFormat="1" ht="12.75">
      <c r="D247" s="1063"/>
      <c r="E247" s="1064"/>
      <c r="N247" s="1065"/>
      <c r="O247" s="1065"/>
      <c r="P247" s="1065"/>
      <c r="Q247" s="1065"/>
      <c r="R247" s="1065"/>
      <c r="S247" s="1065"/>
      <c r="T247" s="1066"/>
      <c r="U247" s="1066"/>
      <c r="V247" s="1066"/>
      <c r="W247" s="1066"/>
      <c r="X247" s="1043"/>
    </row>
    <row r="248" spans="4:24" s="2" customFormat="1" ht="12.75">
      <c r="D248" s="1063"/>
      <c r="E248" s="1064"/>
      <c r="N248" s="1065"/>
      <c r="O248" s="1065"/>
      <c r="P248" s="1065"/>
      <c r="Q248" s="1065"/>
      <c r="R248" s="1065"/>
      <c r="S248" s="1065"/>
      <c r="T248" s="1066"/>
      <c r="U248" s="1066"/>
      <c r="V248" s="1066"/>
      <c r="W248" s="1066"/>
      <c r="X248" s="1043"/>
    </row>
    <row r="249" spans="4:24" s="2" customFormat="1" ht="12.75">
      <c r="D249" s="1063"/>
      <c r="E249" s="1064"/>
      <c r="N249" s="1065"/>
      <c r="O249" s="1065"/>
      <c r="P249" s="1065"/>
      <c r="Q249" s="1065"/>
      <c r="R249" s="1065"/>
      <c r="S249" s="1065"/>
      <c r="T249" s="1066"/>
      <c r="U249" s="1066"/>
      <c r="V249" s="1066"/>
      <c r="W249" s="1066"/>
      <c r="X249" s="1043"/>
    </row>
    <row r="250" spans="4:24" s="2" customFormat="1" ht="12.75">
      <c r="D250" s="1063"/>
      <c r="E250" s="1064"/>
      <c r="N250" s="1065"/>
      <c r="O250" s="1065"/>
      <c r="P250" s="1065"/>
      <c r="Q250" s="1065"/>
      <c r="R250" s="1065"/>
      <c r="S250" s="1065"/>
      <c r="T250" s="1066"/>
      <c r="U250" s="1066"/>
      <c r="V250" s="1066"/>
      <c r="W250" s="1066"/>
      <c r="X250" s="1043"/>
    </row>
    <row r="251" spans="4:24" s="2" customFormat="1" ht="12.75">
      <c r="D251" s="1063"/>
      <c r="E251" s="1064"/>
      <c r="N251" s="1065"/>
      <c r="O251" s="1065"/>
      <c r="P251" s="1065"/>
      <c r="Q251" s="1065"/>
      <c r="R251" s="1065"/>
      <c r="S251" s="1065"/>
      <c r="T251" s="1066"/>
      <c r="U251" s="1066"/>
      <c r="V251" s="1066"/>
      <c r="W251" s="1066"/>
      <c r="X251" s="1043"/>
    </row>
    <row r="252" spans="4:24" s="2" customFormat="1" ht="12.75">
      <c r="D252" s="1063"/>
      <c r="E252" s="1064"/>
      <c r="N252" s="1065"/>
      <c r="O252" s="1065"/>
      <c r="P252" s="1065"/>
      <c r="Q252" s="1065"/>
      <c r="R252" s="1065"/>
      <c r="S252" s="1065"/>
      <c r="T252" s="1066"/>
      <c r="U252" s="1066"/>
      <c r="V252" s="1066"/>
      <c r="W252" s="1066"/>
      <c r="X252" s="1043"/>
    </row>
    <row r="253" spans="4:24" s="2" customFormat="1" ht="12.75">
      <c r="D253" s="1063"/>
      <c r="E253" s="1064"/>
      <c r="N253" s="1065"/>
      <c r="O253" s="1065"/>
      <c r="P253" s="1065"/>
      <c r="Q253" s="1065"/>
      <c r="R253" s="1065"/>
      <c r="S253" s="1065"/>
      <c r="T253" s="1066"/>
      <c r="U253" s="1066"/>
      <c r="V253" s="1066"/>
      <c r="W253" s="1066"/>
      <c r="X253" s="1043"/>
    </row>
    <row r="254" spans="4:24" s="2" customFormat="1" ht="12.75">
      <c r="D254" s="1063"/>
      <c r="E254" s="1064"/>
      <c r="N254" s="1065"/>
      <c r="O254" s="1065"/>
      <c r="P254" s="1065"/>
      <c r="Q254" s="1065"/>
      <c r="R254" s="1065"/>
      <c r="S254" s="1065"/>
      <c r="T254" s="1066"/>
      <c r="U254" s="1066"/>
      <c r="V254" s="1066"/>
      <c r="W254" s="1066"/>
      <c r="X254" s="1043"/>
    </row>
    <row r="255" spans="4:24" s="2" customFormat="1" ht="12.75">
      <c r="D255" s="1063"/>
      <c r="E255" s="1064"/>
      <c r="N255" s="1065"/>
      <c r="O255" s="1065"/>
      <c r="P255" s="1065"/>
      <c r="Q255" s="1065"/>
      <c r="R255" s="1065"/>
      <c r="S255" s="1065"/>
      <c r="T255" s="1066"/>
      <c r="U255" s="1066"/>
      <c r="V255" s="1066"/>
      <c r="W255" s="1066"/>
      <c r="X255" s="1043"/>
    </row>
    <row r="256" spans="4:24" s="2" customFormat="1" ht="12.75">
      <c r="D256" s="1063"/>
      <c r="E256" s="1064"/>
      <c r="N256" s="1065"/>
      <c r="O256" s="1065"/>
      <c r="P256" s="1065"/>
      <c r="Q256" s="1065"/>
      <c r="R256" s="1065"/>
      <c r="S256" s="1065"/>
      <c r="T256" s="1066"/>
      <c r="U256" s="1066"/>
      <c r="V256" s="1066"/>
      <c r="W256" s="1066"/>
      <c r="X256" s="1043"/>
    </row>
    <row r="257" spans="4:24" s="2" customFormat="1" ht="12.75">
      <c r="D257" s="1063"/>
      <c r="E257" s="1064"/>
      <c r="N257" s="1065"/>
      <c r="O257" s="1065"/>
      <c r="P257" s="1065"/>
      <c r="Q257" s="1065"/>
      <c r="R257" s="1065"/>
      <c r="S257" s="1065"/>
      <c r="T257" s="1066"/>
      <c r="U257" s="1066"/>
      <c r="V257" s="1066"/>
      <c r="W257" s="1066"/>
      <c r="X257" s="1043"/>
    </row>
    <row r="258" spans="4:24" s="2" customFormat="1" ht="12.75">
      <c r="D258" s="1063"/>
      <c r="E258" s="1064"/>
      <c r="N258" s="1065"/>
      <c r="O258" s="1065"/>
      <c r="P258" s="1065"/>
      <c r="Q258" s="1065"/>
      <c r="R258" s="1065"/>
      <c r="S258" s="1065"/>
      <c r="T258" s="1066"/>
      <c r="U258" s="1066"/>
      <c r="V258" s="1066"/>
      <c r="W258" s="1066"/>
      <c r="X258" s="1043"/>
    </row>
    <row r="259" spans="4:24" ht="12.75">
      <c r="D259" s="1063"/>
      <c r="E259" s="1064"/>
      <c r="T259" s="1067"/>
      <c r="U259" s="1067"/>
      <c r="V259" s="1067"/>
      <c r="W259" s="1067"/>
      <c r="X259" s="1043"/>
    </row>
    <row r="260" spans="4:24" ht="12.75">
      <c r="D260" s="1063"/>
      <c r="E260" s="1064"/>
      <c r="T260" s="1067"/>
      <c r="U260" s="1067"/>
      <c r="V260" s="1067"/>
      <c r="W260" s="1067"/>
      <c r="X260" s="1043"/>
    </row>
    <row r="261" spans="4:24" ht="12.75">
      <c r="D261" s="1063"/>
      <c r="E261" s="1064"/>
      <c r="T261" s="1067"/>
      <c r="U261" s="1067"/>
      <c r="V261" s="1067"/>
      <c r="W261" s="1067"/>
      <c r="X261" s="1043"/>
    </row>
    <row r="262" spans="4:24" ht="12.75">
      <c r="D262" s="1063"/>
      <c r="E262" s="1064"/>
      <c r="T262" s="1067"/>
      <c r="U262" s="1067"/>
      <c r="V262" s="1067"/>
      <c r="W262" s="1067"/>
      <c r="X262" s="1043"/>
    </row>
    <row r="263" spans="4:24" ht="12.75">
      <c r="D263" s="1063"/>
      <c r="E263" s="1064"/>
      <c r="T263" s="1067"/>
      <c r="U263" s="1067"/>
      <c r="V263" s="1067"/>
      <c r="W263" s="1067"/>
    </row>
    <row r="264" spans="4:24" ht="12.75">
      <c r="D264" s="1063"/>
      <c r="E264" s="1064"/>
      <c r="T264" s="1067"/>
      <c r="U264" s="1067"/>
      <c r="V264" s="1067"/>
      <c r="W264" s="1067"/>
    </row>
    <row r="265" spans="4:24">
      <c r="T265" s="1067"/>
      <c r="U265" s="1067"/>
      <c r="V265" s="1067"/>
      <c r="W265" s="1067"/>
    </row>
    <row r="266" spans="4:24">
      <c r="T266" s="1067"/>
      <c r="U266" s="1067"/>
      <c r="V266" s="1067"/>
      <c r="W266" s="1067"/>
    </row>
    <row r="267" spans="4:24">
      <c r="T267" s="1067"/>
      <c r="U267" s="1067"/>
      <c r="V267" s="1067"/>
      <c r="W267" s="1067"/>
    </row>
    <row r="268" spans="4:24">
      <c r="T268" s="1067"/>
      <c r="U268" s="1067"/>
      <c r="V268" s="1067"/>
      <c r="W268" s="1067"/>
    </row>
    <row r="269" spans="4:24">
      <c r="T269" s="1067"/>
      <c r="U269" s="1067"/>
      <c r="V269" s="1067"/>
      <c r="W269" s="1067"/>
    </row>
    <row r="270" spans="4:24">
      <c r="T270" s="1067"/>
      <c r="U270" s="1067"/>
      <c r="V270" s="1067"/>
      <c r="W270" s="1067"/>
    </row>
    <row r="271" spans="4:24">
      <c r="T271" s="1067"/>
      <c r="U271" s="1067"/>
      <c r="V271" s="1067"/>
      <c r="W271" s="1067"/>
    </row>
    <row r="272" spans="4:24">
      <c r="T272" s="1067"/>
      <c r="U272" s="1067"/>
      <c r="V272" s="1067"/>
      <c r="W272" s="1067"/>
    </row>
    <row r="273" spans="20:23">
      <c r="T273" s="1067"/>
      <c r="U273" s="1067"/>
      <c r="V273" s="1067"/>
      <c r="W273" s="1067"/>
    </row>
    <row r="274" spans="20:23">
      <c r="T274" s="1067"/>
      <c r="U274" s="1067"/>
      <c r="V274" s="1067"/>
      <c r="W274" s="1067"/>
    </row>
    <row r="275" spans="20:23">
      <c r="T275" s="1067"/>
      <c r="U275" s="1067"/>
      <c r="V275" s="1067"/>
      <c r="W275" s="1067"/>
    </row>
    <row r="276" spans="20:23">
      <c r="T276" s="1067"/>
      <c r="U276" s="1067"/>
      <c r="V276" s="1067"/>
      <c r="W276" s="1067"/>
    </row>
    <row r="277" spans="20:23">
      <c r="T277" s="1067"/>
      <c r="U277" s="1067"/>
      <c r="V277" s="1067"/>
      <c r="W277" s="1067"/>
    </row>
    <row r="278" spans="20:23">
      <c r="T278" s="1067"/>
      <c r="U278" s="1067"/>
      <c r="V278" s="1067"/>
      <c r="W278" s="1067"/>
    </row>
    <row r="279" spans="20:23">
      <c r="T279" s="1067"/>
      <c r="U279" s="1067"/>
      <c r="V279" s="1067"/>
      <c r="W279" s="1067"/>
    </row>
    <row r="280" spans="20:23">
      <c r="T280" s="1067"/>
      <c r="U280" s="1067"/>
      <c r="V280" s="1067"/>
      <c r="W280" s="1067"/>
    </row>
    <row r="281" spans="20:23">
      <c r="T281" s="1067"/>
      <c r="U281" s="1067"/>
      <c r="V281" s="1067"/>
      <c r="W281" s="1067"/>
    </row>
    <row r="282" spans="20:23">
      <c r="T282" s="1067"/>
      <c r="U282" s="1067"/>
      <c r="V282" s="1067"/>
      <c r="W282" s="1067"/>
    </row>
    <row r="283" spans="20:23">
      <c r="T283" s="1067"/>
      <c r="U283" s="1067"/>
      <c r="V283" s="1067"/>
      <c r="W283" s="1067"/>
    </row>
    <row r="284" spans="20:23">
      <c r="T284" s="1067"/>
      <c r="U284" s="1067"/>
      <c r="V284" s="1067"/>
      <c r="W284" s="1067"/>
    </row>
    <row r="285" spans="20:23">
      <c r="T285" s="1067"/>
      <c r="U285" s="1067"/>
      <c r="V285" s="1067"/>
      <c r="W285" s="1067"/>
    </row>
    <row r="286" spans="20:23">
      <c r="T286" s="1067"/>
      <c r="U286" s="1067"/>
      <c r="V286" s="1067"/>
      <c r="W286" s="1067"/>
    </row>
    <row r="287" spans="20:23">
      <c r="T287" s="1067"/>
      <c r="U287" s="1067"/>
      <c r="V287" s="1067"/>
      <c r="W287" s="1067"/>
    </row>
    <row r="288" spans="20:23">
      <c r="T288" s="1067"/>
      <c r="U288" s="1067"/>
      <c r="V288" s="1067"/>
      <c r="W288" s="1067"/>
    </row>
    <row r="289" spans="20:23">
      <c r="T289" s="1067"/>
      <c r="U289" s="1067"/>
      <c r="V289" s="1067"/>
      <c r="W289" s="1067"/>
    </row>
    <row r="290" spans="20:23">
      <c r="T290" s="1067"/>
      <c r="U290" s="1067"/>
      <c r="V290" s="1067"/>
      <c r="W290" s="1067"/>
    </row>
    <row r="291" spans="20:23">
      <c r="T291" s="1067"/>
      <c r="U291" s="1067"/>
      <c r="V291" s="1067"/>
      <c r="W291" s="1067"/>
    </row>
    <row r="292" spans="20:23">
      <c r="T292" s="1067"/>
      <c r="U292" s="1067"/>
      <c r="V292" s="1067"/>
      <c r="W292" s="1067"/>
    </row>
    <row r="293" spans="20:23">
      <c r="T293" s="1067"/>
      <c r="U293" s="1067"/>
      <c r="V293" s="1067"/>
      <c r="W293" s="1067"/>
    </row>
    <row r="294" spans="20:23">
      <c r="T294" s="1067"/>
      <c r="U294" s="1067"/>
      <c r="V294" s="1067"/>
      <c r="W294" s="1067"/>
    </row>
    <row r="295" spans="20:23">
      <c r="T295" s="1067"/>
      <c r="U295" s="1067"/>
      <c r="V295" s="1067"/>
      <c r="W295" s="1067"/>
    </row>
    <row r="296" spans="20:23">
      <c r="T296" s="1067"/>
      <c r="U296" s="1067"/>
      <c r="V296" s="1067"/>
      <c r="W296" s="1067"/>
    </row>
    <row r="297" spans="20:23">
      <c r="T297" s="1067"/>
      <c r="U297" s="1067"/>
      <c r="V297" s="1067"/>
      <c r="W297" s="1067"/>
    </row>
    <row r="298" spans="20:23">
      <c r="T298" s="1067"/>
      <c r="U298" s="1067"/>
      <c r="V298" s="1067"/>
      <c r="W298" s="1067"/>
    </row>
    <row r="299" spans="20:23">
      <c r="T299" s="1067"/>
      <c r="U299" s="1067"/>
      <c r="V299" s="1067"/>
      <c r="W299" s="1067"/>
    </row>
    <row r="300" spans="20:23">
      <c r="T300" s="1067"/>
      <c r="U300" s="1067"/>
      <c r="V300" s="1067"/>
      <c r="W300" s="1067"/>
    </row>
    <row r="301" spans="20:23">
      <c r="T301" s="1067"/>
      <c r="U301" s="1067"/>
      <c r="V301" s="1067"/>
      <c r="W301" s="1067"/>
    </row>
    <row r="302" spans="20:23">
      <c r="T302" s="1067"/>
      <c r="U302" s="1067"/>
      <c r="V302" s="1067"/>
      <c r="W302" s="1067"/>
    </row>
    <row r="303" spans="20:23">
      <c r="T303" s="1067"/>
      <c r="U303" s="1067"/>
      <c r="V303" s="1067"/>
      <c r="W303" s="1067"/>
    </row>
    <row r="304" spans="20:23">
      <c r="T304" s="1067"/>
      <c r="U304" s="1067"/>
      <c r="V304" s="1067"/>
      <c r="W304" s="1067"/>
    </row>
    <row r="305" spans="20:23">
      <c r="T305" s="1067"/>
      <c r="U305" s="1067"/>
      <c r="V305" s="1067"/>
      <c r="W305" s="1067"/>
    </row>
    <row r="306" spans="20:23">
      <c r="T306" s="1067"/>
      <c r="U306" s="1067"/>
      <c r="V306" s="1067"/>
      <c r="W306" s="1067"/>
    </row>
    <row r="307" spans="20:23">
      <c r="T307" s="1067"/>
      <c r="U307" s="1067"/>
      <c r="V307" s="1067"/>
      <c r="W307" s="1067"/>
    </row>
    <row r="308" spans="20:23">
      <c r="T308" s="1067"/>
      <c r="U308" s="1067"/>
      <c r="V308" s="1067"/>
      <c r="W308" s="1067"/>
    </row>
    <row r="309" spans="20:23">
      <c r="T309" s="1067"/>
      <c r="U309" s="1067"/>
      <c r="V309" s="1067"/>
      <c r="W309" s="1067"/>
    </row>
    <row r="310" spans="20:23">
      <c r="T310" s="1067"/>
      <c r="U310" s="1067"/>
      <c r="V310" s="1067"/>
      <c r="W310" s="1067"/>
    </row>
    <row r="311" spans="20:23">
      <c r="T311" s="1067"/>
      <c r="U311" s="1067"/>
      <c r="V311" s="1067"/>
      <c r="W311" s="1067"/>
    </row>
    <row r="312" spans="20:23">
      <c r="T312" s="1067"/>
      <c r="U312" s="1067"/>
      <c r="V312" s="1067"/>
      <c r="W312" s="1067"/>
    </row>
    <row r="313" spans="20:23">
      <c r="T313" s="1067"/>
      <c r="U313" s="1067"/>
      <c r="V313" s="1067"/>
      <c r="W313" s="1067"/>
    </row>
    <row r="314" spans="20:23">
      <c r="T314" s="1067"/>
      <c r="U314" s="1067"/>
      <c r="V314" s="1067"/>
      <c r="W314" s="1067"/>
    </row>
    <row r="315" spans="20:23">
      <c r="T315" s="1067"/>
      <c r="U315" s="1067"/>
      <c r="V315" s="1067"/>
      <c r="W315" s="1067"/>
    </row>
    <row r="316" spans="20:23">
      <c r="T316" s="1067"/>
      <c r="U316" s="1067"/>
      <c r="V316" s="1067"/>
      <c r="W316" s="1067"/>
    </row>
    <row r="317" spans="20:23">
      <c r="T317" s="1067"/>
      <c r="U317" s="1067"/>
      <c r="V317" s="1067"/>
      <c r="W317" s="1067"/>
    </row>
    <row r="318" spans="20:23">
      <c r="T318" s="1067"/>
      <c r="U318" s="1067"/>
      <c r="V318" s="1067"/>
      <c r="W318" s="1067"/>
    </row>
    <row r="319" spans="20:23">
      <c r="T319" s="1067"/>
      <c r="U319" s="1067"/>
      <c r="V319" s="1067"/>
      <c r="W319" s="1067"/>
    </row>
    <row r="320" spans="20:23">
      <c r="T320" s="1067"/>
      <c r="U320" s="1067"/>
      <c r="V320" s="1067"/>
      <c r="W320" s="1067"/>
    </row>
    <row r="321" spans="20:23">
      <c r="T321" s="1067"/>
      <c r="U321" s="1067"/>
      <c r="V321" s="1067"/>
      <c r="W321" s="1067"/>
    </row>
    <row r="322" spans="20:23">
      <c r="T322" s="1067"/>
      <c r="U322" s="1067"/>
      <c r="V322" s="1067"/>
      <c r="W322" s="1067"/>
    </row>
    <row r="323" spans="20:23">
      <c r="T323" s="1067"/>
      <c r="U323" s="1067"/>
      <c r="V323" s="1067"/>
      <c r="W323" s="1067"/>
    </row>
    <row r="324" spans="20:23">
      <c r="T324" s="1067"/>
      <c r="U324" s="1067"/>
      <c r="V324" s="1067"/>
      <c r="W324" s="1067"/>
    </row>
    <row r="325" spans="20:23">
      <c r="T325" s="1067"/>
      <c r="U325" s="1067"/>
      <c r="V325" s="1067"/>
      <c r="W325" s="1067"/>
    </row>
    <row r="326" spans="20:23">
      <c r="T326" s="1067"/>
      <c r="U326" s="1067"/>
      <c r="V326" s="1067"/>
      <c r="W326" s="1067"/>
    </row>
    <row r="327" spans="20:23">
      <c r="T327" s="1067"/>
      <c r="U327" s="1067"/>
      <c r="V327" s="1067"/>
      <c r="W327" s="1067"/>
    </row>
    <row r="328" spans="20:23">
      <c r="T328" s="1067"/>
      <c r="U328" s="1067"/>
      <c r="V328" s="1067"/>
      <c r="W328" s="1067"/>
    </row>
    <row r="329" spans="20:23">
      <c r="T329" s="1067"/>
      <c r="U329" s="1067"/>
      <c r="V329" s="1067"/>
      <c r="W329" s="1067"/>
    </row>
    <row r="330" spans="20:23">
      <c r="T330" s="1067"/>
      <c r="U330" s="1067"/>
      <c r="V330" s="1067"/>
      <c r="W330" s="1067"/>
    </row>
    <row r="331" spans="20:23">
      <c r="T331" s="1067"/>
      <c r="U331" s="1067"/>
      <c r="V331" s="1067"/>
      <c r="W331" s="1067"/>
    </row>
    <row r="332" spans="20:23">
      <c r="T332" s="1067"/>
      <c r="U332" s="1067"/>
      <c r="V332" s="1067"/>
      <c r="W332" s="1067"/>
    </row>
    <row r="333" spans="20:23">
      <c r="T333" s="1067"/>
      <c r="U333" s="1067"/>
      <c r="V333" s="1067"/>
      <c r="W333" s="1067"/>
    </row>
    <row r="334" spans="20:23">
      <c r="T334" s="1067"/>
      <c r="U334" s="1067"/>
      <c r="V334" s="1067"/>
      <c r="W334" s="1067"/>
    </row>
    <row r="335" spans="20:23">
      <c r="T335" s="1067"/>
      <c r="U335" s="1067"/>
      <c r="V335" s="1067"/>
      <c r="W335" s="1067"/>
    </row>
    <row r="336" spans="20:23">
      <c r="T336" s="1067"/>
      <c r="U336" s="1067"/>
      <c r="V336" s="1067"/>
      <c r="W336" s="1067"/>
    </row>
    <row r="337" spans="20:23">
      <c r="T337" s="1067"/>
      <c r="U337" s="1067"/>
      <c r="V337" s="1067"/>
      <c r="W337" s="1067"/>
    </row>
    <row r="338" spans="20:23">
      <c r="T338" s="1067"/>
      <c r="U338" s="1067"/>
      <c r="V338" s="1067"/>
      <c r="W338" s="1067"/>
    </row>
    <row r="339" spans="20:23">
      <c r="T339" s="1067"/>
      <c r="U339" s="1067"/>
      <c r="V339" s="1067"/>
      <c r="W339" s="1067"/>
    </row>
    <row r="340" spans="20:23">
      <c r="T340" s="1067"/>
      <c r="U340" s="1067"/>
      <c r="V340" s="1067"/>
      <c r="W340" s="1067"/>
    </row>
    <row r="341" spans="20:23">
      <c r="T341" s="1067"/>
      <c r="U341" s="1067"/>
      <c r="V341" s="1067"/>
      <c r="W341" s="1067"/>
    </row>
    <row r="342" spans="20:23">
      <c r="T342" s="1067"/>
      <c r="U342" s="1067"/>
      <c r="V342" s="1067"/>
      <c r="W342" s="1067"/>
    </row>
    <row r="343" spans="20:23">
      <c r="T343" s="1067"/>
      <c r="U343" s="1067"/>
      <c r="V343" s="1067"/>
      <c r="W343" s="1067"/>
    </row>
    <row r="344" spans="20:23">
      <c r="T344" s="1067"/>
      <c r="U344" s="1067"/>
      <c r="V344" s="1067"/>
      <c r="W344" s="1067"/>
    </row>
    <row r="345" spans="20:23">
      <c r="T345" s="1067"/>
      <c r="U345" s="1067"/>
      <c r="V345" s="1067"/>
      <c r="W345" s="1067"/>
    </row>
    <row r="346" spans="20:23">
      <c r="T346" s="1067"/>
      <c r="U346" s="1067"/>
      <c r="V346" s="1067"/>
      <c r="W346" s="1067"/>
    </row>
    <row r="347" spans="20:23">
      <c r="T347" s="1067"/>
      <c r="U347" s="1067"/>
      <c r="V347" s="1067"/>
      <c r="W347" s="1067"/>
    </row>
    <row r="348" spans="20:23">
      <c r="T348" s="1067"/>
      <c r="U348" s="1067"/>
      <c r="V348" s="1067"/>
      <c r="W348" s="1067"/>
    </row>
    <row r="349" spans="20:23">
      <c r="T349" s="1067"/>
      <c r="U349" s="1067"/>
      <c r="V349" s="1067"/>
      <c r="W349" s="1067"/>
    </row>
    <row r="350" spans="20:23">
      <c r="T350" s="1067"/>
      <c r="U350" s="1067"/>
      <c r="V350" s="1067"/>
      <c r="W350" s="1067"/>
    </row>
    <row r="351" spans="20:23">
      <c r="T351" s="1067"/>
      <c r="U351" s="1067"/>
      <c r="V351" s="1067"/>
      <c r="W351" s="1067"/>
    </row>
    <row r="352" spans="20:23">
      <c r="T352" s="1067"/>
      <c r="U352" s="1067"/>
      <c r="V352" s="1067"/>
      <c r="W352" s="1067"/>
    </row>
    <row r="353" spans="20:23">
      <c r="T353" s="1067"/>
      <c r="U353" s="1067"/>
      <c r="V353" s="1067"/>
      <c r="W353" s="1067"/>
    </row>
    <row r="354" spans="20:23">
      <c r="T354" s="1067"/>
      <c r="U354" s="1067"/>
      <c r="V354" s="1067"/>
      <c r="W354" s="1067"/>
    </row>
    <row r="355" spans="20:23">
      <c r="T355" s="1067"/>
      <c r="U355" s="1067"/>
      <c r="V355" s="1067"/>
      <c r="W355" s="1067"/>
    </row>
    <row r="356" spans="20:23">
      <c r="T356" s="1067"/>
      <c r="U356" s="1067"/>
      <c r="V356" s="1067"/>
      <c r="W356" s="1067"/>
    </row>
    <row r="357" spans="20:23">
      <c r="T357" s="1067"/>
      <c r="U357" s="1067"/>
      <c r="V357" s="1067"/>
      <c r="W357" s="1067"/>
    </row>
    <row r="358" spans="20:23">
      <c r="T358" s="1067"/>
      <c r="U358" s="1067"/>
      <c r="V358" s="1067"/>
      <c r="W358" s="1067"/>
    </row>
    <row r="359" spans="20:23">
      <c r="T359" s="1067"/>
      <c r="U359" s="1067"/>
      <c r="V359" s="1067"/>
      <c r="W359" s="1067"/>
    </row>
    <row r="360" spans="20:23">
      <c r="T360" s="1067"/>
      <c r="U360" s="1067"/>
      <c r="V360" s="1067"/>
      <c r="W360" s="1067"/>
    </row>
    <row r="361" spans="20:23">
      <c r="T361" s="1067"/>
      <c r="U361" s="1067"/>
      <c r="V361" s="1067"/>
      <c r="W361" s="1067"/>
    </row>
    <row r="362" spans="20:23">
      <c r="T362" s="1067"/>
      <c r="U362" s="1067"/>
      <c r="V362" s="1067"/>
      <c r="W362" s="1067"/>
    </row>
    <row r="363" spans="20:23">
      <c r="T363" s="1067"/>
      <c r="U363" s="1067"/>
      <c r="V363" s="1067"/>
      <c r="W363" s="1067"/>
    </row>
    <row r="364" spans="20:23">
      <c r="T364" s="1067"/>
      <c r="U364" s="1067"/>
      <c r="V364" s="1067"/>
      <c r="W364" s="1067"/>
    </row>
    <row r="365" spans="20:23">
      <c r="T365" s="1067"/>
      <c r="U365" s="1067"/>
      <c r="V365" s="1067"/>
      <c r="W365" s="1067"/>
    </row>
    <row r="366" spans="20:23">
      <c r="T366" s="1067"/>
      <c r="U366" s="1067"/>
      <c r="V366" s="1067"/>
      <c r="W366" s="1067"/>
    </row>
    <row r="367" spans="20:23">
      <c r="T367" s="1067"/>
      <c r="U367" s="1067"/>
      <c r="V367" s="1067"/>
      <c r="W367" s="1067"/>
    </row>
    <row r="368" spans="20:23">
      <c r="T368" s="1067"/>
      <c r="U368" s="1067"/>
      <c r="V368" s="1067"/>
      <c r="W368" s="1067"/>
    </row>
    <row r="369" spans="20:23">
      <c r="T369" s="1067"/>
      <c r="U369" s="1067"/>
      <c r="V369" s="1067"/>
      <c r="W369" s="1067"/>
    </row>
    <row r="370" spans="20:23">
      <c r="T370" s="1067"/>
      <c r="U370" s="1067"/>
      <c r="V370" s="1067"/>
      <c r="W370" s="1067"/>
    </row>
    <row r="371" spans="20:23">
      <c r="T371" s="1067"/>
      <c r="U371" s="1067"/>
      <c r="V371" s="1067"/>
      <c r="W371" s="1067"/>
    </row>
    <row r="372" spans="20:23">
      <c r="T372" s="1067"/>
      <c r="U372" s="1067"/>
      <c r="V372" s="1067"/>
      <c r="W372" s="1067"/>
    </row>
    <row r="373" spans="20:23">
      <c r="T373" s="1067"/>
      <c r="U373" s="1067"/>
      <c r="V373" s="1067"/>
      <c r="W373" s="1067"/>
    </row>
    <row r="374" spans="20:23">
      <c r="T374" s="1067"/>
      <c r="U374" s="1067"/>
      <c r="V374" s="1067"/>
      <c r="W374" s="1067"/>
    </row>
    <row r="375" spans="20:23">
      <c r="T375" s="1067"/>
      <c r="U375" s="1067"/>
      <c r="V375" s="1067"/>
      <c r="W375" s="1067"/>
    </row>
    <row r="376" spans="20:23">
      <c r="T376" s="1067"/>
      <c r="U376" s="1067"/>
      <c r="V376" s="1067"/>
      <c r="W376" s="1067"/>
    </row>
    <row r="377" spans="20:23">
      <c r="T377" s="1067"/>
      <c r="U377" s="1067"/>
      <c r="V377" s="1067"/>
      <c r="W377" s="1067"/>
    </row>
    <row r="378" spans="20:23">
      <c r="T378" s="1067"/>
      <c r="U378" s="1067"/>
      <c r="V378" s="1067"/>
      <c r="W378" s="1067"/>
    </row>
    <row r="379" spans="20:23">
      <c r="T379" s="1067"/>
      <c r="U379" s="1067"/>
      <c r="V379" s="1067"/>
      <c r="W379" s="1067"/>
    </row>
    <row r="380" spans="20:23">
      <c r="T380" s="1067"/>
      <c r="U380" s="1067"/>
      <c r="V380" s="1067"/>
      <c r="W380" s="1067"/>
    </row>
    <row r="381" spans="20:23">
      <c r="T381" s="1067"/>
      <c r="U381" s="1067"/>
      <c r="V381" s="1067"/>
      <c r="W381" s="1067"/>
    </row>
    <row r="382" spans="20:23">
      <c r="T382" s="1067"/>
      <c r="U382" s="1067"/>
      <c r="V382" s="1067"/>
      <c r="W382" s="1067"/>
    </row>
    <row r="383" spans="20:23">
      <c r="T383" s="1067"/>
      <c r="U383" s="1067"/>
      <c r="V383" s="1067"/>
      <c r="W383" s="1067"/>
    </row>
    <row r="384" spans="20:23">
      <c r="T384" s="1067"/>
      <c r="U384" s="1067"/>
      <c r="V384" s="1067"/>
      <c r="W384" s="1067"/>
    </row>
    <row r="385" spans="20:23">
      <c r="T385" s="1067"/>
      <c r="U385" s="1067"/>
      <c r="V385" s="1067"/>
      <c r="W385" s="1067"/>
    </row>
    <row r="386" spans="20:23">
      <c r="T386" s="1067"/>
      <c r="U386" s="1067"/>
      <c r="V386" s="1067"/>
      <c r="W386" s="1067"/>
    </row>
    <row r="387" spans="20:23">
      <c r="T387" s="1067"/>
      <c r="U387" s="1067"/>
      <c r="V387" s="1067"/>
      <c r="W387" s="1067"/>
    </row>
    <row r="388" spans="20:23">
      <c r="T388" s="1067"/>
      <c r="U388" s="1067"/>
      <c r="V388" s="1067"/>
      <c r="W388" s="1067"/>
    </row>
    <row r="389" spans="20:23">
      <c r="T389" s="1067"/>
      <c r="U389" s="1067"/>
      <c r="V389" s="1067"/>
      <c r="W389" s="1067"/>
    </row>
    <row r="390" spans="20:23">
      <c r="T390" s="1067"/>
      <c r="U390" s="1067"/>
      <c r="V390" s="1067"/>
      <c r="W390" s="1067"/>
    </row>
    <row r="391" spans="20:23">
      <c r="T391" s="1067"/>
      <c r="U391" s="1067"/>
      <c r="V391" s="1067"/>
      <c r="W391" s="1067"/>
    </row>
    <row r="392" spans="20:23">
      <c r="T392" s="1067"/>
      <c r="U392" s="1067"/>
      <c r="V392" s="1067"/>
      <c r="W392" s="1067"/>
    </row>
    <row r="393" spans="20:23">
      <c r="T393" s="1067"/>
      <c r="U393" s="1067"/>
      <c r="V393" s="1067"/>
      <c r="W393" s="1067"/>
    </row>
    <row r="394" spans="20:23">
      <c r="T394" s="1067"/>
      <c r="U394" s="1067"/>
      <c r="V394" s="1067"/>
      <c r="W394" s="1067"/>
    </row>
    <row r="395" spans="20:23">
      <c r="T395" s="1067"/>
      <c r="U395" s="1067"/>
      <c r="V395" s="1067"/>
      <c r="W395" s="1067"/>
    </row>
    <row r="396" spans="20:23">
      <c r="T396" s="1067"/>
      <c r="U396" s="1067"/>
      <c r="V396" s="1067"/>
      <c r="W396" s="1067"/>
    </row>
    <row r="397" spans="20:23">
      <c r="T397" s="1067"/>
      <c r="U397" s="1067"/>
      <c r="V397" s="1067"/>
      <c r="W397" s="1067"/>
    </row>
    <row r="398" spans="20:23">
      <c r="T398" s="1067"/>
      <c r="U398" s="1067"/>
      <c r="V398" s="1067"/>
      <c r="W398" s="1067"/>
    </row>
    <row r="399" spans="20:23">
      <c r="T399" s="1067"/>
      <c r="U399" s="1067"/>
      <c r="V399" s="1067"/>
      <c r="W399" s="1067"/>
    </row>
    <row r="400" spans="20:23">
      <c r="T400" s="1067"/>
      <c r="U400" s="1067"/>
      <c r="V400" s="1067"/>
      <c r="W400" s="1067"/>
    </row>
    <row r="401" spans="20:23">
      <c r="T401" s="1067"/>
      <c r="U401" s="1067"/>
      <c r="V401" s="1067"/>
      <c r="W401" s="1067"/>
    </row>
    <row r="402" spans="20:23">
      <c r="T402" s="1067"/>
      <c r="U402" s="1067"/>
      <c r="V402" s="1067"/>
      <c r="W402" s="1067"/>
    </row>
    <row r="403" spans="20:23">
      <c r="T403" s="1067"/>
      <c r="U403" s="1067"/>
      <c r="V403" s="1067"/>
      <c r="W403" s="1067"/>
    </row>
    <row r="404" spans="20:23">
      <c r="T404" s="1067"/>
      <c r="U404" s="1067"/>
      <c r="V404" s="1067"/>
      <c r="W404" s="1067"/>
    </row>
    <row r="405" spans="20:23">
      <c r="T405" s="1067"/>
      <c r="U405" s="1067"/>
      <c r="V405" s="1067"/>
      <c r="W405" s="1067"/>
    </row>
    <row r="406" spans="20:23">
      <c r="T406" s="1067"/>
      <c r="U406" s="1067"/>
      <c r="V406" s="1067"/>
      <c r="W406" s="1067"/>
    </row>
    <row r="407" spans="20:23">
      <c r="T407" s="1067"/>
      <c r="U407" s="1067"/>
      <c r="V407" s="1067"/>
      <c r="W407" s="1067"/>
    </row>
    <row r="408" spans="20:23">
      <c r="T408" s="1067"/>
      <c r="U408" s="1067"/>
      <c r="V408" s="1067"/>
      <c r="W408" s="1067"/>
    </row>
    <row r="409" spans="20:23">
      <c r="T409" s="1067"/>
      <c r="U409" s="1067"/>
      <c r="V409" s="1067"/>
      <c r="W409" s="1067"/>
    </row>
    <row r="410" spans="20:23">
      <c r="T410" s="1067"/>
      <c r="U410" s="1067"/>
      <c r="V410" s="1067"/>
      <c r="W410" s="1067"/>
    </row>
    <row r="411" spans="20:23">
      <c r="T411" s="1067"/>
      <c r="U411" s="1067"/>
      <c r="V411" s="1067"/>
      <c r="W411" s="1067"/>
    </row>
    <row r="412" spans="20:23">
      <c r="T412" s="1067"/>
      <c r="U412" s="1067"/>
      <c r="V412" s="1067"/>
      <c r="W412" s="1067"/>
    </row>
    <row r="413" spans="20:23">
      <c r="T413" s="1067"/>
      <c r="U413" s="1067"/>
      <c r="V413" s="1067"/>
      <c r="W413" s="1067"/>
    </row>
    <row r="414" spans="20:23">
      <c r="T414" s="1067"/>
      <c r="U414" s="1067"/>
      <c r="V414" s="1067"/>
      <c r="W414" s="1067"/>
    </row>
    <row r="415" spans="20:23">
      <c r="T415" s="1067"/>
      <c r="U415" s="1067"/>
      <c r="V415" s="1067"/>
      <c r="W415" s="1067"/>
    </row>
    <row r="416" spans="20:23">
      <c r="T416" s="1067"/>
      <c r="U416" s="1067"/>
      <c r="V416" s="1067"/>
      <c r="W416" s="1067"/>
    </row>
    <row r="417" spans="20:23">
      <c r="T417" s="1067"/>
      <c r="U417" s="1067"/>
      <c r="V417" s="1067"/>
      <c r="W417" s="1067"/>
    </row>
    <row r="418" spans="20:23">
      <c r="T418" s="1067"/>
      <c r="U418" s="1067"/>
      <c r="V418" s="1067"/>
      <c r="W418" s="1067"/>
    </row>
    <row r="419" spans="20:23">
      <c r="T419" s="1067"/>
      <c r="U419" s="1067"/>
      <c r="V419" s="1067"/>
      <c r="W419" s="1067"/>
    </row>
    <row r="420" spans="20:23">
      <c r="T420" s="1067"/>
      <c r="U420" s="1067"/>
      <c r="V420" s="1067"/>
      <c r="W420" s="1067"/>
    </row>
    <row r="421" spans="20:23">
      <c r="T421" s="1067"/>
      <c r="U421" s="1067"/>
      <c r="V421" s="1067"/>
      <c r="W421" s="1067"/>
    </row>
    <row r="422" spans="20:23">
      <c r="T422" s="1067"/>
      <c r="U422" s="1067"/>
      <c r="V422" s="1067"/>
      <c r="W422" s="1067"/>
    </row>
    <row r="423" spans="20:23">
      <c r="T423" s="1067"/>
      <c r="U423" s="1067"/>
      <c r="V423" s="1067"/>
      <c r="W423" s="1067"/>
    </row>
    <row r="424" spans="20:23">
      <c r="T424" s="1067"/>
      <c r="U424" s="1067"/>
      <c r="V424" s="1067"/>
      <c r="W424" s="1067"/>
    </row>
    <row r="425" spans="20:23">
      <c r="T425" s="1067"/>
      <c r="U425" s="1067"/>
      <c r="V425" s="1067"/>
      <c r="W425" s="1067"/>
    </row>
    <row r="426" spans="20:23">
      <c r="T426" s="1067"/>
      <c r="U426" s="1067"/>
      <c r="V426" s="1067"/>
      <c r="W426" s="1067"/>
    </row>
    <row r="427" spans="20:23">
      <c r="T427" s="1067"/>
      <c r="U427" s="1067"/>
      <c r="V427" s="1067"/>
      <c r="W427" s="1067"/>
    </row>
    <row r="428" spans="20:23">
      <c r="T428" s="1067"/>
      <c r="U428" s="1067"/>
      <c r="V428" s="1067"/>
      <c r="W428" s="1067"/>
    </row>
    <row r="429" spans="20:23">
      <c r="T429" s="1067"/>
      <c r="U429" s="1067"/>
      <c r="V429" s="1067"/>
      <c r="W429" s="1067"/>
    </row>
    <row r="430" spans="20:23">
      <c r="T430" s="1067"/>
      <c r="U430" s="1067"/>
      <c r="V430" s="1067"/>
      <c r="W430" s="1067"/>
    </row>
  </sheetData>
  <sheetProtection algorithmName="SHA-512" hashValue="MacE2iIjLJLl740IdLsaH+Tw5T/JORxqqPXc0Xe/1cROk16YHs/fEE+gMj32WQCp6+Q9lAco+ngjZWYTrJ6/0A==" saltValue="DvKSerxTAfNtbxmLyzvfEQ==" spinCount="100000" sheet="1" objects="1" scenarios="1"/>
  <mergeCells count="6">
    <mergeCell ref="B8:C8"/>
    <mergeCell ref="B9:C9"/>
    <mergeCell ref="A168:W168"/>
    <mergeCell ref="A167:W167"/>
    <mergeCell ref="A186:W186"/>
    <mergeCell ref="O143:W145"/>
  </mergeCells>
  <phoneticPr fontId="0" type="noConversion"/>
  <printOptions horizontalCentered="1"/>
  <pageMargins left="0.17" right="0.16" top="0.53" bottom="0.8" header="0.5" footer="0.5"/>
  <pageSetup scale="57" fitToHeight="4" orientation="landscape" r:id="rId1"/>
  <headerFooter alignWithMargins="0">
    <oddFooter>&amp;LHawai'i DOH
Spring 2024&amp;C&amp;8Page &amp;P of &amp;N&amp;R&amp;A</oddFooter>
  </headerFooter>
  <rowBreaks count="1" manualBreakCount="1">
    <brk id="1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pageSetUpPr autoPageBreaks="0" fitToPage="1"/>
  </sheetPr>
  <dimension ref="B1:L50"/>
  <sheetViews>
    <sheetView showGridLines="0" showRowColHeaders="0" workbookViewId="0">
      <selection activeCell="D4" sqref="D4"/>
    </sheetView>
  </sheetViews>
  <sheetFormatPr defaultColWidth="9.1328125" defaultRowHeight="15.4"/>
  <cols>
    <col min="1" max="1" width="2" style="24" customWidth="1"/>
    <col min="2" max="2" width="9.1328125" style="24"/>
    <col min="3" max="3" width="13" style="24" customWidth="1"/>
    <col min="4" max="4" width="15.265625" style="24" customWidth="1"/>
    <col min="5" max="5" width="8.265625" style="24" customWidth="1"/>
    <col min="6" max="7" width="15.59765625" style="24" customWidth="1"/>
    <col min="8" max="8" width="13.86328125" style="24" customWidth="1"/>
    <col min="9" max="9" width="10.59765625" style="24" customWidth="1"/>
    <col min="10" max="10" width="4.73046875" style="24" customWidth="1"/>
    <col min="11" max="11" width="9.1328125" style="24"/>
    <col min="12" max="12" width="9.86328125" style="24" customWidth="1"/>
    <col min="13" max="16384" width="9.1328125" style="24"/>
  </cols>
  <sheetData>
    <row r="1" spans="2:12" ht="22.5">
      <c r="B1" s="357" t="s">
        <v>323</v>
      </c>
      <c r="C1" s="148"/>
      <c r="D1" s="148"/>
      <c r="E1" s="148"/>
      <c r="F1" s="148"/>
      <c r="G1" s="148"/>
      <c r="H1" s="148"/>
      <c r="I1" s="148"/>
      <c r="J1" s="280" t="s">
        <v>300</v>
      </c>
      <c r="K1" s="148"/>
      <c r="L1" s="148"/>
    </row>
    <row r="2" spans="2:12" ht="17.25">
      <c r="B2" s="121" t="s">
        <v>1750</v>
      </c>
      <c r="C2" s="148"/>
      <c r="D2" s="148"/>
      <c r="E2" s="148"/>
      <c r="F2" s="148"/>
      <c r="G2" s="148"/>
      <c r="H2" s="148"/>
      <c r="I2" s="148"/>
    </row>
    <row r="3" spans="2:12" ht="4.5" customHeight="1" thickBot="1">
      <c r="B3" s="148"/>
      <c r="C3" s="148"/>
      <c r="D3" s="148"/>
      <c r="E3" s="148"/>
      <c r="F3" s="148"/>
      <c r="G3" s="148"/>
      <c r="H3" s="148"/>
      <c r="I3" s="148"/>
    </row>
    <row r="4" spans="2:12" ht="15.75" thickTop="1">
      <c r="B4" s="281"/>
      <c r="C4" s="282" t="s">
        <v>301</v>
      </c>
      <c r="D4" s="343"/>
      <c r="E4" s="343"/>
      <c r="F4" s="343"/>
      <c r="G4" s="343"/>
      <c r="H4" s="343"/>
      <c r="I4" s="283"/>
      <c r="J4" s="284"/>
      <c r="K4" s="284"/>
    </row>
    <row r="5" spans="2:12">
      <c r="B5" s="285"/>
      <c r="C5" s="286" t="s">
        <v>302</v>
      </c>
      <c r="D5" s="344"/>
      <c r="E5" s="344"/>
      <c r="F5" s="344"/>
      <c r="G5" s="344"/>
      <c r="H5" s="344"/>
      <c r="I5" s="287"/>
      <c r="J5" s="288"/>
      <c r="K5" s="288"/>
    </row>
    <row r="6" spans="2:12">
      <c r="B6" s="285"/>
      <c r="C6" s="286"/>
      <c r="D6" s="344"/>
      <c r="E6" s="344"/>
      <c r="F6" s="344"/>
      <c r="G6" s="344"/>
      <c r="H6" s="344"/>
      <c r="I6" s="287"/>
      <c r="J6" s="288"/>
      <c r="K6" s="288"/>
    </row>
    <row r="7" spans="2:12">
      <c r="B7" s="285"/>
      <c r="C7" s="286"/>
      <c r="D7" s="344"/>
      <c r="E7" s="344"/>
      <c r="F7" s="344"/>
      <c r="G7" s="344"/>
      <c r="H7" s="344"/>
      <c r="I7" s="287"/>
      <c r="J7" s="288"/>
      <c r="K7" s="288"/>
    </row>
    <row r="8" spans="2:12">
      <c r="B8" s="285"/>
      <c r="C8" s="286" t="s">
        <v>303</v>
      </c>
      <c r="D8" s="289"/>
      <c r="E8" s="289"/>
      <c r="F8" s="289"/>
      <c r="G8" s="289"/>
      <c r="H8" s="289"/>
      <c r="I8" s="290"/>
      <c r="J8" s="288"/>
      <c r="K8" s="288"/>
    </row>
    <row r="9" spans="2:12" ht="15.75" thickBot="1">
      <c r="B9" s="291"/>
      <c r="C9" s="292" t="s">
        <v>559</v>
      </c>
      <c r="D9" s="293"/>
      <c r="E9" s="293"/>
      <c r="F9" s="293"/>
      <c r="G9" s="293"/>
      <c r="H9" s="293"/>
      <c r="I9" s="290"/>
      <c r="J9" s="294"/>
      <c r="K9" s="294"/>
    </row>
    <row r="10" spans="2:12" ht="8.25" customHeight="1" thickTop="1" thickBot="1"/>
    <row r="11" spans="2:12" ht="17.25" customHeight="1" thickTop="1">
      <c r="D11" s="1326" t="s">
        <v>304</v>
      </c>
      <c r="E11" s="1327"/>
      <c r="F11" s="1331"/>
      <c r="G11" s="279"/>
    </row>
    <row r="12" spans="2:12" ht="31.5" customHeight="1">
      <c r="D12" s="1329" t="s">
        <v>504</v>
      </c>
      <c r="E12" s="1332"/>
      <c r="F12" s="295" t="str">
        <f>'2. EAL Surfer - Tier 1 EALs'!D5</f>
        <v>Unrestricted</v>
      </c>
      <c r="G12" s="296"/>
    </row>
    <row r="13" spans="2:12" ht="31.5" customHeight="1">
      <c r="D13" s="1329" t="s">
        <v>267</v>
      </c>
      <c r="E13" s="1330"/>
      <c r="F13" s="297" t="str">
        <f>'2. EAL Surfer - Tier 1 EALs'!D7</f>
        <v>Drinking Water Resource</v>
      </c>
      <c r="G13" s="296"/>
    </row>
    <row r="14" spans="2:12" ht="31.5" customHeight="1" thickBot="1">
      <c r="D14" s="1333" t="s">
        <v>723</v>
      </c>
      <c r="E14" s="1334"/>
      <c r="F14" s="298" t="str">
        <f>'2. EAL Surfer - Tier 1 EALs'!D10</f>
        <v>&lt; 150m</v>
      </c>
      <c r="G14" s="296"/>
    </row>
    <row r="15" spans="2:12" ht="9" customHeight="1" thickTop="1" thickBot="1"/>
    <row r="16" spans="2:12" ht="16.149999999999999" thickTop="1" thickBot="1">
      <c r="B16" s="299"/>
      <c r="C16" s="300"/>
      <c r="D16" s="301" t="s">
        <v>305</v>
      </c>
      <c r="E16" s="1335" t="str">
        <f>'2. EAL Surfer - Tier 1 EALs'!H3</f>
        <v>DIBROMO,1,2- CHLOROPROPANE,3-</v>
      </c>
      <c r="F16" s="1336"/>
      <c r="G16" s="1336"/>
      <c r="H16" s="1337"/>
      <c r="I16" s="302"/>
    </row>
    <row r="17" spans="2:9" ht="10.5" customHeight="1" thickTop="1" thickBot="1">
      <c r="D17" s="303"/>
      <c r="E17" s="304"/>
      <c r="F17" s="78"/>
      <c r="G17" s="78"/>
      <c r="H17" s="78"/>
    </row>
    <row r="18" spans="2:9" ht="15.75" thickTop="1">
      <c r="B18" s="1320" t="s">
        <v>324</v>
      </c>
      <c r="C18" s="1321"/>
      <c r="D18" s="1322"/>
      <c r="E18" s="304"/>
      <c r="F18" s="78"/>
      <c r="G18" s="78"/>
      <c r="H18" s="78"/>
    </row>
    <row r="19" spans="2:9">
      <c r="B19" s="325"/>
      <c r="C19" s="358" t="s">
        <v>268</v>
      </c>
      <c r="D19" s="359" t="str">
        <f>IF('2. EAL Surfer - Tier 1 EALs'!D22=0,"-",'2. EAL Surfer - Tier 1 EALs'!D22)</f>
        <v>-</v>
      </c>
      <c r="E19" s="304"/>
      <c r="F19" s="78"/>
      <c r="G19" s="78"/>
      <c r="H19" s="78"/>
    </row>
    <row r="20" spans="2:9">
      <c r="B20" s="45"/>
      <c r="C20" s="305" t="s">
        <v>306</v>
      </c>
      <c r="D20" s="306" t="str">
        <f>IF('2. EAL Surfer - Tier 1 EALs'!D24=0,"-",'2. EAL Surfer - Tier 1 EALs'!D24)</f>
        <v>-</v>
      </c>
      <c r="E20" s="304"/>
      <c r="F20" s="78"/>
      <c r="G20" s="78"/>
      <c r="H20" s="78"/>
    </row>
    <row r="21" spans="2:9" ht="18" thickBot="1">
      <c r="B21" s="122"/>
      <c r="C21" s="307" t="s">
        <v>1141</v>
      </c>
      <c r="D21" s="308" t="str">
        <f>IF('2. EAL Surfer - Tier 1 EALs'!D26=0,"-",'2. EAL Surfer - Tier 1 EALs'!D26)</f>
        <v>-</v>
      </c>
      <c r="E21" s="304"/>
      <c r="F21" s="78"/>
      <c r="G21" s="78"/>
      <c r="H21" s="78"/>
    </row>
    <row r="22" spans="2:9" ht="10.5" customHeight="1" thickTop="1" thickBot="1"/>
    <row r="23" spans="2:9" ht="33" thickTop="1">
      <c r="B23" s="1323" t="s">
        <v>962</v>
      </c>
      <c r="C23" s="1324"/>
      <c r="D23" s="1325"/>
      <c r="E23" s="309" t="s">
        <v>307</v>
      </c>
      <c r="F23" s="381" t="s">
        <v>519</v>
      </c>
      <c r="G23" s="373" t="s">
        <v>964</v>
      </c>
      <c r="H23" s="375" t="s">
        <v>557</v>
      </c>
      <c r="I23" s="310"/>
    </row>
    <row r="24" spans="2:9">
      <c r="B24" s="45"/>
      <c r="D24" s="303" t="s">
        <v>309</v>
      </c>
      <c r="E24" s="311" t="s">
        <v>78</v>
      </c>
      <c r="F24" s="312">
        <f>'Surfer Compiler HDOH'!C46</f>
        <v>5.7102531036448472E-3</v>
      </c>
      <c r="G24" s="313" t="str">
        <f>IF(F24="-","-",IF($D$19="-","-",(IF($D$19&gt;F24,"Yes","No"))))</f>
        <v>-</v>
      </c>
      <c r="H24" s="314" t="str">
        <f>'Surfer Compiler HDOH'!D46</f>
        <v>Table I-1</v>
      </c>
      <c r="I24" s="315"/>
    </row>
    <row r="25" spans="2:9">
      <c r="B25" s="45"/>
      <c r="D25" s="303" t="s">
        <v>311</v>
      </c>
      <c r="E25" s="311" t="s">
        <v>78</v>
      </c>
      <c r="F25" s="312" t="str">
        <f>'Surfer Compiler HDOH'!C50</f>
        <v>(Use soil gas)</v>
      </c>
      <c r="G25" s="313" t="str">
        <f>IF(OR(F25="-",F25="(Use soil gas)"),"-",IF($D$19="-","-",(IF($D$19&gt;F25,"Yes","No"))))</f>
        <v>-</v>
      </c>
      <c r="H25" s="314" t="str">
        <f>'Surfer Compiler HDOH'!D50</f>
        <v>Table C-1b</v>
      </c>
      <c r="I25" s="315"/>
    </row>
    <row r="26" spans="2:9">
      <c r="B26" s="45"/>
      <c r="D26" s="303" t="s">
        <v>678</v>
      </c>
      <c r="E26" s="311" t="s">
        <v>78</v>
      </c>
      <c r="F26" s="312" t="str">
        <f>'Surfer Compiler HDOH'!C60</f>
        <v>site-specific</v>
      </c>
      <c r="G26" s="313" t="str">
        <f>IF(F26="-","-",IF($D$19="-","-",(IF($D$19&gt;F26,"Yes","No"))))</f>
        <v>-</v>
      </c>
      <c r="H26" s="314" t="str">
        <f>'Surfer Compiler HDOH'!D60</f>
        <v>Table L</v>
      </c>
      <c r="I26" s="315"/>
    </row>
    <row r="27" spans="2:9">
      <c r="B27" s="45"/>
      <c r="D27" s="303" t="s">
        <v>312</v>
      </c>
      <c r="E27" s="311" t="s">
        <v>78</v>
      </c>
      <c r="F27" s="312">
        <f>'Surfer Compiler HDOH'!C68</f>
        <v>500</v>
      </c>
      <c r="G27" s="313" t="str">
        <f>IF(F27="-","-",IF($D$19="-","-",(IF($D$19&gt;F27,"Yes","No"))))</f>
        <v>-</v>
      </c>
      <c r="H27" s="314" t="str">
        <f>'Surfer Compiler HDOH'!D68</f>
        <v>Table F-2</v>
      </c>
      <c r="I27" s="315"/>
    </row>
    <row r="28" spans="2:9">
      <c r="B28" s="316"/>
      <c r="C28" s="317"/>
      <c r="D28" s="318" t="s">
        <v>902</v>
      </c>
      <c r="E28" s="319" t="s">
        <v>78</v>
      </c>
      <c r="F28" s="320">
        <f>'Surfer Compiler HDOH'!C56</f>
        <v>8.061539999999999E-4</v>
      </c>
      <c r="G28" s="321" t="str">
        <f>IF(OR(F28="-",F28="(Use batch test)"),"-",IF($D$19="-","-",(IF($D$19&gt;F28,"Yes","No"))))</f>
        <v>-</v>
      </c>
      <c r="H28" s="322" t="str">
        <f>'Surfer Compiler HDOH'!D56</f>
        <v>Table E-1</v>
      </c>
      <c r="I28" s="315"/>
    </row>
    <row r="29" spans="2:9">
      <c r="B29" s="45"/>
      <c r="D29" s="303" t="s">
        <v>146</v>
      </c>
      <c r="E29" s="319" t="s">
        <v>78</v>
      </c>
      <c r="F29" s="320" t="str">
        <f>'Surfer Compiler HDOH'!C70</f>
        <v>-</v>
      </c>
      <c r="G29" s="323"/>
      <c r="H29" s="322"/>
      <c r="I29" s="324"/>
    </row>
    <row r="30" spans="2:9">
      <c r="B30" s="325"/>
      <c r="C30" s="326"/>
      <c r="D30" s="199" t="s">
        <v>10</v>
      </c>
      <c r="E30" s="327" t="s">
        <v>78</v>
      </c>
      <c r="F30" s="328">
        <f>'Surfer Compiler HDOH'!C71</f>
        <v>8.061539999999999E-4</v>
      </c>
      <c r="G30" s="329"/>
      <c r="H30" s="330"/>
      <c r="I30" s="331"/>
    </row>
    <row r="31" spans="2:9" ht="15.75" thickBot="1">
      <c r="B31" s="122"/>
      <c r="C31" s="277"/>
      <c r="D31" s="277"/>
      <c r="E31" s="278" t="s">
        <v>677</v>
      </c>
      <c r="F31" s="332" t="str">
        <f>'Surfer Compiler HDOH'!D25</f>
        <v>Leaching</v>
      </c>
      <c r="G31" s="333"/>
      <c r="H31" s="334"/>
      <c r="I31" s="331"/>
    </row>
    <row r="32" spans="2:9" ht="12" customHeight="1" thickTop="1" thickBot="1">
      <c r="B32" s="374"/>
      <c r="E32" s="77"/>
      <c r="F32" s="313"/>
      <c r="G32" s="313"/>
    </row>
    <row r="33" spans="2:9" ht="35.25" customHeight="1" thickTop="1">
      <c r="B33" s="1326" t="s">
        <v>963</v>
      </c>
      <c r="C33" s="1327"/>
      <c r="D33" s="1328"/>
      <c r="E33" s="309" t="s">
        <v>307</v>
      </c>
      <c r="F33" s="381" t="s">
        <v>519</v>
      </c>
      <c r="G33" s="373" t="s">
        <v>964</v>
      </c>
      <c r="H33" s="375" t="s">
        <v>557</v>
      </c>
      <c r="I33" s="315"/>
    </row>
    <row r="34" spans="2:9">
      <c r="B34" s="45"/>
      <c r="D34" s="303" t="s">
        <v>313</v>
      </c>
      <c r="E34" s="311" t="s">
        <v>314</v>
      </c>
      <c r="F34" s="312">
        <f>'Surfer Compiler HDOH'!C75</f>
        <v>0.04</v>
      </c>
      <c r="G34" s="313" t="str">
        <f>IF(F34="-","-",IF($D$20="-","-",(IF($D$20&gt;F34,"Yes","No"))))</f>
        <v>-</v>
      </c>
      <c r="H34" s="314" t="str">
        <f>'Surfer Compiler HDOH'!D75</f>
        <v>Table D-3a</v>
      </c>
      <c r="I34" s="315"/>
    </row>
    <row r="35" spans="2:9">
      <c r="B35" s="45"/>
      <c r="D35" s="303" t="s">
        <v>311</v>
      </c>
      <c r="E35" s="311" t="s">
        <v>314</v>
      </c>
      <c r="F35" s="312" t="str">
        <f>'Surfer Compiler HDOH'!C79</f>
        <v>(Use soil gas)</v>
      </c>
      <c r="G35" s="313" t="str">
        <f>IF(OR(F35="-",F35="(Use soil gas)"),"-",IF($D$20="-","-",(IF($D$20&gt;F35,"Yes","No"))))</f>
        <v>-</v>
      </c>
      <c r="H35" s="314" t="str">
        <f>'Surfer Compiler HDOH'!D79</f>
        <v>Table C-1a</v>
      </c>
      <c r="I35" s="315"/>
    </row>
    <row r="36" spans="2:9">
      <c r="B36" s="45"/>
      <c r="D36" s="303" t="s">
        <v>503</v>
      </c>
      <c r="E36" s="311" t="s">
        <v>314</v>
      </c>
      <c r="F36" s="312">
        <f>'Surfer Compiler HDOH'!C83</f>
        <v>0.04</v>
      </c>
      <c r="G36" s="313" t="str">
        <f>IF(F36="-","-",IF($D$20="-","-",(IF($D$20&gt;F36,"Yes","No"))))</f>
        <v>-</v>
      </c>
      <c r="H36" s="314" t="str">
        <f>'Surfer Compiler HDOH'!D83</f>
        <v>Table D-4a</v>
      </c>
      <c r="I36" s="315"/>
    </row>
    <row r="37" spans="2:9">
      <c r="B37" s="316"/>
      <c r="C37" s="317"/>
      <c r="D37" s="318" t="s">
        <v>312</v>
      </c>
      <c r="E37" s="319" t="s">
        <v>314</v>
      </c>
      <c r="F37" s="320">
        <f>'Surfer Compiler HDOH'!C87</f>
        <v>10</v>
      </c>
      <c r="G37" s="321" t="str">
        <f>IF(F37="-","-",IF($D$20="-","-",(IF($D$20&gt;F37,"Yes","No"))))</f>
        <v>-</v>
      </c>
      <c r="H37" s="314" t="str">
        <f>'Surfer Compiler HDOH'!D87</f>
        <v>Table G-1</v>
      </c>
      <c r="I37" s="315"/>
    </row>
    <row r="38" spans="2:9">
      <c r="B38" s="325"/>
      <c r="C38" s="326"/>
      <c r="D38" s="199" t="s">
        <v>608</v>
      </c>
      <c r="E38" s="327" t="s">
        <v>314</v>
      </c>
      <c r="F38" s="328">
        <f>MIN(F34:F37)</f>
        <v>0.04</v>
      </c>
      <c r="G38" s="328"/>
      <c r="H38" s="330"/>
      <c r="I38" s="331"/>
    </row>
    <row r="39" spans="2:9" ht="15.75" thickBot="1">
      <c r="B39" s="122"/>
      <c r="C39" s="277"/>
      <c r="D39" s="277"/>
      <c r="E39" s="278" t="s">
        <v>677</v>
      </c>
      <c r="F39" s="332" t="str">
        <f>'Surfer Compiler HDOH'!D38</f>
        <v>Drinking Water Toxicity</v>
      </c>
      <c r="G39" s="338"/>
      <c r="H39" s="334"/>
      <c r="I39" s="331"/>
    </row>
    <row r="40" spans="2:9" ht="12" customHeight="1" thickTop="1" thickBot="1">
      <c r="B40" s="374"/>
      <c r="E40" s="77"/>
      <c r="F40" s="313"/>
      <c r="G40" s="313"/>
    </row>
    <row r="41" spans="2:9" ht="33" thickTop="1">
      <c r="B41" s="335" t="s">
        <v>39</v>
      </c>
      <c r="C41" s="336"/>
      <c r="D41" s="337"/>
      <c r="E41" s="309" t="s">
        <v>307</v>
      </c>
      <c r="F41" s="309" t="s">
        <v>11</v>
      </c>
      <c r="G41" s="373" t="s">
        <v>964</v>
      </c>
      <c r="H41" s="375" t="s">
        <v>557</v>
      </c>
    </row>
    <row r="42" spans="2:9" ht="17.649999999999999">
      <c r="B42" s="45"/>
      <c r="D42" s="303" t="s">
        <v>1144</v>
      </c>
      <c r="E42" s="311" t="s">
        <v>237</v>
      </c>
      <c r="F42" s="312">
        <f>'Surfer Compiler HDOH'!C99</f>
        <v>0.33796296296296285</v>
      </c>
      <c r="G42" s="77" t="str">
        <f>IF(F42="-","-",IF($D$21="-","-",(IF($D$21&gt;F42,"Yes","No"))))</f>
        <v>-</v>
      </c>
      <c r="H42" s="361" t="str">
        <f>'Surfer Compiler HDOH'!D99</f>
        <v>Table C-2</v>
      </c>
    </row>
    <row r="43" spans="2:9" ht="18" thickBot="1">
      <c r="B43" s="122"/>
      <c r="C43" s="277"/>
      <c r="D43" s="278" t="s">
        <v>315</v>
      </c>
      <c r="E43" s="339" t="s">
        <v>237</v>
      </c>
      <c r="F43" s="340">
        <f>'Surfer Compiler HDOH'!C95</f>
        <v>1.6898148148148143E-4</v>
      </c>
      <c r="G43" s="362" t="s">
        <v>367</v>
      </c>
      <c r="H43" s="341" t="str">
        <f>'Surfer Compiler HDOH'!D95</f>
        <v>Table C-3</v>
      </c>
    </row>
    <row r="44" spans="2:9" ht="11.25" customHeight="1" thickTop="1"/>
    <row r="45" spans="2:9">
      <c r="B45" s="376" t="s">
        <v>488</v>
      </c>
      <c r="C45" s="123"/>
      <c r="D45" s="123"/>
      <c r="E45" s="123"/>
      <c r="F45" s="123"/>
      <c r="G45" s="123"/>
      <c r="H45" s="123"/>
    </row>
    <row r="46" spans="2:9" ht="32.25" customHeight="1">
      <c r="B46" s="1251" t="s">
        <v>558</v>
      </c>
      <c r="C46" s="1251"/>
      <c r="D46" s="1251"/>
      <c r="E46" s="1251"/>
      <c r="F46" s="1251"/>
      <c r="G46" s="1251"/>
      <c r="H46" s="1251"/>
    </row>
    <row r="47" spans="2:9" ht="15.75" customHeight="1">
      <c r="B47" s="1251" t="s">
        <v>520</v>
      </c>
      <c r="C47" s="1251"/>
      <c r="D47" s="1251"/>
      <c r="E47" s="1251"/>
      <c r="F47" s="1251"/>
      <c r="G47" s="1251"/>
      <c r="H47" s="1251"/>
    </row>
    <row r="48" spans="2:9">
      <c r="B48" s="123" t="s">
        <v>1148</v>
      </c>
      <c r="C48" s="123"/>
      <c r="D48" s="123"/>
      <c r="E48" s="123"/>
      <c r="F48" s="123"/>
      <c r="G48" s="123"/>
      <c r="H48" s="123"/>
    </row>
    <row r="49" spans="2:11" ht="8.25" customHeight="1">
      <c r="B49" s="123"/>
      <c r="C49" s="123"/>
      <c r="D49" s="123"/>
      <c r="E49" s="123"/>
      <c r="F49" s="123"/>
      <c r="G49" s="123"/>
      <c r="H49" s="123"/>
    </row>
    <row r="50" spans="2:11" ht="48" customHeight="1">
      <c r="B50" s="1251" t="s">
        <v>1397</v>
      </c>
      <c r="C50" s="1319"/>
      <c r="D50" s="1319"/>
      <c r="E50" s="1319"/>
      <c r="F50" s="1319"/>
      <c r="G50" s="1319"/>
      <c r="H50" s="1319"/>
      <c r="I50" s="269"/>
      <c r="J50" s="269"/>
      <c r="K50" s="342"/>
    </row>
  </sheetData>
  <sheetProtection algorithmName="SHA-512" hashValue="P+qIS4nVmAIuDXKyq6G5G+UJZ/S6fD03TJTZBG+TxmUwyp3p6yncIv7XHxMDoyKynMTahWVcAxhoM5HySRQMaA==" saltValue="LGpr8jmrPYrcfYfVYD01Tw==" spinCount="100000" sheet="1" objects="1" scenarios="1"/>
  <mergeCells count="11">
    <mergeCell ref="D13:E13"/>
    <mergeCell ref="D11:F11"/>
    <mergeCell ref="D12:E12"/>
    <mergeCell ref="D14:E14"/>
    <mergeCell ref="E16:H16"/>
    <mergeCell ref="B50:H50"/>
    <mergeCell ref="B18:D18"/>
    <mergeCell ref="B23:D23"/>
    <mergeCell ref="B46:H46"/>
    <mergeCell ref="B33:D33"/>
    <mergeCell ref="B47:H47"/>
  </mergeCells>
  <phoneticPr fontId="18" type="noConversion"/>
  <pageMargins left="0.75" right="0.53" top="0.31" bottom="0.34" header="0.23" footer="0.16"/>
  <pageSetup scale="84" orientation="portrait" horizontalDpi="4294967293" r:id="rId1"/>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29"/>
    <pageSetUpPr fitToPage="1"/>
  </sheetPr>
  <dimension ref="A1:L180"/>
  <sheetViews>
    <sheetView zoomScaleNormal="100" workbookViewId="0">
      <pane ySplit="1935" topLeftCell="A6" activePane="bottomLeft"/>
      <selection activeCell="B7" sqref="B7"/>
      <selection pane="bottomLeft" activeCell="B7" sqref="B7"/>
    </sheetView>
  </sheetViews>
  <sheetFormatPr defaultColWidth="9.1328125" defaultRowHeight="12.75"/>
  <cols>
    <col min="1" max="1" width="40.73046875" style="2" customWidth="1"/>
    <col min="2" max="2" width="13.73046875" style="629" customWidth="1"/>
    <col min="3" max="3" width="25.265625" style="2" customWidth="1"/>
    <col min="4" max="8" width="13.73046875" style="2" customWidth="1"/>
    <col min="9" max="12" width="9" customWidth="1"/>
    <col min="13" max="16384" width="9.1328125" style="2"/>
  </cols>
  <sheetData>
    <row r="1" spans="1:10" ht="31.9">
      <c r="A1" s="6" t="s">
        <v>578</v>
      </c>
      <c r="B1" s="752"/>
      <c r="C1" s="596"/>
      <c r="D1" s="1068"/>
      <c r="E1" s="1068"/>
      <c r="F1" s="1068"/>
      <c r="G1" s="1068"/>
      <c r="H1" s="1068"/>
    </row>
    <row r="2" spans="1:10" ht="13.15" thickBot="1">
      <c r="A2" s="518"/>
      <c r="B2" s="475"/>
      <c r="C2" s="3"/>
      <c r="D2" s="22"/>
      <c r="E2" s="22"/>
      <c r="F2" s="22"/>
      <c r="G2" s="22"/>
      <c r="H2" s="22"/>
    </row>
    <row r="3" spans="1:10" ht="13.15" thickTop="1">
      <c r="A3" s="617"/>
      <c r="B3" s="1069" t="s">
        <v>542</v>
      </c>
      <c r="C3" s="1070"/>
      <c r="D3" s="1071" t="s">
        <v>329</v>
      </c>
      <c r="E3" s="1071" t="s">
        <v>330</v>
      </c>
      <c r="F3" s="1072" t="s">
        <v>331</v>
      </c>
      <c r="G3" s="1073" t="s">
        <v>331</v>
      </c>
      <c r="H3" s="1074"/>
    </row>
    <row r="4" spans="1:10">
      <c r="A4" s="644"/>
      <c r="B4" s="680" t="s">
        <v>159</v>
      </c>
      <c r="C4" s="1075"/>
      <c r="D4" s="650"/>
      <c r="E4" s="650"/>
      <c r="F4" s="1076" t="s">
        <v>1089</v>
      </c>
      <c r="G4" s="1077" t="s">
        <v>543</v>
      </c>
      <c r="H4" s="1078" t="s">
        <v>544</v>
      </c>
    </row>
    <row r="5" spans="1:10" ht="13.15" thickBot="1">
      <c r="A5" s="1079" t="s">
        <v>894</v>
      </c>
      <c r="B5" s="1080" t="s">
        <v>897</v>
      </c>
      <c r="C5" s="1081" t="s">
        <v>485</v>
      </c>
      <c r="D5" s="1082" t="s">
        <v>897</v>
      </c>
      <c r="E5" s="1082" t="s">
        <v>897</v>
      </c>
      <c r="F5" s="1083" t="s">
        <v>897</v>
      </c>
      <c r="G5" s="1084" t="s">
        <v>897</v>
      </c>
      <c r="H5" s="1085" t="s">
        <v>897</v>
      </c>
    </row>
    <row r="6" spans="1:10" ht="11.25" customHeight="1">
      <c r="A6" s="454" t="s">
        <v>548</v>
      </c>
      <c r="B6" s="501">
        <v>647.71344582513132</v>
      </c>
      <c r="C6" s="1086" t="s">
        <v>1149</v>
      </c>
      <c r="D6" s="501" t="s">
        <v>954</v>
      </c>
      <c r="E6" s="565" t="s">
        <v>954</v>
      </c>
      <c r="F6" s="720">
        <v>647.71344582513132</v>
      </c>
      <c r="G6" s="720">
        <v>3238.5672291256565</v>
      </c>
      <c r="H6" s="461" t="s">
        <v>523</v>
      </c>
      <c r="J6" s="1087"/>
    </row>
    <row r="7" spans="1:10" ht="11.25" customHeight="1">
      <c r="A7" s="458" t="s">
        <v>549</v>
      </c>
      <c r="B7" s="501">
        <v>339.48905290891071</v>
      </c>
      <c r="C7" s="1086" t="s">
        <v>1149</v>
      </c>
      <c r="D7" s="501" t="s">
        <v>954</v>
      </c>
      <c r="E7" s="565" t="s">
        <v>954</v>
      </c>
      <c r="F7" s="720">
        <v>339.48905290891071</v>
      </c>
      <c r="G7" s="720">
        <v>1697.4452645445535</v>
      </c>
      <c r="H7" s="461" t="s">
        <v>523</v>
      </c>
      <c r="J7" s="1087"/>
    </row>
    <row r="8" spans="1:10" ht="11.25" customHeight="1">
      <c r="A8" s="458" t="s">
        <v>550</v>
      </c>
      <c r="B8" s="501">
        <v>5739.0879292078434</v>
      </c>
      <c r="C8" s="1086" t="s">
        <v>1149</v>
      </c>
      <c r="D8" s="501" t="s">
        <v>954</v>
      </c>
      <c r="E8" s="565" t="s">
        <v>954</v>
      </c>
      <c r="F8" s="720">
        <v>5739.0879292078434</v>
      </c>
      <c r="G8" s="720">
        <v>28695.439646039216</v>
      </c>
      <c r="H8" s="461">
        <v>114665.0314465409</v>
      </c>
      <c r="J8" s="1087"/>
    </row>
    <row r="9" spans="1:10" ht="11.25" customHeight="1">
      <c r="A9" s="458" t="s">
        <v>551</v>
      </c>
      <c r="B9" s="501">
        <v>3.910714285714286</v>
      </c>
      <c r="C9" s="1086" t="s">
        <v>1149</v>
      </c>
      <c r="D9" s="501">
        <v>16.67124204940022</v>
      </c>
      <c r="E9" s="565" t="s">
        <v>954</v>
      </c>
      <c r="F9" s="720">
        <v>3.910714285714286</v>
      </c>
      <c r="G9" s="720">
        <v>7.8214285714285721</v>
      </c>
      <c r="H9" s="461" t="s">
        <v>523</v>
      </c>
      <c r="J9" s="1087"/>
    </row>
    <row r="10" spans="1:10" ht="11.25" customHeight="1">
      <c r="A10" s="458" t="s">
        <v>161</v>
      </c>
      <c r="B10" s="501">
        <v>113.78462320028632</v>
      </c>
      <c r="C10" s="1086" t="s">
        <v>1149</v>
      </c>
      <c r="D10" s="501" t="s">
        <v>954</v>
      </c>
      <c r="E10" s="565" t="s">
        <v>954</v>
      </c>
      <c r="F10" s="720">
        <v>113.78462320028632</v>
      </c>
      <c r="G10" s="720">
        <v>568.92311600143159</v>
      </c>
      <c r="H10" s="461" t="s">
        <v>523</v>
      </c>
      <c r="J10" s="1087"/>
    </row>
    <row r="11" spans="1:10" ht="11.25" customHeight="1">
      <c r="A11" s="462" t="s">
        <v>162</v>
      </c>
      <c r="B11" s="501">
        <v>1.5423260756210222</v>
      </c>
      <c r="C11" s="1086" t="s">
        <v>1149</v>
      </c>
      <c r="D11" s="501" t="s">
        <v>954</v>
      </c>
      <c r="E11" s="565" t="s">
        <v>954</v>
      </c>
      <c r="F11" s="720">
        <v>1.5423260756210222</v>
      </c>
      <c r="G11" s="720">
        <v>7.7116303781051112</v>
      </c>
      <c r="H11" s="461" t="s">
        <v>523</v>
      </c>
      <c r="J11" s="1087"/>
    </row>
    <row r="12" spans="1:10" ht="11.25" customHeight="1">
      <c r="A12" s="462" t="s">
        <v>94</v>
      </c>
      <c r="B12" s="501">
        <v>1.5315758488811595</v>
      </c>
      <c r="C12" s="1086" t="s">
        <v>1149</v>
      </c>
      <c r="D12" s="501" t="s">
        <v>954</v>
      </c>
      <c r="E12" s="565" t="s">
        <v>954</v>
      </c>
      <c r="F12" s="720">
        <v>1.5315758488811595</v>
      </c>
      <c r="G12" s="720">
        <v>7.6578792444057973</v>
      </c>
      <c r="H12" s="461" t="s">
        <v>523</v>
      </c>
      <c r="J12" s="1087"/>
    </row>
    <row r="13" spans="1:10" ht="11.25" customHeight="1">
      <c r="A13" s="458" t="s">
        <v>552</v>
      </c>
      <c r="B13" s="501">
        <v>3489.8853344626582</v>
      </c>
      <c r="C13" s="1086" t="s">
        <v>1149</v>
      </c>
      <c r="D13" s="501" t="s">
        <v>954</v>
      </c>
      <c r="E13" s="565" t="s">
        <v>954</v>
      </c>
      <c r="F13" s="720">
        <v>3489.8853344626582</v>
      </c>
      <c r="G13" s="720">
        <v>17449.42667231329</v>
      </c>
      <c r="H13" s="461" t="s">
        <v>523</v>
      </c>
      <c r="J13" s="1087"/>
    </row>
    <row r="14" spans="1:10" ht="11.25" customHeight="1">
      <c r="A14" s="458" t="s">
        <v>553</v>
      </c>
      <c r="B14" s="501">
        <v>6.2566828069364648</v>
      </c>
      <c r="C14" s="1086" t="s">
        <v>1149</v>
      </c>
      <c r="D14" s="501" t="s">
        <v>954</v>
      </c>
      <c r="E14" s="565" t="s">
        <v>954</v>
      </c>
      <c r="F14" s="720">
        <v>6.2566828069364648</v>
      </c>
      <c r="G14" s="720">
        <v>31.283414034682323</v>
      </c>
      <c r="H14" s="461" t="s">
        <v>523</v>
      </c>
      <c r="J14" s="1087"/>
    </row>
    <row r="15" spans="1:10" ht="11.25" customHeight="1">
      <c r="A15" s="458" t="s">
        <v>686</v>
      </c>
      <c r="B15" s="501">
        <v>23</v>
      </c>
      <c r="C15" s="1086" t="s">
        <v>1331</v>
      </c>
      <c r="D15" s="501">
        <v>41.26369821660596</v>
      </c>
      <c r="E15" s="565" t="s">
        <v>954</v>
      </c>
      <c r="F15" s="720">
        <v>21.882346524208</v>
      </c>
      <c r="G15" s="720">
        <v>21.882346524208</v>
      </c>
      <c r="H15" s="461" t="s">
        <v>523</v>
      </c>
      <c r="J15" s="1087"/>
    </row>
    <row r="16" spans="1:10" ht="11.25" customHeight="1">
      <c r="A16" s="458" t="s">
        <v>95</v>
      </c>
      <c r="B16" s="501">
        <v>2.2732603019174396</v>
      </c>
      <c r="C16" s="1086" t="s">
        <v>1413</v>
      </c>
      <c r="D16" s="501">
        <v>2.2732603019174396</v>
      </c>
      <c r="E16" s="565" t="s">
        <v>954</v>
      </c>
      <c r="F16" s="720">
        <v>37.928207733428785</v>
      </c>
      <c r="G16" s="720">
        <v>189.64103866714393</v>
      </c>
      <c r="H16" s="461" t="s">
        <v>523</v>
      </c>
      <c r="J16" s="1087"/>
    </row>
    <row r="17" spans="1:10" ht="11.25" customHeight="1">
      <c r="A17" s="458" t="s">
        <v>687</v>
      </c>
      <c r="B17" s="501">
        <v>3061.0483042137716</v>
      </c>
      <c r="C17" s="1086" t="s">
        <v>1149</v>
      </c>
      <c r="D17" s="501" t="s">
        <v>954</v>
      </c>
      <c r="E17" s="565" t="s">
        <v>954</v>
      </c>
      <c r="F17" s="720">
        <v>3061.0483042137716</v>
      </c>
      <c r="G17" s="720">
        <v>15305.241521068858</v>
      </c>
      <c r="H17" s="461" t="s">
        <v>523</v>
      </c>
      <c r="J17" s="1087"/>
    </row>
    <row r="18" spans="1:10" ht="11.25" customHeight="1">
      <c r="A18" s="458" t="s">
        <v>1156</v>
      </c>
      <c r="B18" s="501">
        <v>632.13679555714634</v>
      </c>
      <c r="C18" s="1086" t="s">
        <v>1149</v>
      </c>
      <c r="D18" s="501" t="s">
        <v>954</v>
      </c>
      <c r="E18" s="565" t="s">
        <v>954</v>
      </c>
      <c r="F18" s="720">
        <v>632.13679555714634</v>
      </c>
      <c r="G18" s="720">
        <v>3160.6839777857317</v>
      </c>
      <c r="H18" s="461" t="s">
        <v>523</v>
      </c>
      <c r="J18" s="1087"/>
    </row>
    <row r="19" spans="1:10" ht="11.25" customHeight="1">
      <c r="A19" s="458" t="s">
        <v>688</v>
      </c>
      <c r="B19" s="501">
        <v>1.2457241814692348</v>
      </c>
      <c r="C19" s="1086" t="s">
        <v>1413</v>
      </c>
      <c r="D19" s="501">
        <v>1.2457241814692348</v>
      </c>
      <c r="E19" s="565" t="s">
        <v>954</v>
      </c>
      <c r="F19" s="720">
        <v>17.404547656420554</v>
      </c>
      <c r="G19" s="720">
        <v>87.022738282102779</v>
      </c>
      <c r="H19" s="461">
        <v>1867.9381761006287</v>
      </c>
      <c r="J19" s="1087"/>
    </row>
    <row r="20" spans="1:10" ht="11.25" customHeight="1">
      <c r="A20" s="458" t="s">
        <v>689</v>
      </c>
      <c r="B20" s="501">
        <v>11.131115733318255</v>
      </c>
      <c r="C20" s="1086" t="s">
        <v>1415</v>
      </c>
      <c r="D20" s="501">
        <v>47.965920963267493</v>
      </c>
      <c r="E20" s="565">
        <v>11.131115733318255</v>
      </c>
      <c r="F20" s="720" t="s">
        <v>954</v>
      </c>
      <c r="G20" s="720" t="s">
        <v>954</v>
      </c>
      <c r="H20" s="461" t="s">
        <v>523</v>
      </c>
      <c r="J20" s="1087"/>
    </row>
    <row r="21" spans="1:10" ht="11.25" customHeight="1">
      <c r="A21" s="458" t="s">
        <v>690</v>
      </c>
      <c r="B21" s="501">
        <v>3.5639370920589939</v>
      </c>
      <c r="C21" s="1086" t="s">
        <v>1149</v>
      </c>
      <c r="D21" s="501">
        <v>24.50564079962896</v>
      </c>
      <c r="E21" s="565">
        <v>5.6429038549790107</v>
      </c>
      <c r="F21" s="720">
        <v>3.5639370920589939</v>
      </c>
      <c r="G21" s="720">
        <v>17.81968546029497</v>
      </c>
      <c r="H21" s="461" t="s">
        <v>523</v>
      </c>
      <c r="J21" s="1087"/>
    </row>
    <row r="22" spans="1:10" ht="11.25" customHeight="1">
      <c r="A22" s="458" t="s">
        <v>691</v>
      </c>
      <c r="B22" s="501">
        <v>11.285807709958021</v>
      </c>
      <c r="C22" s="1086" t="s">
        <v>1415</v>
      </c>
      <c r="D22" s="501">
        <v>49.011281599257927</v>
      </c>
      <c r="E22" s="565">
        <v>11.285807709958021</v>
      </c>
      <c r="F22" s="720" t="s">
        <v>954</v>
      </c>
      <c r="G22" s="720" t="s">
        <v>954</v>
      </c>
      <c r="H22" s="461" t="s">
        <v>523</v>
      </c>
      <c r="J22" s="1087"/>
    </row>
    <row r="23" spans="1:10" ht="11.25" customHeight="1">
      <c r="A23" s="458" t="s">
        <v>692</v>
      </c>
      <c r="B23" s="501">
        <v>478.19569558367709</v>
      </c>
      <c r="C23" s="1086" t="s">
        <v>1149</v>
      </c>
      <c r="D23" s="501" t="s">
        <v>954</v>
      </c>
      <c r="E23" s="565" t="s">
        <v>954</v>
      </c>
      <c r="F23" s="720">
        <v>478.19569558367709</v>
      </c>
      <c r="G23" s="720">
        <v>2390.9784779183856</v>
      </c>
      <c r="H23" s="461" t="s">
        <v>523</v>
      </c>
      <c r="J23" s="1087"/>
    </row>
    <row r="24" spans="1:10" ht="11.25" customHeight="1">
      <c r="A24" s="458" t="s">
        <v>693</v>
      </c>
      <c r="B24" s="501">
        <v>112.85807709958023</v>
      </c>
      <c r="C24" s="1086" t="s">
        <v>1415</v>
      </c>
      <c r="D24" s="501">
        <v>490.11281599257939</v>
      </c>
      <c r="E24" s="565">
        <v>112.85807709958023</v>
      </c>
      <c r="F24" s="720" t="s">
        <v>954</v>
      </c>
      <c r="G24" s="720" t="s">
        <v>954</v>
      </c>
      <c r="H24" s="461" t="s">
        <v>523</v>
      </c>
      <c r="J24" s="1087"/>
    </row>
    <row r="25" spans="1:10" ht="11.25" customHeight="1">
      <c r="A25" s="458" t="s">
        <v>126</v>
      </c>
      <c r="B25" s="501">
        <v>31.114129015408725</v>
      </c>
      <c r="C25" s="1086" t="s">
        <v>1149</v>
      </c>
      <c r="D25" s="501">
        <v>1591.0256410256409</v>
      </c>
      <c r="E25" s="565" t="s">
        <v>954</v>
      </c>
      <c r="F25" s="720">
        <v>31.114129015408725</v>
      </c>
      <c r="G25" s="720">
        <v>155.57064507704362</v>
      </c>
      <c r="H25" s="461" t="s">
        <v>523</v>
      </c>
      <c r="J25" s="1087"/>
    </row>
    <row r="26" spans="1:10" ht="11.25" customHeight="1">
      <c r="A26" s="458" t="s">
        <v>233</v>
      </c>
      <c r="B26" s="501">
        <v>10.157103856679932</v>
      </c>
      <c r="C26" s="1086" t="s">
        <v>1149</v>
      </c>
      <c r="D26" s="501">
        <v>84.046052631578959</v>
      </c>
      <c r="E26" s="565" t="s">
        <v>954</v>
      </c>
      <c r="F26" s="720">
        <v>10.157103856679932</v>
      </c>
      <c r="G26" s="720">
        <v>50.785519283399658</v>
      </c>
      <c r="H26" s="461" t="s">
        <v>523</v>
      </c>
      <c r="J26" s="1087"/>
    </row>
    <row r="27" spans="1:10" ht="11.25" customHeight="1">
      <c r="A27" s="458" t="s">
        <v>127</v>
      </c>
      <c r="B27" s="501">
        <v>0.23842763078674306</v>
      </c>
      <c r="C27" s="1086" t="s">
        <v>1413</v>
      </c>
      <c r="D27" s="501">
        <v>0.23842763078674306</v>
      </c>
      <c r="E27" s="565" t="s">
        <v>954</v>
      </c>
      <c r="F27" s="720" t="s">
        <v>954</v>
      </c>
      <c r="G27" s="720" t="s">
        <v>954</v>
      </c>
      <c r="H27" s="461">
        <v>5046.3512704402519</v>
      </c>
      <c r="J27" s="1087"/>
    </row>
    <row r="28" spans="1:10" ht="11.25" customHeight="1">
      <c r="A28" s="503" t="s">
        <v>1103</v>
      </c>
      <c r="B28" s="501">
        <v>3.7245820040701219</v>
      </c>
      <c r="C28" s="1086" t="s">
        <v>1413</v>
      </c>
      <c r="D28" s="501">
        <v>3.7245820040701219</v>
      </c>
      <c r="E28" s="565" t="s">
        <v>954</v>
      </c>
      <c r="F28" s="720">
        <v>314.591960615831</v>
      </c>
      <c r="G28" s="720">
        <v>1572.9598030791549</v>
      </c>
      <c r="H28" s="461">
        <v>793.69004465408796</v>
      </c>
      <c r="J28" s="1087"/>
    </row>
    <row r="29" spans="1:10" ht="11.25" customHeight="1">
      <c r="A29" s="458" t="s">
        <v>128</v>
      </c>
      <c r="B29" s="501">
        <v>37.34554262742413</v>
      </c>
      <c r="C29" s="1086" t="s">
        <v>1413</v>
      </c>
      <c r="D29" s="501">
        <v>37.34554262742413</v>
      </c>
      <c r="E29" s="565" t="s">
        <v>954</v>
      </c>
      <c r="F29" s="720">
        <v>252.85471822285854</v>
      </c>
      <c r="G29" s="720">
        <v>1264.2735911142927</v>
      </c>
      <c r="H29" s="461" t="s">
        <v>523</v>
      </c>
      <c r="J29" s="1087"/>
    </row>
    <row r="30" spans="1:10" ht="11.25" customHeight="1">
      <c r="A30" s="458" t="s">
        <v>129</v>
      </c>
      <c r="B30" s="501">
        <v>3126.8470643815126</v>
      </c>
      <c r="C30" s="1086" t="s">
        <v>1149</v>
      </c>
      <c r="D30" s="501" t="s">
        <v>954</v>
      </c>
      <c r="E30" s="565" t="s">
        <v>954</v>
      </c>
      <c r="F30" s="720">
        <v>3126.8470643815126</v>
      </c>
      <c r="G30" s="720">
        <v>15634.235321907563</v>
      </c>
      <c r="H30" s="461" t="s">
        <v>523</v>
      </c>
      <c r="J30" s="1087"/>
    </row>
    <row r="31" spans="1:10" ht="11.25" customHeight="1">
      <c r="A31" s="458" t="s">
        <v>130</v>
      </c>
      <c r="B31" s="501">
        <v>0.31751238306685059</v>
      </c>
      <c r="C31" s="1086" t="s">
        <v>1413</v>
      </c>
      <c r="D31" s="501">
        <v>0.31751238306685059</v>
      </c>
      <c r="E31" s="565" t="s">
        <v>954</v>
      </c>
      <c r="F31" s="720">
        <v>20.957182936637601</v>
      </c>
      <c r="G31" s="720">
        <v>104.785914683188</v>
      </c>
      <c r="H31" s="461">
        <v>932.0059079245284</v>
      </c>
      <c r="J31" s="1087"/>
    </row>
    <row r="32" spans="1:10" ht="11.25" customHeight="1">
      <c r="A32" s="458" t="s">
        <v>131</v>
      </c>
      <c r="B32" s="501">
        <v>20.335256675423288</v>
      </c>
      <c r="C32" s="1086" t="s">
        <v>1413</v>
      </c>
      <c r="D32" s="501">
        <v>20.335256675423288</v>
      </c>
      <c r="E32" s="565" t="s">
        <v>954</v>
      </c>
      <c r="F32" s="720">
        <v>312.85714285714283</v>
      </c>
      <c r="G32" s="720">
        <v>1564.2857142857142</v>
      </c>
      <c r="H32" s="461" t="s">
        <v>523</v>
      </c>
      <c r="J32" s="1087"/>
    </row>
    <row r="33" spans="1:10" ht="11.25" customHeight="1">
      <c r="A33" s="458" t="s">
        <v>132</v>
      </c>
      <c r="B33" s="501">
        <v>1.4804724326703158</v>
      </c>
      <c r="C33" s="1086" t="s">
        <v>1149</v>
      </c>
      <c r="D33" s="501" t="s">
        <v>954</v>
      </c>
      <c r="E33" s="565" t="s">
        <v>954</v>
      </c>
      <c r="F33" s="720">
        <v>1.4804724326703158</v>
      </c>
      <c r="G33" s="720">
        <v>7.4023621633515795</v>
      </c>
      <c r="H33" s="461">
        <v>3588.9092830188679</v>
      </c>
      <c r="J33" s="1087"/>
    </row>
    <row r="34" spans="1:10" ht="11.25" customHeight="1">
      <c r="A34" s="458" t="s">
        <v>133</v>
      </c>
      <c r="B34" s="501">
        <v>1.492622703268411</v>
      </c>
      <c r="C34" s="1086" t="s">
        <v>1149</v>
      </c>
      <c r="D34" s="501">
        <v>2121.3675213675215</v>
      </c>
      <c r="E34" s="565" t="s">
        <v>954</v>
      </c>
      <c r="F34" s="720">
        <v>1.492622703268411</v>
      </c>
      <c r="G34" s="720">
        <v>7.4631135163420552</v>
      </c>
      <c r="H34" s="461" t="s">
        <v>523</v>
      </c>
      <c r="J34" s="1087"/>
    </row>
    <row r="35" spans="1:10" ht="11.25" customHeight="1">
      <c r="A35" s="458" t="s">
        <v>134</v>
      </c>
      <c r="B35" s="501">
        <v>0.71011514254445907</v>
      </c>
      <c r="C35" s="1086" t="s">
        <v>1413</v>
      </c>
      <c r="D35" s="501">
        <v>0.71011514254445907</v>
      </c>
      <c r="E35" s="565" t="s">
        <v>954</v>
      </c>
      <c r="F35" s="720">
        <v>22.104002725358473</v>
      </c>
      <c r="G35" s="720">
        <v>110.52001362679236</v>
      </c>
      <c r="H35" s="461">
        <v>453.26214201257858</v>
      </c>
      <c r="J35" s="1087"/>
    </row>
    <row r="36" spans="1:10" ht="11.25" customHeight="1">
      <c r="A36" s="458" t="s">
        <v>614</v>
      </c>
      <c r="B36" s="501">
        <v>16.627770348612255</v>
      </c>
      <c r="C36" s="1086" t="s">
        <v>1413</v>
      </c>
      <c r="D36" s="501">
        <v>16.627770348612255</v>
      </c>
      <c r="E36" s="565" t="s">
        <v>954</v>
      </c>
      <c r="F36" s="720">
        <v>34.70098357975349</v>
      </c>
      <c r="G36" s="720">
        <v>34.70098357975349</v>
      </c>
      <c r="H36" s="461" t="s">
        <v>523</v>
      </c>
      <c r="J36" s="1087"/>
    </row>
    <row r="37" spans="1:10" ht="11.25" customHeight="1">
      <c r="A37" s="458" t="s">
        <v>135</v>
      </c>
      <c r="B37" s="501">
        <v>2.6142493472050554</v>
      </c>
      <c r="C37" s="1086" t="s">
        <v>1413</v>
      </c>
      <c r="D37" s="501">
        <v>2.6142493472050554</v>
      </c>
      <c r="E37" s="565" t="s">
        <v>954</v>
      </c>
      <c r="F37" s="720">
        <v>6.3213679555714632</v>
      </c>
      <c r="G37" s="720">
        <v>31.606839777857317</v>
      </c>
      <c r="H37" s="461" t="s">
        <v>523</v>
      </c>
      <c r="J37" s="1087"/>
    </row>
    <row r="38" spans="1:10" ht="11.25" customHeight="1">
      <c r="A38" s="458" t="s">
        <v>136</v>
      </c>
      <c r="B38" s="501">
        <v>58.735856754033783</v>
      </c>
      <c r="C38" s="1086" t="s">
        <v>1149</v>
      </c>
      <c r="D38" s="501" t="s">
        <v>954</v>
      </c>
      <c r="E38" s="565" t="s">
        <v>954</v>
      </c>
      <c r="F38" s="720">
        <v>58.735856754033783</v>
      </c>
      <c r="G38" s="720">
        <v>293.67928377016892</v>
      </c>
      <c r="H38" s="461">
        <v>760.94901132075483</v>
      </c>
      <c r="J38" s="1087"/>
    </row>
    <row r="39" spans="1:10" ht="11.25" customHeight="1">
      <c r="A39" s="458" t="s">
        <v>781</v>
      </c>
      <c r="B39" s="501">
        <v>1199.043520033186</v>
      </c>
      <c r="C39" s="1086" t="s">
        <v>1149</v>
      </c>
      <c r="D39" s="501" t="s">
        <v>954</v>
      </c>
      <c r="E39" s="565" t="s">
        <v>954</v>
      </c>
      <c r="F39" s="720">
        <v>1199.043520033186</v>
      </c>
      <c r="G39" s="720">
        <v>5995.21760016593</v>
      </c>
      <c r="H39" s="461">
        <v>2117.4658377358492</v>
      </c>
      <c r="J39" s="1087"/>
    </row>
    <row r="40" spans="1:10" ht="11.25" customHeight="1">
      <c r="A40" s="458" t="s">
        <v>137</v>
      </c>
      <c r="B40" s="501">
        <v>0.34283322379966413</v>
      </c>
      <c r="C40" s="1086" t="s">
        <v>1413</v>
      </c>
      <c r="D40" s="501">
        <v>0.34283322379966413</v>
      </c>
      <c r="E40" s="565" t="s">
        <v>954</v>
      </c>
      <c r="F40" s="720">
        <v>42.484984090472025</v>
      </c>
      <c r="G40" s="720">
        <v>212.42492045236014</v>
      </c>
      <c r="H40" s="461">
        <v>2538.5640000000003</v>
      </c>
      <c r="J40" s="1087"/>
    </row>
    <row r="41" spans="1:10" ht="11.25" customHeight="1">
      <c r="A41" s="458" t="s">
        <v>782</v>
      </c>
      <c r="B41" s="501">
        <v>24.383473244162705</v>
      </c>
      <c r="C41" s="1086" t="s">
        <v>1149</v>
      </c>
      <c r="D41" s="501" t="s">
        <v>954</v>
      </c>
      <c r="E41" s="565" t="s">
        <v>954</v>
      </c>
      <c r="F41" s="720">
        <v>24.383473244162705</v>
      </c>
      <c r="G41" s="720">
        <v>121.91736622081352</v>
      </c>
      <c r="H41" s="461">
        <v>1316.5454188679244</v>
      </c>
      <c r="J41" s="1087"/>
    </row>
    <row r="42" spans="1:10" ht="11.25" customHeight="1">
      <c r="A42" s="458" t="s">
        <v>138</v>
      </c>
      <c r="B42" s="501">
        <v>68.476431433471518</v>
      </c>
      <c r="C42" s="1086" t="s">
        <v>1149</v>
      </c>
      <c r="D42" s="501" t="s">
        <v>954</v>
      </c>
      <c r="E42" s="565" t="s">
        <v>954</v>
      </c>
      <c r="F42" s="720">
        <v>68.476431433471518</v>
      </c>
      <c r="G42" s="720">
        <v>342.3821571673576</v>
      </c>
      <c r="H42" s="461">
        <v>27437.384023899369</v>
      </c>
      <c r="J42" s="1087"/>
    </row>
    <row r="43" spans="1:10" ht="11.25" customHeight="1">
      <c r="A43" s="458" t="s">
        <v>612</v>
      </c>
      <c r="B43" s="501"/>
      <c r="C43" s="1088" t="s">
        <v>50</v>
      </c>
      <c r="D43" s="501"/>
      <c r="E43" s="720"/>
      <c r="F43" s="720"/>
      <c r="G43" s="460"/>
      <c r="H43" s="461"/>
      <c r="J43" s="1087"/>
    </row>
    <row r="44" spans="1:10" ht="11.25" customHeight="1">
      <c r="A44" s="458" t="s">
        <v>779</v>
      </c>
      <c r="B44" s="501">
        <v>0</v>
      </c>
      <c r="C44" s="1086" t="s">
        <v>1432</v>
      </c>
      <c r="D44" s="501" t="s">
        <v>954</v>
      </c>
      <c r="E44" s="565" t="s">
        <v>954</v>
      </c>
      <c r="F44" s="720" t="s">
        <v>954</v>
      </c>
      <c r="G44" s="720" t="s">
        <v>954</v>
      </c>
      <c r="H44" s="461" t="s">
        <v>523</v>
      </c>
      <c r="J44" s="1087"/>
    </row>
    <row r="45" spans="1:10" ht="11.25" customHeight="1">
      <c r="A45" s="458" t="s">
        <v>780</v>
      </c>
      <c r="B45" s="501">
        <v>29.632417484956957</v>
      </c>
      <c r="C45" s="1086" t="s">
        <v>1415</v>
      </c>
      <c r="D45" s="501">
        <v>130.60997428996708</v>
      </c>
      <c r="E45" s="565">
        <v>29.632417484956957</v>
      </c>
      <c r="F45" s="720">
        <v>46.851060482919543</v>
      </c>
      <c r="G45" s="720">
        <v>234.25530241459771</v>
      </c>
      <c r="H45" s="461" t="s">
        <v>523</v>
      </c>
      <c r="J45" s="1087"/>
    </row>
    <row r="46" spans="1:10" ht="11.25" customHeight="1">
      <c r="A46" s="458" t="s">
        <v>139</v>
      </c>
      <c r="B46" s="501">
        <v>1128.5807709958024</v>
      </c>
      <c r="C46" s="1086" t="s">
        <v>1415</v>
      </c>
      <c r="D46" s="501">
        <v>4901.1281599257945</v>
      </c>
      <c r="E46" s="565">
        <v>1128.5807709958024</v>
      </c>
      <c r="F46" s="720" t="s">
        <v>954</v>
      </c>
      <c r="G46" s="720" t="s">
        <v>954</v>
      </c>
      <c r="H46" s="461" t="s">
        <v>523</v>
      </c>
      <c r="J46" s="1087"/>
    </row>
    <row r="47" spans="1:10" ht="11.25" customHeight="1">
      <c r="A47" s="458" t="s">
        <v>140</v>
      </c>
      <c r="B47" s="501">
        <v>4.6799528610711016</v>
      </c>
      <c r="C47" s="1086" t="s">
        <v>1149</v>
      </c>
      <c r="D47" s="501">
        <v>424.27350427350433</v>
      </c>
      <c r="E47" s="565" t="s">
        <v>954</v>
      </c>
      <c r="F47" s="720">
        <v>4.6799528610711016</v>
      </c>
      <c r="G47" s="720">
        <v>23.399764305355507</v>
      </c>
      <c r="H47" s="461" t="s">
        <v>523</v>
      </c>
      <c r="J47" s="1087"/>
    </row>
    <row r="48" spans="1:10" ht="11.25" customHeight="1">
      <c r="A48" s="458" t="s">
        <v>141</v>
      </c>
      <c r="B48" s="501">
        <v>625.71428571428567</v>
      </c>
      <c r="C48" s="1086" t="s">
        <v>1149</v>
      </c>
      <c r="D48" s="501" t="s">
        <v>954</v>
      </c>
      <c r="E48" s="565" t="s">
        <v>954</v>
      </c>
      <c r="F48" s="720">
        <v>625.71428571428567</v>
      </c>
      <c r="G48" s="720">
        <v>3128.5714285714284</v>
      </c>
      <c r="H48" s="461" t="s">
        <v>523</v>
      </c>
      <c r="J48" s="1087"/>
    </row>
    <row r="49" spans="1:10" ht="11.25" customHeight="1">
      <c r="A49" s="458" t="s">
        <v>142</v>
      </c>
      <c r="B49" s="501">
        <v>4.7522674398767206</v>
      </c>
      <c r="C49" s="1086" t="s">
        <v>1149</v>
      </c>
      <c r="D49" s="501" t="s">
        <v>954</v>
      </c>
      <c r="E49" s="565" t="s">
        <v>954</v>
      </c>
      <c r="F49" s="720">
        <v>4.7522674398767206</v>
      </c>
      <c r="G49" s="720">
        <v>23.761337199383604</v>
      </c>
      <c r="H49" s="461" t="s">
        <v>523</v>
      </c>
      <c r="J49" s="1087"/>
    </row>
    <row r="50" spans="1:10" ht="11.25" customHeight="1">
      <c r="A50" s="462" t="s">
        <v>96</v>
      </c>
      <c r="B50" s="501">
        <v>8.0589159430149166</v>
      </c>
      <c r="C50" s="1086" t="s">
        <v>1413</v>
      </c>
      <c r="D50" s="501">
        <v>8.0589159430149166</v>
      </c>
      <c r="E50" s="565" t="s">
        <v>954</v>
      </c>
      <c r="F50" s="720">
        <v>60.42075190728864</v>
      </c>
      <c r="G50" s="720">
        <v>302.10375953644319</v>
      </c>
      <c r="H50" s="461" t="s">
        <v>523</v>
      </c>
      <c r="J50" s="1087"/>
    </row>
    <row r="51" spans="1:10" ht="11.25" customHeight="1">
      <c r="A51" s="458" t="s">
        <v>97</v>
      </c>
      <c r="B51" s="501">
        <v>379.28207733428781</v>
      </c>
      <c r="C51" s="1086" t="s">
        <v>1149</v>
      </c>
      <c r="D51" s="501" t="s">
        <v>954</v>
      </c>
      <c r="E51" s="565" t="s">
        <v>954</v>
      </c>
      <c r="F51" s="720">
        <v>379.28207733428781</v>
      </c>
      <c r="G51" s="720">
        <v>1896.410386671439</v>
      </c>
      <c r="H51" s="461" t="s">
        <v>523</v>
      </c>
      <c r="J51" s="1087"/>
    </row>
    <row r="52" spans="1:10" ht="11.25" customHeight="1">
      <c r="A52" s="458" t="s">
        <v>143</v>
      </c>
      <c r="B52" s="501">
        <v>1.1285807709958025</v>
      </c>
      <c r="C52" s="1086" t="s">
        <v>1415</v>
      </c>
      <c r="D52" s="501">
        <v>4.9011281599257934</v>
      </c>
      <c r="E52" s="565">
        <v>1.1285807709958025</v>
      </c>
      <c r="F52" s="720" t="s">
        <v>954</v>
      </c>
      <c r="G52" s="720" t="s">
        <v>954</v>
      </c>
      <c r="H52" s="461" t="s">
        <v>523</v>
      </c>
      <c r="J52" s="1087"/>
    </row>
    <row r="53" spans="1:10" ht="11.25" customHeight="1">
      <c r="A53" s="458" t="s">
        <v>381</v>
      </c>
      <c r="B53" s="501">
        <v>5.7102531036448472E-3</v>
      </c>
      <c r="C53" s="1086" t="s">
        <v>1415</v>
      </c>
      <c r="D53" s="501">
        <v>1.5996345808416444E-2</v>
      </c>
      <c r="E53" s="565">
        <v>5.7102531036448472E-3</v>
      </c>
      <c r="F53" s="720">
        <v>0.99248758503905676</v>
      </c>
      <c r="G53" s="720">
        <v>4.9624379251952835</v>
      </c>
      <c r="H53" s="461">
        <v>979.0010943396228</v>
      </c>
      <c r="J53" s="1087"/>
    </row>
    <row r="54" spans="1:10" ht="11.25" customHeight="1">
      <c r="A54" s="458" t="s">
        <v>144</v>
      </c>
      <c r="B54" s="501">
        <v>8.0043859649122808</v>
      </c>
      <c r="C54" s="1086" t="s">
        <v>1413</v>
      </c>
      <c r="D54" s="501">
        <v>8.0043859649122808</v>
      </c>
      <c r="E54" s="565" t="s">
        <v>954</v>
      </c>
      <c r="F54" s="720">
        <v>89.531429142843649</v>
      </c>
      <c r="G54" s="720">
        <v>447.65714571421825</v>
      </c>
      <c r="H54" s="461" t="s">
        <v>523</v>
      </c>
      <c r="J54" s="1087"/>
    </row>
    <row r="55" spans="1:10" ht="11.25" customHeight="1">
      <c r="A55" s="458" t="s">
        <v>487</v>
      </c>
      <c r="B55" s="501">
        <v>3.8604149142467709E-2</v>
      </c>
      <c r="C55" s="1086" t="s">
        <v>1413</v>
      </c>
      <c r="D55" s="501">
        <v>3.8604149142467709E-2</v>
      </c>
      <c r="E55" s="565" t="s">
        <v>954</v>
      </c>
      <c r="F55" s="720">
        <v>15.561015602575198</v>
      </c>
      <c r="G55" s="720">
        <v>77.805078012875995</v>
      </c>
      <c r="H55" s="461" t="s">
        <v>523</v>
      </c>
      <c r="J55" s="1087"/>
    </row>
    <row r="56" spans="1:10" ht="11.25" customHeight="1">
      <c r="A56" s="458" t="s">
        <v>145</v>
      </c>
      <c r="B56" s="501">
        <v>376.29790188679249</v>
      </c>
      <c r="C56" s="1086" t="s">
        <v>1433</v>
      </c>
      <c r="D56" s="501" t="s">
        <v>954</v>
      </c>
      <c r="E56" s="565" t="s">
        <v>954</v>
      </c>
      <c r="F56" s="720">
        <v>386.07832895033289</v>
      </c>
      <c r="G56" s="720">
        <v>1930.3916447516644</v>
      </c>
      <c r="H56" s="461">
        <v>376.29790188679249</v>
      </c>
      <c r="J56" s="1087"/>
    </row>
    <row r="57" spans="1:10" ht="11.25" customHeight="1">
      <c r="A57" s="458" t="s">
        <v>225</v>
      </c>
      <c r="B57" s="501">
        <v>204.33995287331547</v>
      </c>
      <c r="C57" s="1086" t="s">
        <v>1149</v>
      </c>
      <c r="D57" s="501" t="s">
        <v>954</v>
      </c>
      <c r="E57" s="565" t="s">
        <v>954</v>
      </c>
      <c r="F57" s="720">
        <v>204.33995287331547</v>
      </c>
      <c r="G57" s="720">
        <v>1021.6997643665774</v>
      </c>
      <c r="H57" s="461">
        <v>595.41254867924533</v>
      </c>
      <c r="J57" s="1087"/>
    </row>
    <row r="58" spans="1:10" ht="11.25" customHeight="1">
      <c r="A58" s="458" t="s">
        <v>226</v>
      </c>
      <c r="B58" s="501">
        <v>2.8246065179655564</v>
      </c>
      <c r="C58" s="1086" t="s">
        <v>1413</v>
      </c>
      <c r="D58" s="501">
        <v>2.8246065179655564</v>
      </c>
      <c r="E58" s="565" t="s">
        <v>954</v>
      </c>
      <c r="F58" s="720">
        <v>693.22855681251895</v>
      </c>
      <c r="G58" s="720">
        <v>3466.1427840625947</v>
      </c>
      <c r="H58" s="461" t="s">
        <v>523</v>
      </c>
      <c r="J58" s="1087"/>
    </row>
    <row r="59" spans="1:10" ht="11.25" customHeight="1">
      <c r="A59" s="458" t="s">
        <v>227</v>
      </c>
      <c r="B59" s="501">
        <v>1.1617684070381793</v>
      </c>
      <c r="C59" s="1086" t="s">
        <v>1413</v>
      </c>
      <c r="D59" s="501">
        <v>1.1617684070381793</v>
      </c>
      <c r="E59" s="565" t="s">
        <v>954</v>
      </c>
      <c r="F59" s="720" t="s">
        <v>954</v>
      </c>
      <c r="G59" s="720" t="s">
        <v>954</v>
      </c>
      <c r="H59" s="461" t="s">
        <v>523</v>
      </c>
      <c r="J59" s="1087"/>
    </row>
    <row r="60" spans="1:10" ht="11.25" customHeight="1">
      <c r="A60" s="458" t="s">
        <v>361</v>
      </c>
      <c r="B60" s="501">
        <v>2.1784553645811879</v>
      </c>
      <c r="C60" s="1086" t="s">
        <v>1413</v>
      </c>
      <c r="D60" s="501">
        <v>2.1784553645811879</v>
      </c>
      <c r="E60" s="565" t="s">
        <v>954</v>
      </c>
      <c r="F60" s="720">
        <v>6.3213679555714632</v>
      </c>
      <c r="G60" s="720">
        <v>31.606839777857317</v>
      </c>
      <c r="H60" s="461" t="s">
        <v>523</v>
      </c>
      <c r="J60" s="1087"/>
    </row>
    <row r="61" spans="1:10" ht="11.25" customHeight="1">
      <c r="A61" s="458" t="s">
        <v>362</v>
      </c>
      <c r="B61" s="501">
        <v>1.9200322290192162</v>
      </c>
      <c r="C61" s="1086" t="s">
        <v>1413</v>
      </c>
      <c r="D61" s="501">
        <v>1.9200322290192162</v>
      </c>
      <c r="E61" s="565" t="s">
        <v>954</v>
      </c>
      <c r="F61" s="720">
        <v>7.8214285714285721</v>
      </c>
      <c r="G61" s="720">
        <v>39.107142857142861</v>
      </c>
      <c r="H61" s="461" t="s">
        <v>523</v>
      </c>
      <c r="J61" s="1087"/>
    </row>
    <row r="62" spans="1:10" ht="11.25" customHeight="1">
      <c r="A62" s="458" t="s">
        <v>363</v>
      </c>
      <c r="B62" s="501">
        <v>1.8212193250639632</v>
      </c>
      <c r="C62" s="1086" t="s">
        <v>1413</v>
      </c>
      <c r="D62" s="501">
        <v>1.8212193250639632</v>
      </c>
      <c r="E62" s="565" t="s">
        <v>954</v>
      </c>
      <c r="F62" s="720">
        <v>7.3016258286845215</v>
      </c>
      <c r="G62" s="720">
        <v>36.508129143422607</v>
      </c>
      <c r="H62" s="461" t="s">
        <v>523</v>
      </c>
      <c r="J62" s="1087"/>
    </row>
    <row r="63" spans="1:10" ht="11.25" customHeight="1">
      <c r="A63" s="458" t="s">
        <v>234</v>
      </c>
      <c r="B63" s="501">
        <v>3.8337235773200096</v>
      </c>
      <c r="C63" s="1086" t="s">
        <v>1413</v>
      </c>
      <c r="D63" s="501">
        <v>3.8337235773200096</v>
      </c>
      <c r="E63" s="565" t="s">
        <v>954</v>
      </c>
      <c r="F63" s="720">
        <v>298.25158303960302</v>
      </c>
      <c r="G63" s="720">
        <v>1491.2579151980151</v>
      </c>
      <c r="H63" s="461">
        <v>1685.682837735849</v>
      </c>
      <c r="J63" s="1087"/>
    </row>
    <row r="64" spans="1:10" ht="11.25" customHeight="1">
      <c r="A64" s="458" t="s">
        <v>235</v>
      </c>
      <c r="B64" s="501">
        <v>0.50063402707119875</v>
      </c>
      <c r="C64" s="1086" t="s">
        <v>1413</v>
      </c>
      <c r="D64" s="501">
        <v>0.50063402707119875</v>
      </c>
      <c r="E64" s="565" t="s">
        <v>954</v>
      </c>
      <c r="F64" s="720">
        <v>6.7391983051136553</v>
      </c>
      <c r="G64" s="720">
        <v>33.695991525568274</v>
      </c>
      <c r="H64" s="461">
        <v>2981.506415094339</v>
      </c>
      <c r="J64" s="1087"/>
    </row>
    <row r="65" spans="1:10" ht="11.25" customHeight="1">
      <c r="A65" s="458" t="s">
        <v>294</v>
      </c>
      <c r="B65" s="501">
        <v>48.76242864214462</v>
      </c>
      <c r="C65" s="1086" t="s">
        <v>1149</v>
      </c>
      <c r="D65" s="501" t="s">
        <v>954</v>
      </c>
      <c r="E65" s="565" t="s">
        <v>954</v>
      </c>
      <c r="F65" s="720">
        <v>48.76242864214462</v>
      </c>
      <c r="G65" s="720">
        <v>243.81214321072309</v>
      </c>
      <c r="H65" s="461">
        <v>1207.9647647798743</v>
      </c>
      <c r="J65" s="1087"/>
    </row>
    <row r="66" spans="1:10" ht="11.25" customHeight="1">
      <c r="A66" s="458" t="s">
        <v>295</v>
      </c>
      <c r="B66" s="501">
        <v>13.091269762884867</v>
      </c>
      <c r="C66" s="1086" t="s">
        <v>1149</v>
      </c>
      <c r="D66" s="501" t="s">
        <v>954</v>
      </c>
      <c r="E66" s="565" t="s">
        <v>954</v>
      </c>
      <c r="F66" s="720">
        <v>13.091269762884867</v>
      </c>
      <c r="G66" s="720">
        <v>65.456348814424331</v>
      </c>
      <c r="H66" s="461">
        <v>2370.3051194968548</v>
      </c>
      <c r="J66" s="1087"/>
    </row>
    <row r="67" spans="1:10" ht="11.25" customHeight="1">
      <c r="A67" s="458" t="s">
        <v>228</v>
      </c>
      <c r="B67" s="501">
        <v>15.08165040563425</v>
      </c>
      <c r="C67" s="1086" t="s">
        <v>1149</v>
      </c>
      <c r="D67" s="501" t="s">
        <v>954</v>
      </c>
      <c r="E67" s="565" t="s">
        <v>954</v>
      </c>
      <c r="F67" s="720">
        <v>15.08165040563425</v>
      </c>
      <c r="G67" s="720">
        <v>75.408252028171248</v>
      </c>
      <c r="H67" s="461">
        <v>1851.1077232704401</v>
      </c>
      <c r="J67" s="1087"/>
    </row>
    <row r="68" spans="1:10" ht="11.25" customHeight="1">
      <c r="A68" s="458" t="s">
        <v>942</v>
      </c>
      <c r="B68" s="501">
        <v>37.928207733428785</v>
      </c>
      <c r="C68" s="1086" t="s">
        <v>1149</v>
      </c>
      <c r="D68" s="501" t="s">
        <v>954</v>
      </c>
      <c r="E68" s="565" t="s">
        <v>954</v>
      </c>
      <c r="F68" s="720">
        <v>37.928207733428785</v>
      </c>
      <c r="G68" s="720">
        <v>189.64103866714393</v>
      </c>
      <c r="H68" s="461" t="s">
        <v>523</v>
      </c>
      <c r="J68" s="1087"/>
    </row>
    <row r="69" spans="1:10" ht="11.25" customHeight="1">
      <c r="A69" s="458" t="s">
        <v>98</v>
      </c>
      <c r="B69" s="501">
        <v>139.83692077823397</v>
      </c>
      <c r="C69" s="1086" t="s">
        <v>1149</v>
      </c>
      <c r="D69" s="501" t="s">
        <v>954</v>
      </c>
      <c r="E69" s="565" t="s">
        <v>954</v>
      </c>
      <c r="F69" s="720">
        <v>139.83692077823397</v>
      </c>
      <c r="G69" s="720">
        <v>699.1846038911699</v>
      </c>
      <c r="H69" s="461" t="s">
        <v>523</v>
      </c>
      <c r="J69" s="1087"/>
    </row>
    <row r="70" spans="1:10" ht="11.25" customHeight="1">
      <c r="A70" s="458" t="s">
        <v>943</v>
      </c>
      <c r="B70" s="501">
        <v>2.6265264274451212</v>
      </c>
      <c r="C70" s="1086" t="s">
        <v>1413</v>
      </c>
      <c r="D70" s="501">
        <v>2.6265264274451212</v>
      </c>
      <c r="E70" s="565" t="s">
        <v>954</v>
      </c>
      <c r="F70" s="720">
        <v>3.3574570939883643</v>
      </c>
      <c r="G70" s="720">
        <v>16.787285469941821</v>
      </c>
      <c r="H70" s="461">
        <v>1363.3675471698114</v>
      </c>
      <c r="J70" s="1087"/>
    </row>
    <row r="71" spans="1:10" ht="11.25" customHeight="1">
      <c r="A71" s="458" t="s">
        <v>296</v>
      </c>
      <c r="B71" s="501">
        <v>1.9127700817840205</v>
      </c>
      <c r="C71" s="1086" t="s">
        <v>1413</v>
      </c>
      <c r="D71" s="501">
        <v>1.9127700817840205</v>
      </c>
      <c r="E71" s="565" t="s">
        <v>954</v>
      </c>
      <c r="F71" s="720">
        <v>15.366638132208257</v>
      </c>
      <c r="G71" s="720">
        <v>76.833190661041286</v>
      </c>
      <c r="H71" s="461">
        <v>1571.9654339622643</v>
      </c>
      <c r="J71" s="1087"/>
    </row>
    <row r="72" spans="1:10" ht="11.25" customHeight="1">
      <c r="A72" s="458" t="s">
        <v>944</v>
      </c>
      <c r="B72" s="501">
        <v>2.5285471822285857</v>
      </c>
      <c r="C72" s="1086" t="s">
        <v>1149</v>
      </c>
      <c r="D72" s="501">
        <v>7.4686118197733098</v>
      </c>
      <c r="E72" s="565" t="s">
        <v>954</v>
      </c>
      <c r="F72" s="720">
        <v>2.5285471822285857</v>
      </c>
      <c r="G72" s="720">
        <v>5.0570943644571713</v>
      </c>
      <c r="H72" s="461" t="s">
        <v>523</v>
      </c>
      <c r="J72" s="1087"/>
    </row>
    <row r="73" spans="1:10" ht="11.25" customHeight="1">
      <c r="A73" s="458" t="s">
        <v>945</v>
      </c>
      <c r="B73" s="501">
        <v>10114.188728914341</v>
      </c>
      <c r="C73" s="1086" t="s">
        <v>1149</v>
      </c>
      <c r="D73" s="501" t="s">
        <v>954</v>
      </c>
      <c r="E73" s="565" t="s">
        <v>954</v>
      </c>
      <c r="F73" s="720">
        <v>10114.188728914341</v>
      </c>
      <c r="G73" s="720">
        <v>50570.943644571707</v>
      </c>
      <c r="H73" s="461" t="s">
        <v>523</v>
      </c>
      <c r="J73" s="1087"/>
    </row>
    <row r="74" spans="1:10" ht="11.25" customHeight="1">
      <c r="A74" s="458" t="s">
        <v>947</v>
      </c>
      <c r="B74" s="501">
        <v>252.8514983047302</v>
      </c>
      <c r="C74" s="1086" t="s">
        <v>1149</v>
      </c>
      <c r="D74" s="501" t="s">
        <v>954</v>
      </c>
      <c r="E74" s="565" t="s">
        <v>954</v>
      </c>
      <c r="F74" s="720">
        <v>252.8514983047302</v>
      </c>
      <c r="G74" s="720">
        <v>1264.257491523651</v>
      </c>
      <c r="H74" s="461" t="s">
        <v>523</v>
      </c>
      <c r="J74" s="1087"/>
    </row>
    <row r="75" spans="1:10" ht="11.25" customHeight="1">
      <c r="A75" s="458" t="s">
        <v>946</v>
      </c>
      <c r="B75" s="501">
        <v>126427.35911142928</v>
      </c>
      <c r="C75" s="1086" t="s">
        <v>1149</v>
      </c>
      <c r="D75" s="501" t="s">
        <v>954</v>
      </c>
      <c r="E75" s="565" t="s">
        <v>954</v>
      </c>
      <c r="F75" s="720">
        <v>126427.35911142928</v>
      </c>
      <c r="G75" s="720">
        <v>632136.79555714643</v>
      </c>
      <c r="H75" s="461" t="s">
        <v>523</v>
      </c>
      <c r="J75" s="1087"/>
    </row>
    <row r="76" spans="1:10" ht="11.25" customHeight="1">
      <c r="A76" s="462" t="s">
        <v>99</v>
      </c>
      <c r="B76" s="501">
        <v>1.2642735911142928</v>
      </c>
      <c r="C76" s="1086" t="s">
        <v>1149</v>
      </c>
      <c r="D76" s="501" t="s">
        <v>954</v>
      </c>
      <c r="E76" s="565" t="s">
        <v>954</v>
      </c>
      <c r="F76" s="720">
        <v>1.2642735911142928</v>
      </c>
      <c r="G76" s="720">
        <v>6.3213679555714641</v>
      </c>
      <c r="H76" s="461" t="s">
        <v>523</v>
      </c>
      <c r="J76" s="1087"/>
    </row>
    <row r="77" spans="1:10" ht="11.25" customHeight="1">
      <c r="A77" s="458" t="s">
        <v>297</v>
      </c>
      <c r="B77" s="501">
        <v>25.285471822285853</v>
      </c>
      <c r="C77" s="1086" t="s">
        <v>1149</v>
      </c>
      <c r="D77" s="501" t="s">
        <v>954</v>
      </c>
      <c r="E77" s="565" t="s">
        <v>954</v>
      </c>
      <c r="F77" s="720">
        <v>25.285471822285853</v>
      </c>
      <c r="G77" s="720">
        <v>126.42735911142927</v>
      </c>
      <c r="H77" s="461" t="s">
        <v>523</v>
      </c>
      <c r="J77" s="1087"/>
    </row>
    <row r="78" spans="1:10" ht="11.25" customHeight="1">
      <c r="A78" s="462" t="s">
        <v>100</v>
      </c>
      <c r="B78" s="501">
        <v>1.6790787415094435</v>
      </c>
      <c r="C78" s="1086" t="s">
        <v>1413</v>
      </c>
      <c r="D78" s="501">
        <v>1.6790787415094435</v>
      </c>
      <c r="E78" s="565" t="s">
        <v>954</v>
      </c>
      <c r="F78" s="720">
        <v>25.188853138864655</v>
      </c>
      <c r="G78" s="720">
        <v>125.94426569432328</v>
      </c>
      <c r="H78" s="461" t="s">
        <v>523</v>
      </c>
      <c r="J78" s="1087"/>
    </row>
    <row r="79" spans="1:10" ht="11.25" customHeight="1">
      <c r="A79" s="462" t="s">
        <v>101</v>
      </c>
      <c r="B79" s="501">
        <v>0.34934343533368617</v>
      </c>
      <c r="C79" s="1086" t="s">
        <v>1413</v>
      </c>
      <c r="D79" s="501">
        <v>0.34934343533368617</v>
      </c>
      <c r="E79" s="565" t="s">
        <v>954</v>
      </c>
      <c r="F79" s="720">
        <v>3.8001089480245738</v>
      </c>
      <c r="G79" s="720">
        <v>19.000544740122869</v>
      </c>
      <c r="H79" s="461" t="s">
        <v>523</v>
      </c>
      <c r="J79" s="1087"/>
    </row>
    <row r="80" spans="1:10" ht="11.25" customHeight="1">
      <c r="A80" s="458" t="s">
        <v>382</v>
      </c>
      <c r="B80" s="501">
        <v>5.2502538570849584</v>
      </c>
      <c r="C80" s="1086" t="s">
        <v>1413</v>
      </c>
      <c r="D80" s="501">
        <v>5.2502538570849584</v>
      </c>
      <c r="E80" s="565" t="s">
        <v>954</v>
      </c>
      <c r="F80" s="720">
        <v>170.16337121212629</v>
      </c>
      <c r="G80" s="720">
        <v>850.81685606063149</v>
      </c>
      <c r="H80" s="461">
        <v>115637.86163522014</v>
      </c>
      <c r="J80" s="1087"/>
    </row>
    <row r="81" spans="1:10" ht="11.25" customHeight="1">
      <c r="A81" s="458" t="s">
        <v>594</v>
      </c>
      <c r="B81" s="501">
        <v>2.4000000000000001E-4</v>
      </c>
      <c r="C81" s="737" t="s">
        <v>1033</v>
      </c>
      <c r="D81" s="501"/>
      <c r="E81" s="565"/>
      <c r="F81" s="720"/>
      <c r="G81" s="720"/>
      <c r="H81" s="461"/>
      <c r="J81" s="1087"/>
    </row>
    <row r="82" spans="1:10" ht="11.25" customHeight="1">
      <c r="A82" s="458" t="s">
        <v>102</v>
      </c>
      <c r="B82" s="501">
        <v>25.285471822285853</v>
      </c>
      <c r="C82" s="1086" t="s">
        <v>1149</v>
      </c>
      <c r="D82" s="501" t="s">
        <v>954</v>
      </c>
      <c r="E82" s="565" t="s">
        <v>954</v>
      </c>
      <c r="F82" s="720">
        <v>25.285471822285853</v>
      </c>
      <c r="G82" s="720">
        <v>126.42735911142927</v>
      </c>
      <c r="H82" s="461" t="s">
        <v>523</v>
      </c>
      <c r="J82" s="1087"/>
    </row>
    <row r="83" spans="1:10" ht="11.25" customHeight="1">
      <c r="A83" s="458" t="s">
        <v>370</v>
      </c>
      <c r="B83" s="501">
        <v>93.857142857142861</v>
      </c>
      <c r="C83" s="1086" t="s">
        <v>1149</v>
      </c>
      <c r="D83" s="501" t="s">
        <v>954</v>
      </c>
      <c r="E83" s="565" t="s">
        <v>954</v>
      </c>
      <c r="F83" s="720">
        <v>93.857142857142861</v>
      </c>
      <c r="G83" s="720">
        <v>469.28571428571433</v>
      </c>
      <c r="H83" s="461" t="s">
        <v>523</v>
      </c>
      <c r="J83" s="1087"/>
    </row>
    <row r="84" spans="1:10" ht="11.25" customHeight="1">
      <c r="A84" s="458" t="s">
        <v>337</v>
      </c>
      <c r="B84" s="501">
        <v>3.7928207733428785</v>
      </c>
      <c r="C84" s="1086" t="s">
        <v>1149</v>
      </c>
      <c r="D84" s="501" t="s">
        <v>954</v>
      </c>
      <c r="E84" s="565" t="s">
        <v>954</v>
      </c>
      <c r="F84" s="720">
        <v>3.7928207733428785</v>
      </c>
      <c r="G84" s="720">
        <v>18.964103866714392</v>
      </c>
      <c r="H84" s="461" t="s">
        <v>523</v>
      </c>
      <c r="J84" s="1087"/>
    </row>
    <row r="85" spans="1:10" ht="11.25" customHeight="1">
      <c r="A85" s="458" t="s">
        <v>28</v>
      </c>
      <c r="B85" s="501"/>
      <c r="C85" s="1086" t="s">
        <v>50</v>
      </c>
      <c r="D85" s="501"/>
      <c r="E85" s="565"/>
      <c r="F85" s="720"/>
      <c r="G85" s="720"/>
      <c r="H85" s="461"/>
      <c r="J85" s="1087"/>
    </row>
    <row r="86" spans="1:10" ht="11.25" customHeight="1">
      <c r="A86" s="458" t="s">
        <v>338</v>
      </c>
      <c r="B86" s="501">
        <v>62.483630071956853</v>
      </c>
      <c r="C86" s="1086" t="s">
        <v>1413</v>
      </c>
      <c r="D86" s="501">
        <v>62.483630071956853</v>
      </c>
      <c r="E86" s="565" t="s">
        <v>954</v>
      </c>
      <c r="F86" s="720">
        <v>487.27950578484291</v>
      </c>
      <c r="G86" s="720">
        <v>2436.3975289242144</v>
      </c>
      <c r="H86" s="461">
        <v>479.48318616352208</v>
      </c>
      <c r="J86" s="1087"/>
    </row>
    <row r="87" spans="1:10" ht="11.25" customHeight="1">
      <c r="A87" s="458" t="s">
        <v>339</v>
      </c>
      <c r="B87" s="501">
        <v>478.19569558367709</v>
      </c>
      <c r="C87" s="1086" t="s">
        <v>1149</v>
      </c>
      <c r="D87" s="501" t="s">
        <v>954</v>
      </c>
      <c r="E87" s="565" t="s">
        <v>954</v>
      </c>
      <c r="F87" s="720">
        <v>478.19569558367709</v>
      </c>
      <c r="G87" s="720">
        <v>2390.9784779183856</v>
      </c>
      <c r="H87" s="461" t="s">
        <v>523</v>
      </c>
      <c r="J87" s="1087"/>
    </row>
    <row r="88" spans="1:10" ht="11.25" customHeight="1">
      <c r="A88" s="458" t="s">
        <v>340</v>
      </c>
      <c r="B88" s="501">
        <v>453.94296153544229</v>
      </c>
      <c r="C88" s="1086" t="s">
        <v>1149</v>
      </c>
      <c r="D88" s="501" t="s">
        <v>954</v>
      </c>
      <c r="E88" s="565" t="s">
        <v>954</v>
      </c>
      <c r="F88" s="720">
        <v>453.94296153544229</v>
      </c>
      <c r="G88" s="720">
        <v>2269.7148076772114</v>
      </c>
      <c r="H88" s="461" t="s">
        <v>523</v>
      </c>
      <c r="J88" s="1087"/>
    </row>
    <row r="89" spans="1:10" ht="11.25" customHeight="1">
      <c r="A89" s="458" t="s">
        <v>103</v>
      </c>
      <c r="B89" s="501">
        <v>1264.2735911142927</v>
      </c>
      <c r="C89" s="1086" t="s">
        <v>1149</v>
      </c>
      <c r="D89" s="501" t="s">
        <v>954</v>
      </c>
      <c r="E89" s="565" t="s">
        <v>954</v>
      </c>
      <c r="F89" s="720">
        <v>1264.2735911142927</v>
      </c>
      <c r="G89" s="720">
        <v>6321.3679555714634</v>
      </c>
      <c r="H89" s="461" t="s">
        <v>523</v>
      </c>
      <c r="J89" s="1087"/>
    </row>
    <row r="90" spans="1:10" ht="11.25" customHeight="1">
      <c r="A90" s="458" t="s">
        <v>341</v>
      </c>
      <c r="B90" s="501">
        <v>1.3201258135444218</v>
      </c>
      <c r="C90" s="1086" t="s">
        <v>1413</v>
      </c>
      <c r="D90" s="501">
        <v>1.3201258135444218</v>
      </c>
      <c r="E90" s="565" t="s">
        <v>954</v>
      </c>
      <c r="F90" s="720">
        <v>1.5642857142857143</v>
      </c>
      <c r="G90" s="720">
        <v>7.8214285714285712</v>
      </c>
      <c r="H90" s="461" t="s">
        <v>523</v>
      </c>
      <c r="J90" s="1087"/>
    </row>
    <row r="91" spans="1:10" ht="11.25" customHeight="1">
      <c r="A91" s="458" t="s">
        <v>342</v>
      </c>
      <c r="B91" s="501">
        <v>0.20335714285714288</v>
      </c>
      <c r="C91" s="1086" t="s">
        <v>1149</v>
      </c>
      <c r="D91" s="501">
        <v>0.68742618789536636</v>
      </c>
      <c r="E91" s="565" t="s">
        <v>954</v>
      </c>
      <c r="F91" s="720">
        <v>0.20335714285714288</v>
      </c>
      <c r="G91" s="720">
        <v>1.0167857142857144</v>
      </c>
      <c r="H91" s="461" t="s">
        <v>523</v>
      </c>
      <c r="J91" s="1087"/>
    </row>
    <row r="92" spans="1:10" ht="11.25" customHeight="1">
      <c r="A92" s="458" t="s">
        <v>371</v>
      </c>
      <c r="B92" s="501">
        <v>0.15642857142857144</v>
      </c>
      <c r="C92" s="1086" t="s">
        <v>1149</v>
      </c>
      <c r="D92" s="501">
        <v>0.21702556743245119</v>
      </c>
      <c r="E92" s="565" t="s">
        <v>954</v>
      </c>
      <c r="F92" s="720">
        <v>0.15642857142857144</v>
      </c>
      <c r="G92" s="720">
        <v>0.78214285714285725</v>
      </c>
      <c r="H92" s="461" t="s">
        <v>523</v>
      </c>
      <c r="J92" s="1087"/>
    </row>
    <row r="93" spans="1:10" ht="11.25" customHeight="1">
      <c r="A93" s="458" t="s">
        <v>343</v>
      </c>
      <c r="B93" s="501">
        <v>1.2706826027542686</v>
      </c>
      <c r="C93" s="1086" t="s">
        <v>1413</v>
      </c>
      <c r="D93" s="501">
        <v>1.2706826027542686</v>
      </c>
      <c r="E93" s="565" t="s">
        <v>954</v>
      </c>
      <c r="F93" s="720">
        <v>15.642857142857144</v>
      </c>
      <c r="G93" s="720">
        <v>78.214285714285722</v>
      </c>
      <c r="H93" s="461" t="s">
        <v>523</v>
      </c>
      <c r="J93" s="1087"/>
    </row>
    <row r="94" spans="1:10" ht="11.25" customHeight="1">
      <c r="A94" s="458" t="s">
        <v>364</v>
      </c>
      <c r="B94" s="501">
        <v>0.54847786239896112</v>
      </c>
      <c r="C94" s="1086" t="s">
        <v>1413</v>
      </c>
      <c r="D94" s="501">
        <v>0.54847786239896112</v>
      </c>
      <c r="E94" s="565" t="s">
        <v>954</v>
      </c>
      <c r="F94" s="720">
        <v>4.2860274201376747</v>
      </c>
      <c r="G94" s="720">
        <v>21.430137100688373</v>
      </c>
      <c r="H94" s="461" t="s">
        <v>523</v>
      </c>
      <c r="J94" s="1087"/>
    </row>
    <row r="95" spans="1:10" ht="11.25" customHeight="1">
      <c r="A95" s="458" t="s">
        <v>344</v>
      </c>
      <c r="B95" s="501">
        <v>1.9583143021736595</v>
      </c>
      <c r="C95" s="1086" t="s">
        <v>1413</v>
      </c>
      <c r="D95" s="501">
        <v>1.9583143021736595</v>
      </c>
      <c r="E95" s="565" t="s">
        <v>954</v>
      </c>
      <c r="F95" s="720">
        <v>9.1134574421868493</v>
      </c>
      <c r="G95" s="720">
        <v>45.567287210934246</v>
      </c>
      <c r="H95" s="461" t="s">
        <v>523</v>
      </c>
      <c r="J95" s="1087"/>
    </row>
    <row r="96" spans="1:10" ht="11.25" customHeight="1">
      <c r="A96" s="458" t="s">
        <v>104</v>
      </c>
      <c r="B96" s="501">
        <v>417.2102850677166</v>
      </c>
      <c r="C96" s="1086" t="s">
        <v>1149</v>
      </c>
      <c r="D96" s="501" t="s">
        <v>954</v>
      </c>
      <c r="E96" s="565" t="s">
        <v>954</v>
      </c>
      <c r="F96" s="720">
        <v>417.2102850677166</v>
      </c>
      <c r="G96" s="720">
        <v>2086.0514253385832</v>
      </c>
      <c r="H96" s="461" t="s">
        <v>523</v>
      </c>
      <c r="J96" s="1087"/>
    </row>
    <row r="97" spans="1:10" ht="11.25" customHeight="1">
      <c r="A97" s="458" t="s">
        <v>345</v>
      </c>
      <c r="B97" s="501">
        <v>11.285807709958021</v>
      </c>
      <c r="C97" s="1086" t="s">
        <v>1415</v>
      </c>
      <c r="D97" s="501">
        <v>49.011281599257927</v>
      </c>
      <c r="E97" s="565">
        <v>11.285807709958021</v>
      </c>
      <c r="F97" s="720" t="s">
        <v>954</v>
      </c>
      <c r="G97" s="720" t="s">
        <v>954</v>
      </c>
      <c r="H97" s="461" t="s">
        <v>523</v>
      </c>
      <c r="J97" s="1087"/>
    </row>
    <row r="98" spans="1:10" ht="11.25" customHeight="1">
      <c r="A98" s="458" t="s">
        <v>105</v>
      </c>
      <c r="B98" s="501">
        <v>550.36828362211691</v>
      </c>
      <c r="C98" s="1086" t="s">
        <v>1413</v>
      </c>
      <c r="D98" s="501">
        <v>550.36828362211691</v>
      </c>
      <c r="E98" s="565" t="s">
        <v>954</v>
      </c>
      <c r="F98" s="720">
        <v>2528.535912421853</v>
      </c>
      <c r="G98" s="720">
        <v>12642.679562109264</v>
      </c>
      <c r="H98" s="461" t="s">
        <v>523</v>
      </c>
      <c r="J98" s="1087"/>
    </row>
    <row r="99" spans="1:10" ht="11.25" customHeight="1">
      <c r="A99" s="458" t="s">
        <v>346</v>
      </c>
      <c r="B99" s="501">
        <v>200</v>
      </c>
      <c r="C99" s="1086" t="s">
        <v>1149</v>
      </c>
      <c r="D99" s="501" t="s">
        <v>954</v>
      </c>
      <c r="E99" s="565" t="s">
        <v>954</v>
      </c>
      <c r="F99" s="720">
        <v>200</v>
      </c>
      <c r="G99" s="720"/>
      <c r="H99" s="461" t="s">
        <v>523</v>
      </c>
      <c r="J99" s="1087"/>
    </row>
    <row r="100" spans="1:10" ht="11.25" customHeight="1">
      <c r="A100" s="458" t="s">
        <v>347</v>
      </c>
      <c r="B100" s="501">
        <v>4.6925983598593568</v>
      </c>
      <c r="C100" s="1088" t="s">
        <v>1149</v>
      </c>
      <c r="D100" s="501" t="s">
        <v>954</v>
      </c>
      <c r="E100" s="720" t="s">
        <v>954</v>
      </c>
      <c r="F100" s="720">
        <v>4.6925983598593568</v>
      </c>
      <c r="G100" s="720">
        <v>23.462991799296784</v>
      </c>
      <c r="H100" s="461" t="s">
        <v>523</v>
      </c>
      <c r="J100" s="1087"/>
    </row>
    <row r="101" spans="1:10" ht="11.25" customHeight="1">
      <c r="A101" s="458" t="s">
        <v>348</v>
      </c>
      <c r="B101" s="501">
        <v>63.213679555714634</v>
      </c>
      <c r="C101" s="1088" t="s">
        <v>1149</v>
      </c>
      <c r="D101" s="501" t="s">
        <v>954</v>
      </c>
      <c r="E101" s="720" t="s">
        <v>954</v>
      </c>
      <c r="F101" s="720">
        <v>63.213679555714634</v>
      </c>
      <c r="G101" s="720">
        <v>316.06839777857317</v>
      </c>
      <c r="H101" s="461" t="s">
        <v>523</v>
      </c>
      <c r="J101" s="1087"/>
    </row>
    <row r="102" spans="1:10" ht="11.25" customHeight="1">
      <c r="A102" s="458" t="s">
        <v>350</v>
      </c>
      <c r="B102" s="501">
        <v>5607.4340205591161</v>
      </c>
      <c r="C102" s="1088" t="s">
        <v>1149</v>
      </c>
      <c r="D102" s="501" t="s">
        <v>954</v>
      </c>
      <c r="E102" s="720" t="s">
        <v>954</v>
      </c>
      <c r="F102" s="720">
        <v>5607.4340205591161</v>
      </c>
      <c r="G102" s="720">
        <v>28037.170102795579</v>
      </c>
      <c r="H102" s="461">
        <v>28431.476163522013</v>
      </c>
      <c r="J102" s="1087"/>
    </row>
    <row r="103" spans="1:10" ht="11.25" customHeight="1">
      <c r="A103" s="458" t="s">
        <v>351</v>
      </c>
      <c r="B103" s="501">
        <v>3356.5423899371067</v>
      </c>
      <c r="C103" s="1088" t="s">
        <v>1433</v>
      </c>
      <c r="D103" s="501" t="s">
        <v>954</v>
      </c>
      <c r="E103" s="720" t="s">
        <v>954</v>
      </c>
      <c r="F103" s="720">
        <v>7200.0961356741527</v>
      </c>
      <c r="G103" s="720">
        <v>36000.480678370761</v>
      </c>
      <c r="H103" s="461">
        <v>3356.5423899371067</v>
      </c>
      <c r="J103" s="1087"/>
    </row>
    <row r="104" spans="1:10" ht="11.25" customHeight="1">
      <c r="A104" s="458" t="s">
        <v>352</v>
      </c>
      <c r="B104" s="501">
        <v>1.5642857142857143</v>
      </c>
      <c r="C104" s="1088" t="s">
        <v>1149</v>
      </c>
      <c r="D104" s="501" t="s">
        <v>954</v>
      </c>
      <c r="E104" s="720" t="s">
        <v>954</v>
      </c>
      <c r="F104" s="720">
        <v>1.5642857142857143</v>
      </c>
      <c r="G104" s="720">
        <v>7.8214285714285712</v>
      </c>
      <c r="H104" s="461" t="s">
        <v>523</v>
      </c>
      <c r="J104" s="1087"/>
    </row>
    <row r="105" spans="1:10" ht="11.25" customHeight="1">
      <c r="A105" s="458" t="s">
        <v>353</v>
      </c>
      <c r="B105" s="501">
        <v>49.897973388145594</v>
      </c>
      <c r="C105" s="1088" t="s">
        <v>1413</v>
      </c>
      <c r="D105" s="501">
        <v>49.897973388145594</v>
      </c>
      <c r="E105" s="720" t="s">
        <v>954</v>
      </c>
      <c r="F105" s="720">
        <v>3336.9935884190331</v>
      </c>
      <c r="G105" s="720">
        <v>16684.967942095165</v>
      </c>
      <c r="H105" s="461">
        <v>8869.0732075471715</v>
      </c>
      <c r="J105" s="1087"/>
    </row>
    <row r="106" spans="1:10" ht="11.25" customHeight="1">
      <c r="A106" s="458" t="s">
        <v>349</v>
      </c>
      <c r="B106" s="501">
        <v>57.608321104047015</v>
      </c>
      <c r="C106" s="1088" t="s">
        <v>1415</v>
      </c>
      <c r="D106" s="501">
        <v>224.39655217700559</v>
      </c>
      <c r="E106" s="720">
        <v>57.608321104047015</v>
      </c>
      <c r="F106" s="720">
        <v>71.535241281299264</v>
      </c>
      <c r="G106" s="720">
        <v>357.67620640649631</v>
      </c>
      <c r="H106" s="461">
        <v>3314.8708176100631</v>
      </c>
      <c r="J106" s="1087"/>
    </row>
    <row r="107" spans="1:10" ht="11.25" customHeight="1">
      <c r="A107" s="458" t="s">
        <v>590</v>
      </c>
      <c r="B107" s="501">
        <v>169.01743569313257</v>
      </c>
      <c r="C107" s="1088" t="s">
        <v>1413</v>
      </c>
      <c r="D107" s="501">
        <v>169.01743569313257</v>
      </c>
      <c r="E107" s="720" t="s">
        <v>954</v>
      </c>
      <c r="F107" s="720">
        <v>665.36801097424609</v>
      </c>
      <c r="G107" s="720">
        <v>3326.8400548712307</v>
      </c>
      <c r="H107" s="461" t="s">
        <v>523</v>
      </c>
      <c r="J107" s="1087"/>
    </row>
    <row r="108" spans="1:10" ht="11.25" customHeight="1">
      <c r="A108" s="458" t="s">
        <v>591</v>
      </c>
      <c r="B108" s="501">
        <v>38.017884706403599</v>
      </c>
      <c r="C108" s="1088" t="s">
        <v>1149</v>
      </c>
      <c r="D108" s="501" t="s">
        <v>954</v>
      </c>
      <c r="E108" s="720" t="s">
        <v>954</v>
      </c>
      <c r="F108" s="720">
        <v>38.017884706403599</v>
      </c>
      <c r="G108" s="720">
        <v>190.089423532018</v>
      </c>
      <c r="H108" s="461" t="s">
        <v>523</v>
      </c>
      <c r="J108" s="1087"/>
    </row>
    <row r="109" spans="1:10" ht="11.25" customHeight="1">
      <c r="A109" s="458" t="s">
        <v>465</v>
      </c>
      <c r="B109" s="501">
        <v>78.203503981200072</v>
      </c>
      <c r="C109" s="1088" t="s">
        <v>1149</v>
      </c>
      <c r="D109" s="501" t="s">
        <v>954</v>
      </c>
      <c r="E109" s="720" t="s">
        <v>954</v>
      </c>
      <c r="F109" s="720">
        <v>78.203503981200072</v>
      </c>
      <c r="G109" s="720">
        <v>391.01751990600036</v>
      </c>
      <c r="H109" s="461" t="s">
        <v>523</v>
      </c>
      <c r="J109" s="1087"/>
    </row>
    <row r="110" spans="1:10" ht="11.25" customHeight="1">
      <c r="A110" s="458" t="s">
        <v>466</v>
      </c>
      <c r="B110" s="501">
        <v>20.639007337759541</v>
      </c>
      <c r="C110" s="1088" t="s">
        <v>1413</v>
      </c>
      <c r="D110" s="501">
        <v>20.639007337759541</v>
      </c>
      <c r="E110" s="720" t="s">
        <v>954</v>
      </c>
      <c r="F110" s="720">
        <v>27.92004024229982</v>
      </c>
      <c r="G110" s="720">
        <v>139.6002012114991</v>
      </c>
      <c r="H110" s="461" t="s">
        <v>523</v>
      </c>
      <c r="J110" s="1087"/>
    </row>
    <row r="111" spans="1:10" ht="11.25" customHeight="1">
      <c r="A111" s="458" t="s">
        <v>812</v>
      </c>
      <c r="B111" s="501">
        <v>124.37096748749823</v>
      </c>
      <c r="C111" s="1088" t="s">
        <v>1432</v>
      </c>
      <c r="D111" s="501" t="s">
        <v>954</v>
      </c>
      <c r="E111" s="720" t="s">
        <v>954</v>
      </c>
      <c r="F111" s="720">
        <v>290.00973709834466</v>
      </c>
      <c r="G111" s="720">
        <v>1450.0486854917233</v>
      </c>
      <c r="H111" s="461" t="s">
        <v>523</v>
      </c>
      <c r="J111" s="1087"/>
    </row>
    <row r="112" spans="1:10" ht="11.25" customHeight="1">
      <c r="A112" s="462" t="s">
        <v>106</v>
      </c>
      <c r="B112" s="501">
        <v>5.5889478096309899</v>
      </c>
      <c r="C112" s="1088" t="s">
        <v>1413</v>
      </c>
      <c r="D112" s="501">
        <v>5.5889478096309899</v>
      </c>
      <c r="E112" s="720" t="s">
        <v>954</v>
      </c>
      <c r="F112" s="720">
        <v>25.87052689102612</v>
      </c>
      <c r="G112" s="720">
        <v>129.35263445513061</v>
      </c>
      <c r="H112" s="461">
        <v>3048.4437410062897</v>
      </c>
      <c r="J112" s="1087"/>
    </row>
    <row r="113" spans="1:10" ht="11.25" customHeight="1">
      <c r="A113" s="462" t="s">
        <v>107</v>
      </c>
      <c r="B113" s="501">
        <v>1.2642735911142928</v>
      </c>
      <c r="C113" s="1088" t="s">
        <v>1149</v>
      </c>
      <c r="D113" s="501">
        <v>30.755874673000651</v>
      </c>
      <c r="E113" s="720" t="s">
        <v>954</v>
      </c>
      <c r="F113" s="720">
        <v>1.2642735911142928</v>
      </c>
      <c r="G113" s="720">
        <v>6.3213679555714641</v>
      </c>
      <c r="H113" s="461" t="s">
        <v>523</v>
      </c>
      <c r="J113" s="1087"/>
    </row>
    <row r="114" spans="1:10" ht="11.25" customHeight="1">
      <c r="A114" s="462" t="s">
        <v>108</v>
      </c>
      <c r="B114" s="501">
        <v>3.0562200956937802</v>
      </c>
      <c r="C114" s="1088" t="s">
        <v>1413</v>
      </c>
      <c r="D114" s="501">
        <v>3.0562200956937802</v>
      </c>
      <c r="E114" s="720" t="s">
        <v>954</v>
      </c>
      <c r="F114" s="720">
        <v>12.300844699713215</v>
      </c>
      <c r="G114" s="720">
        <v>61.504223498566077</v>
      </c>
      <c r="H114" s="461" t="s">
        <v>523</v>
      </c>
      <c r="J114" s="1087"/>
    </row>
    <row r="115" spans="1:10" ht="11.25" customHeight="1">
      <c r="A115" s="462" t="s">
        <v>109</v>
      </c>
      <c r="B115" s="501">
        <v>1.2642735911142928</v>
      </c>
      <c r="C115" s="1088" t="s">
        <v>1149</v>
      </c>
      <c r="D115" s="501" t="s">
        <v>954</v>
      </c>
      <c r="E115" s="720" t="s">
        <v>954</v>
      </c>
      <c r="F115" s="720">
        <v>1.2642735911142928</v>
      </c>
      <c r="G115" s="720">
        <v>6.3213679555714641</v>
      </c>
      <c r="H115" s="461" t="s">
        <v>523</v>
      </c>
      <c r="J115" s="1087"/>
    </row>
    <row r="116" spans="1:10" ht="11.25" customHeight="1">
      <c r="A116" s="462" t="s">
        <v>110</v>
      </c>
      <c r="B116" s="501">
        <v>32.678116840063197</v>
      </c>
      <c r="C116" s="1088" t="s">
        <v>1413</v>
      </c>
      <c r="D116" s="501">
        <v>32.678116840063197</v>
      </c>
      <c r="E116" s="720" t="s">
        <v>954</v>
      </c>
      <c r="F116" s="720">
        <v>50.570299660946041</v>
      </c>
      <c r="G116" s="720">
        <v>252.8514983047302</v>
      </c>
      <c r="H116" s="461" t="s">
        <v>523</v>
      </c>
      <c r="J116" s="1087"/>
    </row>
    <row r="117" spans="1:10" ht="11.25" customHeight="1">
      <c r="A117" s="458" t="s">
        <v>467</v>
      </c>
      <c r="B117" s="501">
        <v>0.98017273127524474</v>
      </c>
      <c r="C117" s="1088" t="s">
        <v>1413</v>
      </c>
      <c r="D117" s="501">
        <v>0.98017273127524474</v>
      </c>
      <c r="E117" s="720" t="s">
        <v>954</v>
      </c>
      <c r="F117" s="720">
        <v>49.09103135997848</v>
      </c>
      <c r="G117" s="720">
        <v>245.45515679989239</v>
      </c>
      <c r="H117" s="461" t="s">
        <v>523</v>
      </c>
      <c r="J117" s="1087"/>
    </row>
    <row r="118" spans="1:10" ht="11.25" customHeight="1">
      <c r="A118" s="462" t="s">
        <v>111</v>
      </c>
      <c r="B118" s="501">
        <v>113.78462320028632</v>
      </c>
      <c r="C118" s="1088" t="s">
        <v>1149</v>
      </c>
      <c r="D118" s="501">
        <v>121.5929928932584</v>
      </c>
      <c r="E118" s="720" t="s">
        <v>954</v>
      </c>
      <c r="F118" s="720">
        <v>113.78462320028632</v>
      </c>
      <c r="G118" s="720">
        <v>568.92311600143159</v>
      </c>
      <c r="H118" s="461" t="s">
        <v>523</v>
      </c>
      <c r="J118" s="1087"/>
    </row>
    <row r="119" spans="1:10" ht="11.25" customHeight="1">
      <c r="A119" s="458" t="s">
        <v>231</v>
      </c>
      <c r="B119" s="501">
        <v>10.95</v>
      </c>
      <c r="C119" s="1088" t="s">
        <v>1149</v>
      </c>
      <c r="D119" s="501" t="s">
        <v>954</v>
      </c>
      <c r="E119" s="720" t="s">
        <v>954</v>
      </c>
      <c r="F119" s="720">
        <v>10.95</v>
      </c>
      <c r="G119" s="720">
        <v>54.75</v>
      </c>
      <c r="H119" s="461" t="s">
        <v>523</v>
      </c>
      <c r="J119" s="1087"/>
    </row>
    <row r="120" spans="1:10" ht="11.25" customHeight="1">
      <c r="A120" s="458" t="s">
        <v>468</v>
      </c>
      <c r="B120" s="501">
        <v>463.04414452751359</v>
      </c>
      <c r="C120" s="1088" t="s">
        <v>1149</v>
      </c>
      <c r="D120" s="501" t="s">
        <v>954</v>
      </c>
      <c r="E120" s="720" t="s">
        <v>954</v>
      </c>
      <c r="F120" s="720">
        <v>463.04414452751359</v>
      </c>
      <c r="G120" s="720">
        <v>2315.2207226375681</v>
      </c>
      <c r="H120" s="461" t="s">
        <v>523</v>
      </c>
      <c r="J120" s="1087"/>
    </row>
    <row r="121" spans="1:10" ht="11.25" customHeight="1">
      <c r="A121" s="458" t="s">
        <v>469</v>
      </c>
      <c r="B121" s="501">
        <v>3792.5672185128146</v>
      </c>
      <c r="C121" s="1088" t="s">
        <v>1149</v>
      </c>
      <c r="D121" s="501" t="s">
        <v>954</v>
      </c>
      <c r="E121" s="720" t="s">
        <v>954</v>
      </c>
      <c r="F121" s="720">
        <v>3792.5672185128146</v>
      </c>
      <c r="G121" s="720">
        <v>18962.836092564074</v>
      </c>
      <c r="H121" s="461" t="s">
        <v>523</v>
      </c>
      <c r="J121" s="1087"/>
    </row>
    <row r="122" spans="1:10" ht="11.25" customHeight="1">
      <c r="A122" s="458" t="s">
        <v>365</v>
      </c>
      <c r="B122" s="501">
        <v>1.1741947383207836</v>
      </c>
      <c r="C122" s="1088" t="s">
        <v>1149</v>
      </c>
      <c r="D122" s="501">
        <v>2.276493681345118</v>
      </c>
      <c r="E122" s="720" t="s">
        <v>954</v>
      </c>
      <c r="F122" s="720">
        <v>1.1741947383207836</v>
      </c>
      <c r="G122" s="720">
        <v>1.1741947383207836</v>
      </c>
      <c r="H122" s="461" t="s">
        <v>523</v>
      </c>
      <c r="J122" s="1087"/>
    </row>
    <row r="123" spans="1:10" ht="11.25" customHeight="1">
      <c r="A123" s="458" t="s">
        <v>112</v>
      </c>
      <c r="B123" s="501">
        <v>1264.2735911142927</v>
      </c>
      <c r="C123" s="1088" t="s">
        <v>1149</v>
      </c>
      <c r="D123" s="501" t="s">
        <v>954</v>
      </c>
      <c r="E123" s="720" t="s">
        <v>954</v>
      </c>
      <c r="F123" s="720">
        <v>1264.2735911142927</v>
      </c>
      <c r="G123" s="720">
        <v>6321.3679555714634</v>
      </c>
      <c r="H123" s="461" t="s">
        <v>523</v>
      </c>
      <c r="J123" s="1087"/>
    </row>
    <row r="124" spans="1:10" ht="11.25" customHeight="1">
      <c r="A124" s="458" t="s">
        <v>470</v>
      </c>
      <c r="B124" s="501">
        <v>356.36905187830342</v>
      </c>
      <c r="C124" s="1088" t="s">
        <v>1149</v>
      </c>
      <c r="D124" s="501" t="s">
        <v>954</v>
      </c>
      <c r="E124" s="720" t="s">
        <v>954</v>
      </c>
      <c r="F124" s="720">
        <v>356.36905187830342</v>
      </c>
      <c r="G124" s="720">
        <v>1781.8452593915172</v>
      </c>
      <c r="H124" s="461" t="s">
        <v>523</v>
      </c>
      <c r="J124" s="1087"/>
    </row>
    <row r="125" spans="1:10" ht="11.25" customHeight="1">
      <c r="A125" s="458" t="s">
        <v>471</v>
      </c>
      <c r="B125" s="501">
        <v>78.213207407198283</v>
      </c>
      <c r="C125" s="1088" t="s">
        <v>1149</v>
      </c>
      <c r="D125" s="501" t="s">
        <v>954</v>
      </c>
      <c r="E125" s="720" t="s">
        <v>954</v>
      </c>
      <c r="F125" s="720">
        <v>78.213207407198283</v>
      </c>
      <c r="G125" s="720">
        <v>391.06603703599143</v>
      </c>
      <c r="H125" s="461" t="s">
        <v>523</v>
      </c>
      <c r="J125" s="1087"/>
    </row>
    <row r="126" spans="1:10" ht="11.25" customHeight="1">
      <c r="A126" s="458" t="s">
        <v>813</v>
      </c>
      <c r="B126" s="501">
        <v>78.214285714285708</v>
      </c>
      <c r="C126" s="1088" t="s">
        <v>1149</v>
      </c>
      <c r="D126" s="501" t="s">
        <v>954</v>
      </c>
      <c r="E126" s="720" t="s">
        <v>954</v>
      </c>
      <c r="F126" s="720">
        <v>78.214285714285708</v>
      </c>
      <c r="G126" s="720">
        <v>391.07142857142856</v>
      </c>
      <c r="H126" s="461" t="s">
        <v>523</v>
      </c>
      <c r="J126" s="1087"/>
    </row>
    <row r="127" spans="1:10" ht="11.25" customHeight="1">
      <c r="A127" s="458" t="s">
        <v>113</v>
      </c>
      <c r="B127" s="501">
        <v>4.3570822453417595</v>
      </c>
      <c r="C127" s="1088" t="s">
        <v>1413</v>
      </c>
      <c r="D127" s="501">
        <v>4.3570822453417595</v>
      </c>
      <c r="E127" s="720" t="s">
        <v>954</v>
      </c>
      <c r="F127" s="720">
        <v>63.213679555714634</v>
      </c>
      <c r="G127" s="720">
        <v>316.06839777857317</v>
      </c>
      <c r="H127" s="461" t="s">
        <v>523</v>
      </c>
      <c r="J127" s="1087"/>
    </row>
    <row r="128" spans="1:10" ht="11.25" customHeight="1">
      <c r="A128" s="458" t="s">
        <v>472</v>
      </c>
      <c r="B128" s="501">
        <v>867.20140880503141</v>
      </c>
      <c r="C128" s="1088" t="s">
        <v>1433</v>
      </c>
      <c r="D128" s="501" t="s">
        <v>954</v>
      </c>
      <c r="E128" s="720" t="s">
        <v>954</v>
      </c>
      <c r="F128" s="720">
        <v>1271.5503731897486</v>
      </c>
      <c r="G128" s="720">
        <v>6357.7518659487432</v>
      </c>
      <c r="H128" s="461">
        <v>867.20140880503141</v>
      </c>
      <c r="J128" s="1087"/>
    </row>
    <row r="129" spans="1:10" ht="11.25" customHeight="1">
      <c r="A129" s="458" t="s">
        <v>114</v>
      </c>
      <c r="B129" s="501">
        <v>164.35556684485806</v>
      </c>
      <c r="C129" s="1088" t="s">
        <v>1149</v>
      </c>
      <c r="D129" s="501" t="s">
        <v>954</v>
      </c>
      <c r="E129" s="720" t="s">
        <v>954</v>
      </c>
      <c r="F129" s="720">
        <v>164.35556684485806</v>
      </c>
      <c r="G129" s="720">
        <v>821.77783422429025</v>
      </c>
      <c r="H129" s="461" t="s">
        <v>523</v>
      </c>
      <c r="J129" s="1087"/>
    </row>
    <row r="130" spans="1:10" ht="11.25" customHeight="1">
      <c r="A130" s="458" t="s">
        <v>19</v>
      </c>
      <c r="B130" s="501">
        <v>1344.7368421052633</v>
      </c>
      <c r="C130" s="1088" t="s">
        <v>1413</v>
      </c>
      <c r="D130" s="501">
        <v>1344.7368421052633</v>
      </c>
      <c r="E130" s="720" t="s">
        <v>954</v>
      </c>
      <c r="F130" s="720">
        <v>5247.7082113695196</v>
      </c>
      <c r="G130" s="720">
        <v>26238.5410568476</v>
      </c>
      <c r="H130" s="461">
        <v>112670.04402515724</v>
      </c>
      <c r="J130" s="1087"/>
    </row>
    <row r="131" spans="1:10" ht="11.25" customHeight="1">
      <c r="A131" s="458" t="s">
        <v>473</v>
      </c>
      <c r="B131" s="501">
        <v>2.1697025011683992</v>
      </c>
      <c r="C131" s="1088" t="s">
        <v>1413</v>
      </c>
      <c r="D131" s="501">
        <v>2.1697025011683992</v>
      </c>
      <c r="E131" s="720" t="s">
        <v>954</v>
      </c>
      <c r="F131" s="720">
        <v>105.86574787866221</v>
      </c>
      <c r="G131" s="720">
        <v>529.32873939331103</v>
      </c>
      <c r="H131" s="461">
        <v>679.56857484276736</v>
      </c>
      <c r="J131" s="1087"/>
    </row>
    <row r="132" spans="1:10" ht="11.25" customHeight="1">
      <c r="A132" s="458" t="s">
        <v>474</v>
      </c>
      <c r="B132" s="501">
        <v>0.64236269696443038</v>
      </c>
      <c r="C132" s="1088" t="s">
        <v>1413</v>
      </c>
      <c r="D132" s="501">
        <v>0.64236269696443038</v>
      </c>
      <c r="E132" s="720" t="s">
        <v>954</v>
      </c>
      <c r="F132" s="720">
        <v>312.85714285714283</v>
      </c>
      <c r="G132" s="720">
        <v>1564.2857142857142</v>
      </c>
      <c r="H132" s="461">
        <v>1903.1173320754715</v>
      </c>
      <c r="J132" s="1087"/>
    </row>
    <row r="133" spans="1:10" ht="11.25" customHeight="1">
      <c r="A133" s="458" t="s">
        <v>475</v>
      </c>
      <c r="B133" s="501">
        <v>1.1398717475371951</v>
      </c>
      <c r="C133" s="1088" t="s">
        <v>1413</v>
      </c>
      <c r="D133" s="501">
        <v>1.1398717475371951</v>
      </c>
      <c r="E133" s="720" t="s">
        <v>954</v>
      </c>
      <c r="F133" s="720">
        <v>17.442340034700859</v>
      </c>
      <c r="G133" s="720">
        <v>87.211700173504298</v>
      </c>
      <c r="H133" s="461">
        <v>166.02402867924528</v>
      </c>
      <c r="J133" s="1087"/>
    </row>
    <row r="134" spans="1:10" ht="11.25" customHeight="1">
      <c r="A134" s="458" t="s">
        <v>115</v>
      </c>
      <c r="B134" s="501">
        <v>379.28207733428781</v>
      </c>
      <c r="C134" s="1088" t="s">
        <v>1149</v>
      </c>
      <c r="D134" s="501" t="s">
        <v>954</v>
      </c>
      <c r="E134" s="720" t="s">
        <v>954</v>
      </c>
      <c r="F134" s="720">
        <v>379.28207733428781</v>
      </c>
      <c r="G134" s="720">
        <v>1896.410386671439</v>
      </c>
      <c r="H134" s="461" t="s">
        <v>523</v>
      </c>
      <c r="J134" s="1087"/>
    </row>
    <row r="135" spans="1:10" ht="11.25" customHeight="1">
      <c r="A135" s="462" t="s">
        <v>116</v>
      </c>
      <c r="B135" s="501">
        <v>771.16303781051113</v>
      </c>
      <c r="C135" s="1088" t="s">
        <v>1149</v>
      </c>
      <c r="D135" s="501" t="s">
        <v>954</v>
      </c>
      <c r="E135" s="720" t="s">
        <v>954</v>
      </c>
      <c r="F135" s="720">
        <v>771.16303781051113</v>
      </c>
      <c r="G135" s="720">
        <v>3855.8151890525555</v>
      </c>
      <c r="H135" s="461" t="s">
        <v>523</v>
      </c>
      <c r="J135" s="1087"/>
    </row>
    <row r="136" spans="1:10" ht="11.25" customHeight="1">
      <c r="A136" s="458" t="s">
        <v>476</v>
      </c>
      <c r="B136" s="501">
        <v>0.78214285714285714</v>
      </c>
      <c r="C136" s="1088" t="s">
        <v>1149</v>
      </c>
      <c r="D136" s="501" t="s">
        <v>954</v>
      </c>
      <c r="E136" s="720" t="s">
        <v>954</v>
      </c>
      <c r="F136" s="720">
        <v>0.78214285714285714</v>
      </c>
      <c r="G136" s="720">
        <v>0.78214285714285714</v>
      </c>
      <c r="H136" s="461" t="s">
        <v>523</v>
      </c>
      <c r="J136" s="1087"/>
    </row>
    <row r="137" spans="1:10" ht="11.25" customHeight="1">
      <c r="A137" s="458" t="s">
        <v>366</v>
      </c>
      <c r="B137" s="501">
        <v>817.67394716981141</v>
      </c>
      <c r="C137" s="1088" t="s">
        <v>1433</v>
      </c>
      <c r="D137" s="501" t="s">
        <v>954</v>
      </c>
      <c r="E137" s="720" t="s">
        <v>954</v>
      </c>
      <c r="F137" s="720">
        <v>995.28349779551559</v>
      </c>
      <c r="G137" s="720">
        <v>4976.4174889775777</v>
      </c>
      <c r="H137" s="461">
        <v>817.67394716981141</v>
      </c>
      <c r="J137" s="1087"/>
    </row>
    <row r="138" spans="1:10" ht="11.25" customHeight="1">
      <c r="A138" s="458" t="s">
        <v>20</v>
      </c>
      <c r="B138" s="501">
        <v>0.47529913041323968</v>
      </c>
      <c r="C138" s="1088" t="s">
        <v>1413</v>
      </c>
      <c r="D138" s="501">
        <v>0.47529913041323968</v>
      </c>
      <c r="E138" s="720" t="s">
        <v>954</v>
      </c>
      <c r="F138" s="720">
        <v>1.1378462320028635</v>
      </c>
      <c r="G138" s="720">
        <v>5.6892311600143177</v>
      </c>
      <c r="H138" s="461" t="s">
        <v>523</v>
      </c>
      <c r="J138" s="1087"/>
    </row>
    <row r="139" spans="1:10" ht="11.25" customHeight="1">
      <c r="A139" s="458" t="s">
        <v>57</v>
      </c>
      <c r="B139" s="501">
        <v>194.95991204485469</v>
      </c>
      <c r="C139" s="1088" t="s">
        <v>1149</v>
      </c>
      <c r="D139" s="501" t="s">
        <v>954</v>
      </c>
      <c r="E139" s="720" t="s">
        <v>954</v>
      </c>
      <c r="F139" s="720">
        <v>194.95991204485469</v>
      </c>
      <c r="G139" s="720">
        <v>194.95991204485469</v>
      </c>
      <c r="H139" s="461">
        <v>2009.9075471698116</v>
      </c>
      <c r="J139" s="1087"/>
    </row>
    <row r="140" spans="1:10" ht="11.25" customHeight="1">
      <c r="A140" s="458" t="s">
        <v>56</v>
      </c>
      <c r="B140" s="501">
        <v>183.39493451041466</v>
      </c>
      <c r="C140" s="1088" t="s">
        <v>1149</v>
      </c>
      <c r="D140" s="501" t="s">
        <v>954</v>
      </c>
      <c r="E140" s="720" t="s">
        <v>954</v>
      </c>
      <c r="F140" s="720">
        <v>183.39493451041466</v>
      </c>
      <c r="G140" s="720">
        <v>183.39493451041466</v>
      </c>
      <c r="H140" s="461">
        <v>683.36856603773595</v>
      </c>
      <c r="J140" s="1087"/>
    </row>
    <row r="141" spans="1:10" ht="11.25" customHeight="1">
      <c r="A141" s="458" t="s">
        <v>777</v>
      </c>
      <c r="B141" s="501">
        <v>1251.4195942435338</v>
      </c>
      <c r="C141" s="1088" t="s">
        <v>1149</v>
      </c>
      <c r="D141" s="501" t="s">
        <v>954</v>
      </c>
      <c r="E141" s="720" t="s">
        <v>954</v>
      </c>
      <c r="F141" s="720">
        <v>1251.4195942435338</v>
      </c>
      <c r="G141" s="720">
        <v>1251.4195942435338</v>
      </c>
      <c r="H141" s="461" t="s">
        <v>523</v>
      </c>
      <c r="J141" s="1087"/>
    </row>
    <row r="142" spans="1:10" ht="11.25" customHeight="1">
      <c r="A142" s="458" t="s">
        <v>814</v>
      </c>
      <c r="B142" s="501">
        <v>12.423206309478356</v>
      </c>
      <c r="C142" s="1088" t="s">
        <v>1149</v>
      </c>
      <c r="D142" s="501">
        <v>23.185117967332125</v>
      </c>
      <c r="E142" s="720" t="s">
        <v>954</v>
      </c>
      <c r="F142" s="720">
        <v>12.423206309478356</v>
      </c>
      <c r="G142" s="720">
        <v>62.116031547391785</v>
      </c>
      <c r="H142" s="461" t="s">
        <v>523</v>
      </c>
      <c r="J142" s="1087"/>
    </row>
    <row r="143" spans="1:10" ht="11.25" customHeight="1">
      <c r="A143" s="458" t="s">
        <v>815</v>
      </c>
      <c r="B143" s="501">
        <v>639.65388301886787</v>
      </c>
      <c r="C143" s="1088" t="s">
        <v>1433</v>
      </c>
      <c r="D143" s="501" t="s">
        <v>954</v>
      </c>
      <c r="E143" s="720" t="s">
        <v>954</v>
      </c>
      <c r="F143" s="720">
        <v>1763.1358445636956</v>
      </c>
      <c r="G143" s="720">
        <v>8815.6792228184786</v>
      </c>
      <c r="H143" s="461">
        <v>639.65388301886787</v>
      </c>
      <c r="J143" s="1087"/>
    </row>
    <row r="144" spans="1:10" ht="11.25" customHeight="1">
      <c r="A144" s="458" t="s">
        <v>477</v>
      </c>
      <c r="B144" s="501">
        <v>0.32364531998538026</v>
      </c>
      <c r="C144" s="1088" t="s">
        <v>1149</v>
      </c>
      <c r="D144" s="501">
        <v>1.2262927395392946</v>
      </c>
      <c r="E144" s="720" t="s">
        <v>954</v>
      </c>
      <c r="F144" s="720">
        <v>0.32364531998538026</v>
      </c>
      <c r="G144" s="720">
        <v>1.6182265999269014</v>
      </c>
      <c r="H144" s="461">
        <v>2160.2214339622642</v>
      </c>
      <c r="J144" s="1087"/>
    </row>
    <row r="145" spans="1:10" ht="11.25" customHeight="1">
      <c r="A145" s="458" t="s">
        <v>478</v>
      </c>
      <c r="B145" s="501">
        <v>0.88767733974939533</v>
      </c>
      <c r="C145" s="1088" t="s">
        <v>1149</v>
      </c>
      <c r="D145" s="501" t="s">
        <v>367</v>
      </c>
      <c r="E145" s="720">
        <v>0.94</v>
      </c>
      <c r="F145" s="720">
        <v>0.88767733974939533</v>
      </c>
      <c r="G145" s="720">
        <v>4.4383866987469762</v>
      </c>
      <c r="H145" s="461">
        <v>691.10178616352209</v>
      </c>
      <c r="J145" s="1087"/>
    </row>
    <row r="146" spans="1:10" ht="11.25" customHeight="1">
      <c r="A146" s="458" t="s">
        <v>479</v>
      </c>
      <c r="B146" s="501">
        <v>1264.257491523651</v>
      </c>
      <c r="C146" s="1088" t="s">
        <v>1149</v>
      </c>
      <c r="D146" s="501" t="s">
        <v>954</v>
      </c>
      <c r="E146" s="720" t="s">
        <v>954</v>
      </c>
      <c r="F146" s="720">
        <v>1264.257491523651</v>
      </c>
      <c r="G146" s="720">
        <v>6321.2874576182548</v>
      </c>
      <c r="H146" s="461" t="s">
        <v>523</v>
      </c>
      <c r="J146" s="1087"/>
    </row>
    <row r="147" spans="1:10" ht="11.25" customHeight="1">
      <c r="A147" s="458" t="s">
        <v>480</v>
      </c>
      <c r="B147" s="501">
        <v>12.642735911142926</v>
      </c>
      <c r="C147" s="1088" t="s">
        <v>1149</v>
      </c>
      <c r="D147" s="501">
        <v>47.529972203775202</v>
      </c>
      <c r="E147" s="720" t="s">
        <v>954</v>
      </c>
      <c r="F147" s="720">
        <v>12.642735911142926</v>
      </c>
      <c r="G147" s="720">
        <v>63.213679555714634</v>
      </c>
      <c r="H147" s="461" t="s">
        <v>523</v>
      </c>
      <c r="J147" s="1087"/>
    </row>
    <row r="148" spans="1:10" ht="11.25" customHeight="1">
      <c r="A148" s="462" t="s">
        <v>117</v>
      </c>
      <c r="B148" s="501">
        <v>126.42735911142927</v>
      </c>
      <c r="C148" s="1088" t="s">
        <v>1149</v>
      </c>
      <c r="D148" s="501" t="s">
        <v>954</v>
      </c>
      <c r="E148" s="720" t="s">
        <v>954</v>
      </c>
      <c r="F148" s="720">
        <v>126.42735911142927</v>
      </c>
      <c r="G148" s="720">
        <v>632.13679555714634</v>
      </c>
      <c r="H148" s="461" t="s">
        <v>523</v>
      </c>
      <c r="J148" s="1087"/>
    </row>
    <row r="149" spans="1:10" ht="11.25" customHeight="1">
      <c r="A149" s="458" t="s">
        <v>118</v>
      </c>
      <c r="B149" s="501">
        <v>101.14188728914341</v>
      </c>
      <c r="C149" s="1088" t="s">
        <v>1149</v>
      </c>
      <c r="D149" s="501" t="s">
        <v>954</v>
      </c>
      <c r="E149" s="720" t="s">
        <v>954</v>
      </c>
      <c r="F149" s="720">
        <v>101.14188728914341</v>
      </c>
      <c r="G149" s="720">
        <v>505.70943644571707</v>
      </c>
      <c r="H149" s="461" t="s">
        <v>523</v>
      </c>
      <c r="J149" s="1087"/>
    </row>
    <row r="150" spans="1:10" ht="11.25" customHeight="1">
      <c r="A150" s="458" t="s">
        <v>119</v>
      </c>
      <c r="B150" s="501">
        <v>5.029527559055118E-3</v>
      </c>
      <c r="C150" s="1088" t="s">
        <v>1415</v>
      </c>
      <c r="D150" s="501">
        <v>2.2412280701754387E-2</v>
      </c>
      <c r="E150" s="720">
        <v>5.029527559055118E-3</v>
      </c>
      <c r="F150" s="720">
        <v>1.0546949942082575</v>
      </c>
      <c r="G150" s="720">
        <v>5.2734749710412876</v>
      </c>
      <c r="H150" s="461">
        <v>1395.5380503144659</v>
      </c>
      <c r="J150" s="1087"/>
    </row>
    <row r="151" spans="1:10" ht="11.25" customHeight="1">
      <c r="A151" s="458" t="s">
        <v>120</v>
      </c>
      <c r="B151" s="501">
        <v>0.15845058605710996</v>
      </c>
      <c r="C151" s="1088" t="s">
        <v>1149</v>
      </c>
      <c r="D151" s="501" t="s">
        <v>954</v>
      </c>
      <c r="E151" s="720" t="s">
        <v>954</v>
      </c>
      <c r="F151" s="720">
        <v>0.15845058605710996</v>
      </c>
      <c r="G151" s="720">
        <v>0.79225293028554977</v>
      </c>
      <c r="H151" s="461">
        <v>311.17425056603776</v>
      </c>
      <c r="J151" s="1087"/>
    </row>
    <row r="152" spans="1:10" ht="11.25" customHeight="1">
      <c r="A152" s="458" t="s">
        <v>602</v>
      </c>
      <c r="B152" s="501">
        <v>87.320574162679421</v>
      </c>
      <c r="C152" s="1088" t="s">
        <v>1413</v>
      </c>
      <c r="D152" s="501">
        <v>87.320574162679421</v>
      </c>
      <c r="E152" s="720" t="s">
        <v>954</v>
      </c>
      <c r="F152" s="720">
        <v>117.32142857142857</v>
      </c>
      <c r="G152" s="720">
        <v>586.60714285714289</v>
      </c>
      <c r="H152" s="461" t="s">
        <v>523</v>
      </c>
      <c r="J152" s="1087"/>
    </row>
    <row r="153" spans="1:10" ht="11.25" customHeight="1">
      <c r="A153" s="462" t="s">
        <v>939</v>
      </c>
      <c r="B153" s="501">
        <v>449.03985437165932</v>
      </c>
      <c r="C153" s="1088" t="s">
        <v>1149</v>
      </c>
      <c r="D153" s="501" t="s">
        <v>954</v>
      </c>
      <c r="E153" s="720" t="s">
        <v>954</v>
      </c>
      <c r="F153" s="720">
        <v>449.03985437165932</v>
      </c>
      <c r="G153" s="720">
        <v>2245.1992718582965</v>
      </c>
      <c r="H153" s="461" t="s">
        <v>523</v>
      </c>
      <c r="J153" s="1087"/>
    </row>
    <row r="154" spans="1:10" ht="11.25" customHeight="1">
      <c r="A154" s="462" t="s">
        <v>603</v>
      </c>
      <c r="B154" s="501">
        <v>31.237531954550995</v>
      </c>
      <c r="C154" s="1088" t="s">
        <v>1149</v>
      </c>
      <c r="D154" s="501" t="s">
        <v>954</v>
      </c>
      <c r="E154" s="720" t="s">
        <v>954</v>
      </c>
      <c r="F154" s="720">
        <v>31.237531954550995</v>
      </c>
      <c r="G154" s="720">
        <v>156.18765977275498</v>
      </c>
      <c r="H154" s="461" t="s">
        <v>523</v>
      </c>
      <c r="J154" s="1087"/>
    </row>
    <row r="155" spans="1:10" ht="11.25" customHeight="1">
      <c r="A155" s="462" t="s">
        <v>605</v>
      </c>
      <c r="B155" s="501">
        <v>7.2694180429212993</v>
      </c>
      <c r="C155" s="1088" t="s">
        <v>1149</v>
      </c>
      <c r="D155" s="501">
        <v>20.533282208273416</v>
      </c>
      <c r="E155" s="720" t="s">
        <v>954</v>
      </c>
      <c r="F155" s="720">
        <v>7.2694180429212993</v>
      </c>
      <c r="G155" s="720">
        <v>36.347090214606496</v>
      </c>
      <c r="H155" s="461" t="s">
        <v>523</v>
      </c>
      <c r="J155" s="1087"/>
    </row>
    <row r="156" spans="1:10" ht="11.25" customHeight="1">
      <c r="A156" s="458" t="s">
        <v>481</v>
      </c>
      <c r="B156" s="501">
        <v>77.999214351185017</v>
      </c>
      <c r="C156" s="1088" t="s">
        <v>1149</v>
      </c>
      <c r="D156" s="501" t="s">
        <v>954</v>
      </c>
      <c r="E156" s="720" t="s">
        <v>954</v>
      </c>
      <c r="F156" s="720">
        <v>77.999214351185017</v>
      </c>
      <c r="G156" s="720">
        <v>389.99607175592507</v>
      </c>
      <c r="H156" s="461" t="s">
        <v>523</v>
      </c>
      <c r="J156" s="1087"/>
    </row>
    <row r="157" spans="1:10" ht="11.25" customHeight="1">
      <c r="A157" s="458" t="s">
        <v>482</v>
      </c>
      <c r="B157" s="501">
        <v>5.8999999999999997E-2</v>
      </c>
      <c r="C157" s="1088" t="s">
        <v>1415</v>
      </c>
      <c r="D157" s="501" t="s">
        <v>367</v>
      </c>
      <c r="E157" s="720">
        <v>5.8999999999999997E-2</v>
      </c>
      <c r="F157" s="720">
        <v>14.769270064768918</v>
      </c>
      <c r="G157" s="720">
        <v>73.84635032384459</v>
      </c>
      <c r="H157" s="461">
        <v>3859.8471446540889</v>
      </c>
      <c r="J157" s="1087"/>
    </row>
    <row r="158" spans="1:10" ht="11.25" customHeight="1">
      <c r="A158" s="458" t="s">
        <v>483</v>
      </c>
      <c r="B158" s="501">
        <v>129.23345456467081</v>
      </c>
      <c r="C158" s="1088" t="s">
        <v>1149</v>
      </c>
      <c r="D158" s="501" t="s">
        <v>954</v>
      </c>
      <c r="E158" s="720" t="s">
        <v>954</v>
      </c>
      <c r="F158" s="720">
        <v>129.23345456467081</v>
      </c>
      <c r="G158" s="720">
        <v>646.1672728233541</v>
      </c>
      <c r="H158" s="461">
        <v>259.54240000000004</v>
      </c>
      <c r="J158" s="1087"/>
    </row>
    <row r="159" spans="1:10" ht="11.25" customHeight="1" thickBot="1">
      <c r="A159" s="516" t="s">
        <v>484</v>
      </c>
      <c r="B159" s="627">
        <v>4692.8571428571431</v>
      </c>
      <c r="C159" s="1089" t="s">
        <v>1149</v>
      </c>
      <c r="D159" s="627" t="s">
        <v>954</v>
      </c>
      <c r="E159" s="722" t="s">
        <v>954</v>
      </c>
      <c r="F159" s="722">
        <v>4692.8571428571431</v>
      </c>
      <c r="G159" s="722">
        <v>23464.285714285717</v>
      </c>
      <c r="H159" s="469" t="s">
        <v>523</v>
      </c>
      <c r="J159" s="1087"/>
    </row>
    <row r="160" spans="1:10" ht="13.15" thickTop="1">
      <c r="A160" s="1090" t="s">
        <v>1341</v>
      </c>
      <c r="B160" s="475"/>
      <c r="C160" s="3"/>
      <c r="D160" s="22"/>
      <c r="E160" s="22"/>
      <c r="F160" s="22"/>
      <c r="G160" s="475"/>
      <c r="H160" s="1091"/>
    </row>
    <row r="161" spans="1:8">
      <c r="A161" s="474" t="s">
        <v>488</v>
      </c>
      <c r="B161" s="724"/>
      <c r="C161" s="588"/>
      <c r="D161" s="22"/>
      <c r="E161" s="22"/>
      <c r="F161" s="22"/>
      <c r="G161" s="22"/>
      <c r="H161" s="1091"/>
    </row>
    <row r="162" spans="1:8">
      <c r="A162" s="4" t="s">
        <v>490</v>
      </c>
      <c r="B162" s="724"/>
      <c r="C162" s="588"/>
      <c r="D162" s="22"/>
      <c r="E162" s="22"/>
      <c r="F162" s="22"/>
      <c r="G162" s="22"/>
      <c r="H162" s="1091"/>
    </row>
    <row r="163" spans="1:8" ht="36" customHeight="1">
      <c r="A163" s="1386" t="s">
        <v>1335</v>
      </c>
      <c r="B163" s="1398"/>
      <c r="C163" s="1398"/>
      <c r="D163" s="1398"/>
      <c r="E163" s="1398"/>
      <c r="F163" s="1398"/>
      <c r="G163" s="1398"/>
      <c r="H163" s="1471"/>
    </row>
    <row r="164" spans="1:8" ht="36.75" customHeight="1">
      <c r="A164" s="1386" t="s">
        <v>1336</v>
      </c>
      <c r="B164" s="1398"/>
      <c r="C164" s="1398"/>
      <c r="D164" s="1398"/>
      <c r="E164" s="1398"/>
      <c r="F164" s="1398"/>
      <c r="G164" s="1398"/>
      <c r="H164" s="1471"/>
    </row>
    <row r="165" spans="1:8" ht="26.25" customHeight="1">
      <c r="A165" s="1386" t="s">
        <v>1035</v>
      </c>
      <c r="B165" s="1398"/>
      <c r="C165" s="1398"/>
      <c r="D165" s="1398"/>
      <c r="E165" s="1398"/>
      <c r="F165" s="1398"/>
      <c r="G165" s="1398"/>
      <c r="H165" s="1471"/>
    </row>
    <row r="166" spans="1:8" ht="14.25" customHeight="1">
      <c r="A166" s="1386" t="s">
        <v>1090</v>
      </c>
      <c r="B166" s="1398"/>
      <c r="C166" s="1398"/>
      <c r="D166" s="1398"/>
      <c r="E166" s="1398"/>
      <c r="F166" s="1398"/>
      <c r="G166" s="1398"/>
      <c r="H166" s="1471"/>
    </row>
    <row r="167" spans="1:8">
      <c r="A167" s="4"/>
      <c r="B167" s="724"/>
      <c r="C167" s="588"/>
      <c r="D167" s="22"/>
      <c r="E167" s="22"/>
      <c r="F167" s="22"/>
      <c r="G167" s="22"/>
      <c r="H167" s="1091"/>
    </row>
    <row r="168" spans="1:8">
      <c r="A168" s="479" t="s">
        <v>545</v>
      </c>
      <c r="B168" s="481"/>
      <c r="C168" s="610"/>
      <c r="D168" s="22"/>
      <c r="E168" s="22"/>
      <c r="F168" s="22"/>
      <c r="G168" s="22"/>
      <c r="H168" s="1091"/>
    </row>
    <row r="169" spans="1:8" ht="24.75" customHeight="1">
      <c r="A169" s="1388" t="s">
        <v>1073</v>
      </c>
      <c r="B169" s="1487"/>
      <c r="C169" s="1487"/>
      <c r="D169" s="1487"/>
      <c r="E169" s="1487"/>
      <c r="F169" s="1487"/>
      <c r="G169" s="1487"/>
      <c r="H169" s="1488"/>
    </row>
    <row r="170" spans="1:8">
      <c r="A170" s="4" t="s">
        <v>794</v>
      </c>
      <c r="B170" s="481"/>
      <c r="C170" s="610"/>
      <c r="D170" s="22"/>
      <c r="E170" s="22"/>
      <c r="F170" s="22"/>
      <c r="G170" s="22"/>
      <c r="H170" s="1091"/>
    </row>
    <row r="171" spans="1:8">
      <c r="A171" s="479" t="s">
        <v>1072</v>
      </c>
      <c r="B171" s="481"/>
      <c r="C171" s="610"/>
      <c r="D171" s="22"/>
      <c r="E171" s="22"/>
      <c r="F171" s="22"/>
      <c r="G171" s="22"/>
      <c r="H171" s="440"/>
    </row>
    <row r="172" spans="1:8" ht="24.75" customHeight="1">
      <c r="A172" s="1484" t="s">
        <v>1087</v>
      </c>
      <c r="B172" s="1485"/>
      <c r="C172" s="1485"/>
      <c r="D172" s="1485"/>
      <c r="E172" s="1485"/>
      <c r="F172" s="1485"/>
      <c r="G172" s="1485"/>
      <c r="H172" s="1486"/>
    </row>
    <row r="173" spans="1:8">
      <c r="A173" s="4" t="s">
        <v>25</v>
      </c>
      <c r="B173" s="481"/>
      <c r="C173" s="610"/>
      <c r="D173" s="22"/>
      <c r="E173" s="22"/>
      <c r="F173" s="22"/>
      <c r="G173" s="22"/>
      <c r="H173" s="1091"/>
    </row>
    <row r="174" spans="1:8" ht="13.15" thickBot="1">
      <c r="A174" s="5" t="s">
        <v>1069</v>
      </c>
      <c r="B174" s="634"/>
      <c r="C174" s="633"/>
      <c r="D174" s="633"/>
      <c r="E174" s="633"/>
      <c r="F174" s="633"/>
      <c r="G174" s="633"/>
      <c r="H174" s="906"/>
    </row>
    <row r="175" spans="1:8" ht="13.15" thickTop="1">
      <c r="C175" s="3"/>
      <c r="D175" s="22"/>
      <c r="E175" s="22"/>
      <c r="F175" s="22"/>
      <c r="G175" s="22"/>
      <c r="H175" s="22"/>
    </row>
    <row r="176" spans="1:8">
      <c r="C176" s="3"/>
      <c r="D176" s="22"/>
      <c r="E176" s="22"/>
      <c r="F176" s="22"/>
      <c r="G176" s="22"/>
      <c r="H176" s="22"/>
    </row>
    <row r="177" spans="3:8">
      <c r="C177" s="3"/>
      <c r="D177" s="22"/>
      <c r="E177" s="22"/>
      <c r="F177" s="22"/>
      <c r="G177" s="22"/>
      <c r="H177" s="22"/>
    </row>
    <row r="178" spans="3:8">
      <c r="C178" s="3"/>
      <c r="D178" s="22"/>
      <c r="E178" s="22"/>
      <c r="F178" s="22"/>
      <c r="G178" s="22"/>
      <c r="H178" s="22"/>
    </row>
    <row r="179" spans="3:8">
      <c r="C179" s="3"/>
      <c r="D179" s="22"/>
      <c r="E179" s="22"/>
      <c r="F179" s="22"/>
      <c r="G179" s="22"/>
      <c r="H179" s="22"/>
    </row>
    <row r="180" spans="3:8">
      <c r="C180" s="3"/>
      <c r="D180" s="22"/>
      <c r="E180" s="22"/>
      <c r="F180" s="22"/>
      <c r="G180" s="22"/>
      <c r="H180" s="22"/>
    </row>
  </sheetData>
  <sheetProtection algorithmName="SHA-512" hashValue="6/Woh7idBJcDHDcwUClh5YJ/AhOOQySxWzXoDpdX9XrCMjmc8X4eSozedcov6r6hBjwyoKW+gYT/EtC/nB4buA==" saltValue="gNFCTUaXEvgy4ebKvcO9bA==" spinCount="100000" sheet="1" objects="1" scenarios="1"/>
  <mergeCells count="6">
    <mergeCell ref="A172:H172"/>
    <mergeCell ref="A164:H164"/>
    <mergeCell ref="A165:H165"/>
    <mergeCell ref="A163:H163"/>
    <mergeCell ref="A166:H166"/>
    <mergeCell ref="A169:H169"/>
  </mergeCells>
  <phoneticPr fontId="0" type="noConversion"/>
  <printOptions horizontalCentered="1"/>
  <pageMargins left="0.17" right="0.16" top="0.53" bottom="1" header="0.5" footer="0.5"/>
  <pageSetup scale="83" fitToHeight="4" orientation="landscape" r:id="rId1"/>
  <headerFooter alignWithMargins="0">
    <oddFooter>&amp;LHawai'i DOH
Spring 2024&amp;C&amp;8Page &amp;P of &amp;N&amp;R&amp;A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29"/>
    <pageSetUpPr fitToPage="1"/>
  </sheetPr>
  <dimension ref="A1:K174"/>
  <sheetViews>
    <sheetView zoomScaleNormal="100" workbookViewId="0">
      <pane ySplit="1950" topLeftCell="A6" activePane="bottomLeft"/>
      <selection activeCell="B7" sqref="B7"/>
      <selection pane="bottomLeft" activeCell="B7" sqref="B7"/>
    </sheetView>
  </sheetViews>
  <sheetFormatPr defaultColWidth="9.1328125" defaultRowHeight="12.75"/>
  <cols>
    <col min="1" max="1" width="40.73046875" style="2" customWidth="1"/>
    <col min="2" max="2" width="13.73046875" style="629" customWidth="1"/>
    <col min="3" max="3" width="25.265625" style="2" customWidth="1"/>
    <col min="4" max="7" width="13.73046875" style="2" customWidth="1"/>
    <col min="8" max="11" width="9" customWidth="1"/>
    <col min="12" max="16384" width="9.1328125" style="2"/>
  </cols>
  <sheetData>
    <row r="1" spans="1:9" ht="30">
      <c r="A1" s="6" t="s">
        <v>579</v>
      </c>
      <c r="B1" s="752"/>
      <c r="C1" s="596"/>
      <c r="D1" s="1068"/>
      <c r="E1" s="1068"/>
      <c r="F1" s="1068"/>
      <c r="G1" s="1068"/>
    </row>
    <row r="2" spans="1:9" ht="13.15" thickBot="1">
      <c r="A2" s="518"/>
      <c r="B2" s="475"/>
      <c r="C2" s="610"/>
      <c r="D2" s="22"/>
      <c r="E2" s="22"/>
      <c r="F2" s="22"/>
      <c r="G2" s="22"/>
    </row>
    <row r="3" spans="1:9" ht="13.15" thickTop="1">
      <c r="A3" s="617"/>
      <c r="B3" s="1069" t="s">
        <v>542</v>
      </c>
      <c r="C3" s="1092"/>
      <c r="D3" s="1071" t="s">
        <v>332</v>
      </c>
      <c r="E3" s="1072" t="s">
        <v>333</v>
      </c>
      <c r="F3" s="1073" t="s">
        <v>333</v>
      </c>
      <c r="G3" s="1093"/>
    </row>
    <row r="4" spans="1:9">
      <c r="A4" s="644"/>
      <c r="B4" s="680" t="s">
        <v>159</v>
      </c>
      <c r="C4" s="1094"/>
      <c r="D4" s="650" t="s">
        <v>374</v>
      </c>
      <c r="E4" s="1076" t="s">
        <v>1089</v>
      </c>
      <c r="F4" s="1077" t="s">
        <v>543</v>
      </c>
      <c r="G4" s="1095" t="s">
        <v>544</v>
      </c>
    </row>
    <row r="5" spans="1:9" ht="13.15" thickBot="1">
      <c r="A5" s="1079" t="s">
        <v>894</v>
      </c>
      <c r="B5" s="1080" t="s">
        <v>897</v>
      </c>
      <c r="C5" s="1096" t="s">
        <v>485</v>
      </c>
      <c r="D5" s="1082" t="s">
        <v>897</v>
      </c>
      <c r="E5" s="1083" t="s">
        <v>897</v>
      </c>
      <c r="F5" s="1084" t="s">
        <v>897</v>
      </c>
      <c r="G5" s="1097" t="s">
        <v>897</v>
      </c>
    </row>
    <row r="6" spans="1:9" ht="11.25" customHeight="1">
      <c r="A6" s="454" t="s">
        <v>548</v>
      </c>
      <c r="B6" s="497">
        <v>6170.5019807199596</v>
      </c>
      <c r="C6" s="734" t="s">
        <v>1149</v>
      </c>
      <c r="D6" s="497" t="s">
        <v>954</v>
      </c>
      <c r="E6" s="718">
        <v>6170.5019807199596</v>
      </c>
      <c r="F6" s="718">
        <v>30852.509903599799</v>
      </c>
      <c r="G6" s="457" t="s">
        <v>523</v>
      </c>
      <c r="I6" s="1087"/>
    </row>
    <row r="7" spans="1:9" ht="11.25" customHeight="1">
      <c r="A7" s="458" t="s">
        <v>549</v>
      </c>
      <c r="B7" s="501">
        <v>2544.2968175218016</v>
      </c>
      <c r="C7" s="737" t="s">
        <v>1149</v>
      </c>
      <c r="D7" s="501" t="s">
        <v>954</v>
      </c>
      <c r="E7" s="720">
        <v>2544.2968175218016</v>
      </c>
      <c r="F7" s="720">
        <v>12721.484087609007</v>
      </c>
      <c r="G7" s="461" t="s">
        <v>523</v>
      </c>
      <c r="I7" s="1087"/>
    </row>
    <row r="8" spans="1:9" ht="11.25" customHeight="1">
      <c r="A8" s="458" t="s">
        <v>550</v>
      </c>
      <c r="B8" s="501">
        <v>33321.477518875436</v>
      </c>
      <c r="C8" s="737" t="s">
        <v>1149</v>
      </c>
      <c r="D8" s="501" t="s">
        <v>954</v>
      </c>
      <c r="E8" s="720">
        <v>33321.477518875436</v>
      </c>
      <c r="F8" s="720">
        <v>166607.38759437719</v>
      </c>
      <c r="G8" s="461">
        <v>114665.0314465409</v>
      </c>
      <c r="I8" s="1087"/>
    </row>
    <row r="9" spans="1:9" ht="11.25" customHeight="1">
      <c r="A9" s="458" t="s">
        <v>551</v>
      </c>
      <c r="B9" s="501">
        <v>51.1</v>
      </c>
      <c r="C9" s="737" t="s">
        <v>1149</v>
      </c>
      <c r="D9" s="501">
        <v>71.239548492221275</v>
      </c>
      <c r="E9" s="720">
        <v>51.1</v>
      </c>
      <c r="F9" s="720">
        <v>102.2</v>
      </c>
      <c r="G9" s="461" t="s">
        <v>523</v>
      </c>
      <c r="I9" s="1087"/>
    </row>
    <row r="10" spans="1:9" ht="11.25" customHeight="1">
      <c r="A10" s="458" t="s">
        <v>161</v>
      </c>
      <c r="B10" s="501">
        <v>1292.5437733621877</v>
      </c>
      <c r="C10" s="737" t="s">
        <v>1149</v>
      </c>
      <c r="D10" s="501" t="s">
        <v>954</v>
      </c>
      <c r="E10" s="720">
        <v>1292.5437733621877</v>
      </c>
      <c r="F10" s="720">
        <v>6462.7188668109384</v>
      </c>
      <c r="G10" s="461" t="s">
        <v>523</v>
      </c>
      <c r="I10" s="1087"/>
    </row>
    <row r="11" spans="1:9" ht="11.25" customHeight="1">
      <c r="A11" s="462" t="s">
        <v>162</v>
      </c>
      <c r="B11" s="501">
        <v>19.933793279932093</v>
      </c>
      <c r="C11" s="737" t="s">
        <v>1149</v>
      </c>
      <c r="D11" s="501" t="s">
        <v>954</v>
      </c>
      <c r="E11" s="720">
        <v>19.933793279932093</v>
      </c>
      <c r="F11" s="720">
        <v>99.668966399660462</v>
      </c>
      <c r="G11" s="461" t="s">
        <v>523</v>
      </c>
      <c r="I11" s="1087"/>
    </row>
    <row r="12" spans="1:9" ht="11.25" customHeight="1">
      <c r="A12" s="462" t="s">
        <v>94</v>
      </c>
      <c r="B12" s="501">
        <v>19.689977262122149</v>
      </c>
      <c r="C12" s="737" t="s">
        <v>1149</v>
      </c>
      <c r="D12" s="501" t="s">
        <v>954</v>
      </c>
      <c r="E12" s="720">
        <v>19.689977262122149</v>
      </c>
      <c r="F12" s="720">
        <v>98.449886310610736</v>
      </c>
      <c r="G12" s="461" t="s">
        <v>523</v>
      </c>
      <c r="I12" s="1087"/>
    </row>
    <row r="13" spans="1:9" ht="11.25" customHeight="1">
      <c r="A13" s="458" t="s">
        <v>552</v>
      </c>
      <c r="B13" s="501">
        <v>36875.942275695103</v>
      </c>
      <c r="C13" s="737" t="s">
        <v>1149</v>
      </c>
      <c r="D13" s="501" t="s">
        <v>954</v>
      </c>
      <c r="E13" s="720">
        <v>36875.942275695103</v>
      </c>
      <c r="F13" s="720">
        <v>184379.71137847551</v>
      </c>
      <c r="G13" s="461" t="s">
        <v>523</v>
      </c>
      <c r="I13" s="1087"/>
    </row>
    <row r="14" spans="1:9" ht="11.25" customHeight="1">
      <c r="A14" s="458" t="s">
        <v>553</v>
      </c>
      <c r="B14" s="501">
        <v>81.741301009572979</v>
      </c>
      <c r="C14" s="737" t="s">
        <v>1149</v>
      </c>
      <c r="D14" s="501" t="s">
        <v>954</v>
      </c>
      <c r="E14" s="720">
        <v>81.741301009572979</v>
      </c>
      <c r="F14" s="720">
        <v>408.70650504786488</v>
      </c>
      <c r="G14" s="461" t="s">
        <v>523</v>
      </c>
      <c r="I14" s="1087"/>
    </row>
    <row r="15" spans="1:9" ht="11.25" customHeight="1">
      <c r="A15" s="458" t="s">
        <v>686</v>
      </c>
      <c r="B15" s="501">
        <v>95</v>
      </c>
      <c r="C15" s="1086" t="s">
        <v>1331</v>
      </c>
      <c r="D15" s="501">
        <v>169.20572371911405</v>
      </c>
      <c r="E15" s="720">
        <v>271.23061328862445</v>
      </c>
      <c r="F15" s="720">
        <v>271.23061328862445</v>
      </c>
      <c r="G15" s="461" t="s">
        <v>523</v>
      </c>
      <c r="I15" s="1087"/>
    </row>
    <row r="16" spans="1:9" ht="11.25" customHeight="1">
      <c r="A16" s="458" t="s">
        <v>95</v>
      </c>
      <c r="B16" s="501">
        <v>8.7418419454447474</v>
      </c>
      <c r="C16" s="737" t="s">
        <v>1413</v>
      </c>
      <c r="D16" s="501">
        <v>8.7418419454447474</v>
      </c>
      <c r="E16" s="720">
        <v>430.84792445406259</v>
      </c>
      <c r="F16" s="720">
        <v>2154.2396222703128</v>
      </c>
      <c r="G16" s="461" t="s">
        <v>523</v>
      </c>
      <c r="I16" s="1087"/>
    </row>
    <row r="17" spans="1:9" ht="11.25" customHeight="1">
      <c r="A17" s="458" t="s">
        <v>687</v>
      </c>
      <c r="B17" s="501">
        <v>4286.8794519058247</v>
      </c>
      <c r="C17" s="737" t="s">
        <v>1432</v>
      </c>
      <c r="D17" s="501" t="s">
        <v>954</v>
      </c>
      <c r="E17" s="720">
        <v>38254.678899082573</v>
      </c>
      <c r="F17" s="720">
        <v>191273.39449541288</v>
      </c>
      <c r="G17" s="461" t="s">
        <v>523</v>
      </c>
      <c r="I17" s="1087"/>
    </row>
    <row r="18" spans="1:9" ht="11.25" customHeight="1">
      <c r="A18" s="458" t="s">
        <v>1156</v>
      </c>
      <c r="B18" s="501">
        <v>7180.7987409010429</v>
      </c>
      <c r="C18" s="737" t="s">
        <v>1149</v>
      </c>
      <c r="D18" s="501" t="s">
        <v>954</v>
      </c>
      <c r="E18" s="720">
        <v>7180.7987409010429</v>
      </c>
      <c r="F18" s="720">
        <v>35903.993704505214</v>
      </c>
      <c r="G18" s="461" t="s">
        <v>523</v>
      </c>
      <c r="I18" s="1087"/>
    </row>
    <row r="19" spans="1:9" ht="11.25" customHeight="1">
      <c r="A19" s="458" t="s">
        <v>688</v>
      </c>
      <c r="B19" s="501">
        <v>5.4267708066863891</v>
      </c>
      <c r="C19" s="737" t="s">
        <v>1413</v>
      </c>
      <c r="D19" s="501">
        <v>5.4267708066863891</v>
      </c>
      <c r="E19" s="720">
        <v>90.106521156250878</v>
      </c>
      <c r="F19" s="720">
        <v>450.5326057812544</v>
      </c>
      <c r="G19" s="461">
        <v>1867.9381761006287</v>
      </c>
      <c r="I19" s="1087"/>
    </row>
    <row r="20" spans="1:9" ht="11.25" customHeight="1">
      <c r="A20" s="458" t="s">
        <v>689</v>
      </c>
      <c r="B20" s="501">
        <v>181.17739448134333</v>
      </c>
      <c r="C20" s="737" t="s">
        <v>1413</v>
      </c>
      <c r="D20" s="501">
        <v>181.17739448134333</v>
      </c>
      <c r="E20" s="720" t="s">
        <v>954</v>
      </c>
      <c r="F20" s="720" t="s">
        <v>954</v>
      </c>
      <c r="G20" s="461" t="s">
        <v>523</v>
      </c>
      <c r="I20" s="1087"/>
    </row>
    <row r="21" spans="1:9" ht="11.25" customHeight="1">
      <c r="A21" s="458" t="s">
        <v>690</v>
      </c>
      <c r="B21" s="501">
        <v>14.664742120770216</v>
      </c>
      <c r="C21" s="737" t="s">
        <v>1432</v>
      </c>
      <c r="D21" s="501">
        <v>92.290925024190543</v>
      </c>
      <c r="E21" s="720">
        <v>38.909930699384397</v>
      </c>
      <c r="F21" s="720">
        <v>194.54965349692199</v>
      </c>
      <c r="G21" s="461" t="s">
        <v>523</v>
      </c>
      <c r="I21" s="1087"/>
    </row>
    <row r="22" spans="1:9" ht="11.25" customHeight="1">
      <c r="A22" s="458" t="s">
        <v>691</v>
      </c>
      <c r="B22" s="501">
        <v>184.58185004838111</v>
      </c>
      <c r="C22" s="737" t="s">
        <v>1413</v>
      </c>
      <c r="D22" s="501">
        <v>184.58185004838111</v>
      </c>
      <c r="E22" s="720" t="s">
        <v>954</v>
      </c>
      <c r="F22" s="720" t="s">
        <v>954</v>
      </c>
      <c r="G22" s="461" t="s">
        <v>523</v>
      </c>
      <c r="I22" s="1087"/>
    </row>
    <row r="23" spans="1:9" ht="11.25" customHeight="1">
      <c r="A23" s="458" t="s">
        <v>692</v>
      </c>
      <c r="B23" s="501">
        <v>5274.1173465306683</v>
      </c>
      <c r="C23" s="737" t="s">
        <v>1149</v>
      </c>
      <c r="D23" s="501" t="s">
        <v>954</v>
      </c>
      <c r="E23" s="720">
        <v>5274.1173465306683</v>
      </c>
      <c r="F23" s="720">
        <v>26370.586732653341</v>
      </c>
      <c r="G23" s="461" t="s">
        <v>523</v>
      </c>
      <c r="I23" s="1087"/>
    </row>
    <row r="24" spans="1:9" ht="11.25" customHeight="1">
      <c r="A24" s="458" t="s">
        <v>693</v>
      </c>
      <c r="B24" s="501">
        <v>1845.8185004838112</v>
      </c>
      <c r="C24" s="737" t="s">
        <v>1413</v>
      </c>
      <c r="D24" s="501">
        <v>1845.8185004838112</v>
      </c>
      <c r="E24" s="720" t="s">
        <v>954</v>
      </c>
      <c r="F24" s="720" t="s">
        <v>954</v>
      </c>
      <c r="G24" s="461" t="s">
        <v>523</v>
      </c>
      <c r="I24" s="1087"/>
    </row>
    <row r="25" spans="1:9" ht="11.25" customHeight="1">
      <c r="A25" s="458" t="s">
        <v>126</v>
      </c>
      <c r="B25" s="501">
        <v>149.71515381693888</v>
      </c>
      <c r="C25" s="737" t="s">
        <v>1432</v>
      </c>
      <c r="D25" s="501">
        <v>6949.6</v>
      </c>
      <c r="E25" s="720">
        <v>401.90457831325301</v>
      </c>
      <c r="F25" s="720">
        <v>2009.5228915662651</v>
      </c>
      <c r="G25" s="461" t="s">
        <v>523</v>
      </c>
      <c r="I25" s="1087"/>
    </row>
    <row r="26" spans="1:9" ht="11.25" customHeight="1">
      <c r="A26" s="458" t="s">
        <v>233</v>
      </c>
      <c r="B26" s="501">
        <v>42.697461624953817</v>
      </c>
      <c r="C26" s="737" t="s">
        <v>1149</v>
      </c>
      <c r="D26" s="501">
        <v>357.7</v>
      </c>
      <c r="E26" s="720">
        <v>42.697461624953817</v>
      </c>
      <c r="F26" s="720">
        <v>213.48730812476907</v>
      </c>
      <c r="G26" s="461" t="s">
        <v>523</v>
      </c>
      <c r="I26" s="1087"/>
    </row>
    <row r="27" spans="1:9" ht="11.25" customHeight="1">
      <c r="A27" s="458" t="s">
        <v>127</v>
      </c>
      <c r="B27" s="501">
        <v>1.0308700248405258</v>
      </c>
      <c r="C27" s="737" t="s">
        <v>1413</v>
      </c>
      <c r="D27" s="501">
        <v>1.0308700248405258</v>
      </c>
      <c r="E27" s="720" t="s">
        <v>954</v>
      </c>
      <c r="F27" s="720" t="s">
        <v>954</v>
      </c>
      <c r="G27" s="461">
        <v>5046.3512704402519</v>
      </c>
      <c r="I27" s="1087"/>
    </row>
    <row r="28" spans="1:9" ht="11.25" customHeight="1">
      <c r="A28" s="503" t="s">
        <v>1103</v>
      </c>
      <c r="B28" s="501">
        <v>16.104637093774045</v>
      </c>
      <c r="C28" s="737" t="s">
        <v>1413</v>
      </c>
      <c r="D28" s="501">
        <v>16.104637093774045</v>
      </c>
      <c r="E28" s="720">
        <v>2005.495165212322</v>
      </c>
      <c r="F28" s="720">
        <v>10027.475826061611</v>
      </c>
      <c r="G28" s="461">
        <v>793.69004465408796</v>
      </c>
      <c r="I28" s="1087"/>
    </row>
    <row r="29" spans="1:9" ht="11.25" customHeight="1">
      <c r="A29" s="458" t="s">
        <v>128</v>
      </c>
      <c r="B29" s="501">
        <v>143.61300700375853</v>
      </c>
      <c r="C29" s="737" t="s">
        <v>1413</v>
      </c>
      <c r="D29" s="501">
        <v>143.61300700375853</v>
      </c>
      <c r="E29" s="720">
        <v>2872.3194963604174</v>
      </c>
      <c r="F29" s="720">
        <v>14361.597481802088</v>
      </c>
      <c r="G29" s="461" t="s">
        <v>523</v>
      </c>
      <c r="I29" s="1087"/>
    </row>
    <row r="30" spans="1:9" ht="11.25" customHeight="1">
      <c r="A30" s="458" t="s">
        <v>129</v>
      </c>
      <c r="B30" s="501">
        <v>40809.982872522633</v>
      </c>
      <c r="C30" s="737" t="s">
        <v>1149</v>
      </c>
      <c r="D30" s="501" t="s">
        <v>954</v>
      </c>
      <c r="E30" s="720">
        <v>40809.982872522633</v>
      </c>
      <c r="F30" s="720">
        <v>204049.91436261317</v>
      </c>
      <c r="G30" s="461" t="s">
        <v>523</v>
      </c>
      <c r="I30" s="1087"/>
    </row>
    <row r="31" spans="1:9" ht="11.25" customHeight="1">
      <c r="A31" s="458" t="s">
        <v>130</v>
      </c>
      <c r="B31" s="501">
        <v>1.3858263375560362</v>
      </c>
      <c r="C31" s="737" t="s">
        <v>1413</v>
      </c>
      <c r="D31" s="501">
        <v>1.3858263375560362</v>
      </c>
      <c r="E31" s="720">
        <v>99.304954221604888</v>
      </c>
      <c r="F31" s="720">
        <v>496.52477110802442</v>
      </c>
      <c r="G31" s="461">
        <v>932.0059079245284</v>
      </c>
      <c r="I31" s="1087"/>
    </row>
    <row r="32" spans="1:9" ht="11.25" customHeight="1">
      <c r="A32" s="458" t="s">
        <v>131</v>
      </c>
      <c r="B32" s="501">
        <v>88.269397294472498</v>
      </c>
      <c r="C32" s="737" t="s">
        <v>1413</v>
      </c>
      <c r="D32" s="501">
        <v>88.269397294472498</v>
      </c>
      <c r="E32" s="720">
        <v>4088</v>
      </c>
      <c r="F32" s="720">
        <v>20440</v>
      </c>
      <c r="G32" s="461" t="s">
        <v>523</v>
      </c>
      <c r="I32" s="1087"/>
    </row>
    <row r="33" spans="1:9" ht="11.25" customHeight="1">
      <c r="A33" s="458" t="s">
        <v>132</v>
      </c>
      <c r="B33" s="501">
        <v>6.5169317348297886</v>
      </c>
      <c r="C33" s="737" t="s">
        <v>1149</v>
      </c>
      <c r="D33" s="501" t="s">
        <v>954</v>
      </c>
      <c r="E33" s="720">
        <v>6.5169317348297886</v>
      </c>
      <c r="F33" s="720">
        <v>32.58465867414894</v>
      </c>
      <c r="G33" s="461">
        <v>3588.9092830188679</v>
      </c>
      <c r="I33" s="1087"/>
    </row>
    <row r="34" spans="1:9" ht="11.25" customHeight="1">
      <c r="A34" s="458" t="s">
        <v>133</v>
      </c>
      <c r="B34" s="501">
        <v>18.815061897084693</v>
      </c>
      <c r="C34" s="737" t="s">
        <v>1149</v>
      </c>
      <c r="D34" s="501">
        <v>9266.1333333333332</v>
      </c>
      <c r="E34" s="720">
        <v>18.815061897084693</v>
      </c>
      <c r="F34" s="720">
        <v>94.07530948542346</v>
      </c>
      <c r="G34" s="461" t="s">
        <v>523</v>
      </c>
      <c r="I34" s="1087"/>
    </row>
    <row r="35" spans="1:9" ht="11.25" customHeight="1">
      <c r="A35" s="458" t="s">
        <v>134</v>
      </c>
      <c r="B35" s="501">
        <v>3.095760076584698</v>
      </c>
      <c r="C35" s="737" t="s">
        <v>1413</v>
      </c>
      <c r="D35" s="501">
        <v>3.095760076584698</v>
      </c>
      <c r="E35" s="720">
        <v>122.10748453272953</v>
      </c>
      <c r="F35" s="720">
        <v>610.5374226636477</v>
      </c>
      <c r="G35" s="461">
        <v>453.26214201257858</v>
      </c>
      <c r="I35" s="1087"/>
    </row>
    <row r="36" spans="1:9" ht="11.25" customHeight="1">
      <c r="A36" s="458" t="s">
        <v>614</v>
      </c>
      <c r="B36" s="501">
        <v>67.615693819121404</v>
      </c>
      <c r="C36" s="737" t="s">
        <v>1413</v>
      </c>
      <c r="D36" s="501">
        <v>67.615693819121404</v>
      </c>
      <c r="E36" s="720"/>
      <c r="F36" s="720">
        <v>402.67202886617906</v>
      </c>
      <c r="G36" s="461" t="s">
        <v>523</v>
      </c>
      <c r="I36" s="1087"/>
    </row>
    <row r="37" spans="1:9" ht="11.25" customHeight="1">
      <c r="A37" s="458" t="s">
        <v>135</v>
      </c>
      <c r="B37" s="501">
        <v>10.05311823726146</v>
      </c>
      <c r="C37" s="737" t="s">
        <v>1413</v>
      </c>
      <c r="D37" s="501">
        <v>10.05311823726146</v>
      </c>
      <c r="E37" s="720">
        <v>71.807987409010423</v>
      </c>
      <c r="F37" s="720">
        <v>359.03993704505211</v>
      </c>
      <c r="G37" s="461" t="s">
        <v>523</v>
      </c>
      <c r="I37" s="1087"/>
    </row>
    <row r="38" spans="1:9" ht="11.25" customHeight="1">
      <c r="A38" s="458" t="s">
        <v>136</v>
      </c>
      <c r="B38" s="501">
        <v>282.70595878673402</v>
      </c>
      <c r="C38" s="737" t="s">
        <v>1149</v>
      </c>
      <c r="D38" s="501" t="s">
        <v>954</v>
      </c>
      <c r="E38" s="720">
        <v>282.70595878673402</v>
      </c>
      <c r="F38" s="720">
        <v>1413.5297939336701</v>
      </c>
      <c r="G38" s="461">
        <v>760.94901132075483</v>
      </c>
      <c r="I38" s="1087"/>
    </row>
    <row r="39" spans="1:9" ht="11.25" customHeight="1">
      <c r="A39" s="458" t="s">
        <v>781</v>
      </c>
      <c r="B39" s="501">
        <v>2117.4658377358492</v>
      </c>
      <c r="C39" s="737" t="s">
        <v>1433</v>
      </c>
      <c r="D39" s="501" t="s">
        <v>954</v>
      </c>
      <c r="E39" s="720">
        <v>5035.9827841393817</v>
      </c>
      <c r="F39" s="720">
        <v>25179.913920696908</v>
      </c>
      <c r="G39" s="461">
        <v>2117.4658377358492</v>
      </c>
      <c r="I39" s="1087"/>
    </row>
    <row r="40" spans="1:9" ht="11.25" customHeight="1">
      <c r="A40" s="464" t="s">
        <v>137</v>
      </c>
      <c r="B40" s="501">
        <v>1.4968728792712436</v>
      </c>
      <c r="C40" s="737" t="s">
        <v>1413</v>
      </c>
      <c r="D40" s="501">
        <v>1.4968728792712436</v>
      </c>
      <c r="E40" s="720">
        <v>218.75195434479184</v>
      </c>
      <c r="F40" s="720">
        <v>1093.7597717239591</v>
      </c>
      <c r="G40" s="461">
        <v>2538.5640000000003</v>
      </c>
      <c r="I40" s="1087"/>
    </row>
    <row r="41" spans="1:9" ht="11.25" customHeight="1">
      <c r="A41" s="458" t="s">
        <v>782</v>
      </c>
      <c r="B41" s="501">
        <v>102.41058762548339</v>
      </c>
      <c r="C41" s="737" t="s">
        <v>1149</v>
      </c>
      <c r="D41" s="501" t="s">
        <v>954</v>
      </c>
      <c r="E41" s="720">
        <v>102.41058762548339</v>
      </c>
      <c r="F41" s="720">
        <v>512.05293812741695</v>
      </c>
      <c r="G41" s="461">
        <v>1316.5454188679244</v>
      </c>
      <c r="I41" s="1087"/>
    </row>
    <row r="42" spans="1:9" ht="11.25" customHeight="1">
      <c r="A42" s="458" t="s">
        <v>138</v>
      </c>
      <c r="B42" s="501">
        <v>708.53003333453898</v>
      </c>
      <c r="C42" s="737" t="s">
        <v>1149</v>
      </c>
      <c r="D42" s="501" t="s">
        <v>954</v>
      </c>
      <c r="E42" s="720">
        <v>708.53003333453898</v>
      </c>
      <c r="F42" s="720">
        <v>3542.6501666726949</v>
      </c>
      <c r="G42" s="461">
        <v>27437.384023899369</v>
      </c>
      <c r="I42" s="1087"/>
    </row>
    <row r="43" spans="1:9" ht="11.25" customHeight="1">
      <c r="A43" s="458" t="s">
        <v>612</v>
      </c>
      <c r="B43" s="501"/>
      <c r="C43" s="1088" t="s">
        <v>50</v>
      </c>
      <c r="D43" s="501"/>
      <c r="E43" s="720"/>
      <c r="F43" s="720"/>
      <c r="G43" s="461"/>
      <c r="I43" s="1087"/>
    </row>
    <row r="44" spans="1:9" ht="11.25" customHeight="1">
      <c r="A44" s="458" t="s">
        <v>779</v>
      </c>
      <c r="B44" s="501">
        <v>0</v>
      </c>
      <c r="C44" s="737" t="s">
        <v>1432</v>
      </c>
      <c r="D44" s="501" t="s">
        <v>954</v>
      </c>
      <c r="E44" s="720" t="s">
        <v>954</v>
      </c>
      <c r="F44" s="720" t="s">
        <v>954</v>
      </c>
      <c r="G44" s="461" t="s">
        <v>523</v>
      </c>
      <c r="I44" s="1087"/>
    </row>
    <row r="45" spans="1:9" ht="11.25" customHeight="1">
      <c r="A45" s="458" t="s">
        <v>780</v>
      </c>
      <c r="B45" s="501">
        <v>478.34000728066997</v>
      </c>
      <c r="C45" s="737" t="s">
        <v>1432</v>
      </c>
      <c r="D45" s="501">
        <v>556.28587764436827</v>
      </c>
      <c r="E45" s="720">
        <v>610.05998536942218</v>
      </c>
      <c r="F45" s="720">
        <v>3050.2999268471108</v>
      </c>
      <c r="G45" s="461" t="s">
        <v>523</v>
      </c>
      <c r="I45" s="1087"/>
    </row>
    <row r="46" spans="1:9" ht="11.25" customHeight="1">
      <c r="A46" s="458" t="s">
        <v>139</v>
      </c>
      <c r="B46" s="501">
        <v>18458.185004838113</v>
      </c>
      <c r="C46" s="737" t="s">
        <v>1413</v>
      </c>
      <c r="D46" s="501">
        <v>18458.185004838113</v>
      </c>
      <c r="E46" s="720" t="s">
        <v>954</v>
      </c>
      <c r="F46" s="720" t="s">
        <v>954</v>
      </c>
      <c r="G46" s="461" t="s">
        <v>523</v>
      </c>
      <c r="I46" s="1087"/>
    </row>
    <row r="47" spans="1:9" ht="11.25" customHeight="1">
      <c r="A47" s="458" t="s">
        <v>140</v>
      </c>
      <c r="B47" s="501">
        <v>38.414812408640572</v>
      </c>
      <c r="C47" s="737" t="s">
        <v>1432</v>
      </c>
      <c r="D47" s="501">
        <v>1853.2266666666669</v>
      </c>
      <c r="E47" s="720">
        <v>60.798444714459286</v>
      </c>
      <c r="F47" s="720">
        <v>303.99222357229644</v>
      </c>
      <c r="G47" s="461" t="s">
        <v>523</v>
      </c>
      <c r="I47" s="1087"/>
    </row>
    <row r="48" spans="1:9" ht="11.25" customHeight="1">
      <c r="A48" s="458" t="s">
        <v>141</v>
      </c>
      <c r="B48" s="501">
        <v>8176</v>
      </c>
      <c r="C48" s="737" t="s">
        <v>1149</v>
      </c>
      <c r="D48" s="501" t="s">
        <v>954</v>
      </c>
      <c r="E48" s="720">
        <v>8176</v>
      </c>
      <c r="F48" s="720">
        <v>40880</v>
      </c>
      <c r="G48" s="461" t="s">
        <v>523</v>
      </c>
      <c r="I48" s="1087"/>
    </row>
    <row r="49" spans="1:9" ht="11.25" customHeight="1">
      <c r="A49" s="458" t="s">
        <v>142</v>
      </c>
      <c r="B49" s="501">
        <v>30.406680211554367</v>
      </c>
      <c r="C49" s="737" t="s">
        <v>1149</v>
      </c>
      <c r="D49" s="501" t="s">
        <v>954</v>
      </c>
      <c r="E49" s="720">
        <v>30.406680211554367</v>
      </c>
      <c r="F49" s="720">
        <v>152.03340105777184</v>
      </c>
      <c r="G49" s="461" t="s">
        <v>523</v>
      </c>
      <c r="I49" s="1087"/>
    </row>
    <row r="50" spans="1:9" ht="11.25" customHeight="1">
      <c r="A50" s="462" t="s">
        <v>96</v>
      </c>
      <c r="B50" s="501">
        <v>33.634669379756765</v>
      </c>
      <c r="C50" s="737" t="s">
        <v>1413</v>
      </c>
      <c r="D50" s="501">
        <v>33.634669379756765</v>
      </c>
      <c r="E50" s="720">
        <v>768.79244296586887</v>
      </c>
      <c r="F50" s="720">
        <v>3843.9622148293442</v>
      </c>
      <c r="G50" s="461" t="s">
        <v>523</v>
      </c>
      <c r="I50" s="1087"/>
    </row>
    <row r="51" spans="1:9" ht="11.25" customHeight="1">
      <c r="A51" s="458" t="s">
        <v>97</v>
      </c>
      <c r="B51" s="501">
        <v>4308.4792445406256</v>
      </c>
      <c r="C51" s="737" t="s">
        <v>1149</v>
      </c>
      <c r="D51" s="501" t="s">
        <v>954</v>
      </c>
      <c r="E51" s="720">
        <v>4308.4792445406256</v>
      </c>
      <c r="F51" s="720">
        <v>21542.39622270313</v>
      </c>
      <c r="G51" s="461" t="s">
        <v>523</v>
      </c>
      <c r="I51" s="1087"/>
    </row>
    <row r="52" spans="1:9" ht="11.25" customHeight="1">
      <c r="A52" s="458" t="s">
        <v>143</v>
      </c>
      <c r="B52" s="501">
        <v>18.458185004838114</v>
      </c>
      <c r="C52" s="737" t="s">
        <v>1413</v>
      </c>
      <c r="D52" s="501">
        <v>18.458185004838114</v>
      </c>
      <c r="E52" s="720" t="s">
        <v>954</v>
      </c>
      <c r="F52" s="720" t="s">
        <v>954</v>
      </c>
      <c r="G52" s="461" t="s">
        <v>523</v>
      </c>
      <c r="I52" s="1087"/>
    </row>
    <row r="53" spans="1:9" ht="11.25" customHeight="1">
      <c r="A53" s="458" t="s">
        <v>381</v>
      </c>
      <c r="B53" s="501">
        <v>6.983705961818E-2</v>
      </c>
      <c r="C53" s="737" t="s">
        <v>1413</v>
      </c>
      <c r="D53" s="501">
        <v>6.983705961818E-2</v>
      </c>
      <c r="E53" s="720">
        <v>5.3119217265717023</v>
      </c>
      <c r="F53" s="720">
        <v>26.559608632858513</v>
      </c>
      <c r="G53" s="461">
        <v>979.0010943396228</v>
      </c>
      <c r="I53" s="1087"/>
    </row>
    <row r="54" spans="1:9" ht="11.25" customHeight="1">
      <c r="A54" s="458" t="s">
        <v>144</v>
      </c>
      <c r="B54" s="501">
        <v>34.06666666666667</v>
      </c>
      <c r="C54" s="737" t="s">
        <v>1413</v>
      </c>
      <c r="D54" s="501">
        <v>34.06666666666667</v>
      </c>
      <c r="E54" s="720">
        <v>466.65047143362477</v>
      </c>
      <c r="F54" s="720">
        <v>2333.252357168124</v>
      </c>
      <c r="G54" s="461" t="s">
        <v>523</v>
      </c>
      <c r="I54" s="1087"/>
    </row>
    <row r="55" spans="1:9" ht="11.25" customHeight="1">
      <c r="A55" s="458" t="s">
        <v>487</v>
      </c>
      <c r="B55" s="501">
        <v>0.16811490522538372</v>
      </c>
      <c r="C55" s="737" t="s">
        <v>1413</v>
      </c>
      <c r="D55" s="501">
        <v>0.16811490522538372</v>
      </c>
      <c r="E55" s="720">
        <v>70.655602333477233</v>
      </c>
      <c r="F55" s="720">
        <v>353.27801166738618</v>
      </c>
      <c r="G55" s="461" t="s">
        <v>523</v>
      </c>
      <c r="I55" s="1087"/>
    </row>
    <row r="56" spans="1:9" ht="11.25" customHeight="1">
      <c r="A56" s="458" t="s">
        <v>145</v>
      </c>
      <c r="B56" s="501">
        <v>376.29790188679249</v>
      </c>
      <c r="C56" s="737" t="s">
        <v>1433</v>
      </c>
      <c r="D56" s="501" t="s">
        <v>954</v>
      </c>
      <c r="E56" s="720">
        <v>1992.2594724990677</v>
      </c>
      <c r="F56" s="720">
        <v>9961.2973624953374</v>
      </c>
      <c r="G56" s="461">
        <v>376.29790188679249</v>
      </c>
      <c r="I56" s="1087"/>
    </row>
    <row r="57" spans="1:9" ht="11.25" customHeight="1">
      <c r="A57" s="458" t="s">
        <v>225</v>
      </c>
      <c r="B57" s="501">
        <v>595.41254867924533</v>
      </c>
      <c r="C57" s="737" t="s">
        <v>1433</v>
      </c>
      <c r="D57" s="501" t="s">
        <v>954</v>
      </c>
      <c r="E57" s="720">
        <v>1218.1543075621205</v>
      </c>
      <c r="F57" s="720">
        <v>6090.7715378106022</v>
      </c>
      <c r="G57" s="461">
        <v>595.41254867924533</v>
      </c>
      <c r="I57" s="1087"/>
    </row>
    <row r="58" spans="1:9" ht="11.25" customHeight="1">
      <c r="A58" s="458" t="s">
        <v>226</v>
      </c>
      <c r="B58" s="501">
        <v>12.330520179068243</v>
      </c>
      <c r="C58" s="737" t="s">
        <v>1413</v>
      </c>
      <c r="D58" s="501">
        <v>12.330520179068243</v>
      </c>
      <c r="E58" s="720">
        <v>5104.3613909953474</v>
      </c>
      <c r="F58" s="720">
        <v>25521.806954976739</v>
      </c>
      <c r="G58" s="461" t="s">
        <v>523</v>
      </c>
      <c r="I58" s="1087"/>
    </row>
    <row r="59" spans="1:9" ht="11.25" customHeight="1">
      <c r="A59" s="458" t="s">
        <v>227</v>
      </c>
      <c r="B59" s="501">
        <v>4.4676456338089734</v>
      </c>
      <c r="C59" s="737" t="s">
        <v>1413</v>
      </c>
      <c r="D59" s="501">
        <v>4.4676456338089734</v>
      </c>
      <c r="E59" s="720" t="s">
        <v>954</v>
      </c>
      <c r="F59" s="720" t="s">
        <v>954</v>
      </c>
      <c r="G59" s="461" t="s">
        <v>523</v>
      </c>
      <c r="I59" s="1087"/>
    </row>
    <row r="60" spans="1:9" ht="11.25" customHeight="1">
      <c r="A60" s="458" t="s">
        <v>361</v>
      </c>
      <c r="B60" s="501">
        <v>8.3773081942564875</v>
      </c>
      <c r="C60" s="737" t="s">
        <v>1413</v>
      </c>
      <c r="D60" s="501">
        <v>8.3773081942564875</v>
      </c>
      <c r="E60" s="720">
        <v>71.807987409010423</v>
      </c>
      <c r="F60" s="720">
        <v>359.03993704505211</v>
      </c>
      <c r="G60" s="461" t="s">
        <v>523</v>
      </c>
      <c r="I60" s="1087"/>
    </row>
    <row r="61" spans="1:9" ht="11.25" customHeight="1">
      <c r="A61" s="458" t="s">
        <v>362</v>
      </c>
      <c r="B61" s="501">
        <v>8.1777563934057085</v>
      </c>
      <c r="C61" s="737" t="s">
        <v>1413</v>
      </c>
      <c r="D61" s="501">
        <v>8.1777563934057085</v>
      </c>
      <c r="E61" s="720">
        <v>102.2</v>
      </c>
      <c r="F61" s="720">
        <v>511</v>
      </c>
      <c r="G61" s="461" t="s">
        <v>523</v>
      </c>
      <c r="I61" s="1087"/>
    </row>
    <row r="62" spans="1:9" ht="11.25" customHeight="1">
      <c r="A62" s="458" t="s">
        <v>363</v>
      </c>
      <c r="B62" s="501">
        <v>7.467891885021559</v>
      </c>
      <c r="C62" s="737" t="s">
        <v>1413</v>
      </c>
      <c r="D62" s="501">
        <v>7.467891885021559</v>
      </c>
      <c r="E62" s="720">
        <v>90.685482869139619</v>
      </c>
      <c r="F62" s="720">
        <v>453.42741434569808</v>
      </c>
      <c r="G62" s="461" t="s">
        <v>523</v>
      </c>
      <c r="I62" s="1087"/>
    </row>
    <row r="63" spans="1:9" ht="11.25" customHeight="1">
      <c r="A63" s="458" t="s">
        <v>234</v>
      </c>
      <c r="B63" s="501">
        <v>16.731394676112192</v>
      </c>
      <c r="C63" s="737" t="s">
        <v>1413</v>
      </c>
      <c r="D63" s="501">
        <v>16.731394676112192</v>
      </c>
      <c r="E63" s="720">
        <v>1339.294641856676</v>
      </c>
      <c r="F63" s="720">
        <v>6696.4732092833801</v>
      </c>
      <c r="G63" s="461">
        <v>1685.682837735849</v>
      </c>
      <c r="I63" s="1087"/>
    </row>
    <row r="64" spans="1:9" ht="11.25" customHeight="1">
      <c r="A64" s="458" t="s">
        <v>235</v>
      </c>
      <c r="B64" s="501">
        <v>2.1828771853848119</v>
      </c>
      <c r="C64" s="737" t="s">
        <v>1413</v>
      </c>
      <c r="D64" s="501">
        <v>2.1828771853848119</v>
      </c>
      <c r="E64" s="720">
        <v>29.75436289992216</v>
      </c>
      <c r="F64" s="720">
        <v>148.7718144996108</v>
      </c>
      <c r="G64" s="461">
        <v>2981.506415094339</v>
      </c>
      <c r="I64" s="1087"/>
    </row>
    <row r="65" spans="1:9" ht="11.25" customHeight="1">
      <c r="A65" s="458" t="s">
        <v>294</v>
      </c>
      <c r="B65" s="501">
        <v>213.84915362021218</v>
      </c>
      <c r="C65" s="737" t="s">
        <v>1149</v>
      </c>
      <c r="D65" s="501" t="s">
        <v>954</v>
      </c>
      <c r="E65" s="720">
        <v>213.84915362021218</v>
      </c>
      <c r="F65" s="720">
        <v>1069.245768101061</v>
      </c>
      <c r="G65" s="461">
        <v>1207.9647647798743</v>
      </c>
      <c r="I65" s="1087"/>
    </row>
    <row r="66" spans="1:9" ht="11.25" customHeight="1">
      <c r="A66" s="458" t="s">
        <v>295</v>
      </c>
      <c r="B66" s="501">
        <v>76.786258697080896</v>
      </c>
      <c r="C66" s="737" t="s">
        <v>1149</v>
      </c>
      <c r="D66" s="501" t="s">
        <v>954</v>
      </c>
      <c r="E66" s="720">
        <v>76.786258697080896</v>
      </c>
      <c r="F66" s="720">
        <v>383.93129348540447</v>
      </c>
      <c r="G66" s="461">
        <v>2370.3051194968548</v>
      </c>
      <c r="I66" s="1087"/>
    </row>
    <row r="67" spans="1:9" ht="11.25" customHeight="1">
      <c r="A67" s="458" t="s">
        <v>228</v>
      </c>
      <c r="B67" s="501">
        <v>65.485035095927785</v>
      </c>
      <c r="C67" s="737" t="s">
        <v>1149</v>
      </c>
      <c r="D67" s="501" t="s">
        <v>954</v>
      </c>
      <c r="E67" s="720">
        <v>65.485035095927785</v>
      </c>
      <c r="F67" s="720">
        <v>327.42517547963894</v>
      </c>
      <c r="G67" s="461">
        <v>1851.1077232704401</v>
      </c>
      <c r="I67" s="1087"/>
    </row>
    <row r="68" spans="1:9" ht="11.25" customHeight="1">
      <c r="A68" s="458" t="s">
        <v>942</v>
      </c>
      <c r="B68" s="501">
        <v>430.84792445406259</v>
      </c>
      <c r="C68" s="737" t="s">
        <v>1149</v>
      </c>
      <c r="D68" s="501" t="s">
        <v>954</v>
      </c>
      <c r="E68" s="720">
        <v>430.84792445406259</v>
      </c>
      <c r="F68" s="720">
        <v>2154.2396222703128</v>
      </c>
      <c r="G68" s="461" t="s">
        <v>523</v>
      </c>
      <c r="I68" s="1087"/>
    </row>
    <row r="69" spans="1:9" ht="11.25" customHeight="1">
      <c r="A69" s="458" t="s">
        <v>98</v>
      </c>
      <c r="B69" s="501">
        <v>1686.9975734966408</v>
      </c>
      <c r="C69" s="737" t="s">
        <v>1149</v>
      </c>
      <c r="D69" s="501" t="s">
        <v>954</v>
      </c>
      <c r="E69" s="720">
        <v>1686.9975734966408</v>
      </c>
      <c r="F69" s="720">
        <v>8434.9878674832034</v>
      </c>
      <c r="G69" s="461" t="s">
        <v>523</v>
      </c>
      <c r="I69" s="1087"/>
    </row>
    <row r="70" spans="1:9" ht="11.25" customHeight="1">
      <c r="A70" s="458" t="s">
        <v>943</v>
      </c>
      <c r="B70" s="501">
        <v>11.429195571445257</v>
      </c>
      <c r="C70" s="737" t="s">
        <v>1413</v>
      </c>
      <c r="D70" s="501">
        <v>11.429195571445257</v>
      </c>
      <c r="E70" s="720">
        <v>14.152851429294374</v>
      </c>
      <c r="F70" s="720">
        <v>70.764257146471877</v>
      </c>
      <c r="G70" s="461">
        <v>1363.3675471698114</v>
      </c>
      <c r="I70" s="1087"/>
    </row>
    <row r="71" spans="1:9" ht="11.25" customHeight="1">
      <c r="A71" s="458" t="s">
        <v>296</v>
      </c>
      <c r="B71" s="501">
        <v>8.2928959471385344</v>
      </c>
      <c r="C71" s="737" t="s">
        <v>1413</v>
      </c>
      <c r="D71" s="501">
        <v>8.2928959471385344</v>
      </c>
      <c r="E71" s="720">
        <v>66.006521578236033</v>
      </c>
      <c r="F71" s="720">
        <v>330.03260789118019</v>
      </c>
      <c r="G71" s="461">
        <v>1571.9654339622643</v>
      </c>
      <c r="I71" s="1087"/>
    </row>
    <row r="72" spans="1:9" ht="11.25" customHeight="1">
      <c r="A72" s="458" t="s">
        <v>944</v>
      </c>
      <c r="B72" s="501">
        <v>28.720919772550289</v>
      </c>
      <c r="C72" s="737" t="s">
        <v>1413</v>
      </c>
      <c r="D72" s="501">
        <v>28.720919772550289</v>
      </c>
      <c r="E72" s="720">
        <v>28.723194963604175</v>
      </c>
      <c r="F72" s="720">
        <v>57.446389927208351</v>
      </c>
      <c r="G72" s="461" t="s">
        <v>523</v>
      </c>
      <c r="I72" s="1087"/>
    </row>
    <row r="73" spans="1:9" ht="11.25" customHeight="1">
      <c r="A73" s="458" t="s">
        <v>945</v>
      </c>
      <c r="B73" s="501">
        <v>114892.77985441669</v>
      </c>
      <c r="C73" s="737" t="s">
        <v>1149</v>
      </c>
      <c r="D73" s="501" t="s">
        <v>954</v>
      </c>
      <c r="E73" s="720">
        <v>114892.77985441669</v>
      </c>
      <c r="F73" s="720">
        <v>574463.89927208342</v>
      </c>
      <c r="G73" s="461" t="s">
        <v>523</v>
      </c>
      <c r="I73" s="1087"/>
    </row>
    <row r="74" spans="1:9" ht="11.25" customHeight="1">
      <c r="A74" s="458" t="s">
        <v>947</v>
      </c>
      <c r="B74" s="501">
        <v>2872.220570581203</v>
      </c>
      <c r="C74" s="737" t="s">
        <v>1149</v>
      </c>
      <c r="D74" s="501" t="s">
        <v>954</v>
      </c>
      <c r="E74" s="720">
        <v>2872.220570581203</v>
      </c>
      <c r="F74" s="720">
        <v>14361.102852906015</v>
      </c>
      <c r="G74" s="461" t="s">
        <v>523</v>
      </c>
      <c r="I74" s="1087"/>
    </row>
    <row r="75" spans="1:9" ht="11.25" customHeight="1">
      <c r="A75" s="458" t="s">
        <v>946</v>
      </c>
      <c r="B75" s="501">
        <v>1000000</v>
      </c>
      <c r="C75" s="737" t="s">
        <v>1434</v>
      </c>
      <c r="D75" s="501" t="s">
        <v>954</v>
      </c>
      <c r="E75" s="720">
        <v>1436159.7481802085</v>
      </c>
      <c r="F75" s="720">
        <v>7180798.7409010427</v>
      </c>
      <c r="G75" s="461" t="s">
        <v>523</v>
      </c>
      <c r="I75" s="1087"/>
    </row>
    <row r="76" spans="1:9" ht="11.25" customHeight="1">
      <c r="A76" s="462" t="s">
        <v>99</v>
      </c>
      <c r="B76" s="501">
        <v>14.361597481802086</v>
      </c>
      <c r="C76" s="737" t="s">
        <v>1149</v>
      </c>
      <c r="D76" s="501" t="s">
        <v>954</v>
      </c>
      <c r="E76" s="720">
        <v>14.361597481802086</v>
      </c>
      <c r="F76" s="720">
        <v>71.807987409010423</v>
      </c>
      <c r="G76" s="461" t="s">
        <v>523</v>
      </c>
      <c r="I76" s="1087"/>
    </row>
    <row r="77" spans="1:9" ht="11.25" customHeight="1">
      <c r="A77" s="458" t="s">
        <v>297</v>
      </c>
      <c r="B77" s="501">
        <v>287.23194963604169</v>
      </c>
      <c r="C77" s="737" t="s">
        <v>1149</v>
      </c>
      <c r="D77" s="501" t="s">
        <v>954</v>
      </c>
      <c r="E77" s="720">
        <v>287.23194963604169</v>
      </c>
      <c r="F77" s="720">
        <v>1436.1597481802085</v>
      </c>
      <c r="G77" s="461" t="s">
        <v>523</v>
      </c>
      <c r="I77" s="1087"/>
    </row>
    <row r="78" spans="1:9" ht="11.25" customHeight="1">
      <c r="A78" s="462" t="s">
        <v>100</v>
      </c>
      <c r="B78" s="501">
        <v>6.4473138372453089</v>
      </c>
      <c r="C78" s="737" t="s">
        <v>1413</v>
      </c>
      <c r="D78" s="501">
        <v>6.4473138372453089</v>
      </c>
      <c r="E78" s="720">
        <v>285.53372175604915</v>
      </c>
      <c r="F78" s="720">
        <v>1427.6686087802457</v>
      </c>
      <c r="G78" s="461" t="s">
        <v>523</v>
      </c>
      <c r="I78" s="1087"/>
    </row>
    <row r="79" spans="1:9" ht="11.25" customHeight="1">
      <c r="A79" s="462" t="s">
        <v>101</v>
      </c>
      <c r="B79" s="501">
        <v>1.3444137531985969</v>
      </c>
      <c r="C79" s="737" t="s">
        <v>1413</v>
      </c>
      <c r="D79" s="501">
        <v>1.3444137531985969</v>
      </c>
      <c r="E79" s="720">
        <v>43.21329920995489</v>
      </c>
      <c r="F79" s="720">
        <v>216.06649604977446</v>
      </c>
      <c r="G79" s="461" t="s">
        <v>523</v>
      </c>
      <c r="I79" s="1087"/>
    </row>
    <row r="80" spans="1:9" ht="11.25" customHeight="1">
      <c r="A80" s="458" t="s">
        <v>382</v>
      </c>
      <c r="B80" s="501">
        <v>22.471346523830722</v>
      </c>
      <c r="C80" s="737" t="s">
        <v>1413</v>
      </c>
      <c r="D80" s="501">
        <v>22.471346523830722</v>
      </c>
      <c r="E80" s="720">
        <v>947.92316187871256</v>
      </c>
      <c r="F80" s="720">
        <v>4739.6158093935628</v>
      </c>
      <c r="G80" s="461">
        <v>115637.86163522014</v>
      </c>
      <c r="I80" s="1087"/>
    </row>
    <row r="81" spans="1:9" ht="11.25" customHeight="1">
      <c r="A81" s="458" t="s">
        <v>594</v>
      </c>
      <c r="B81" s="501">
        <v>1.5E-3</v>
      </c>
      <c r="C81" s="737" t="s">
        <v>1033</v>
      </c>
      <c r="D81" s="501"/>
      <c r="E81" s="720"/>
      <c r="F81" s="720"/>
      <c r="G81" s="461"/>
      <c r="I81" s="1087"/>
    </row>
    <row r="82" spans="1:9" ht="11.25" customHeight="1">
      <c r="A82" s="458" t="s">
        <v>102</v>
      </c>
      <c r="B82" s="501">
        <v>287.23194963604169</v>
      </c>
      <c r="C82" s="737" t="s">
        <v>1149</v>
      </c>
      <c r="D82" s="501" t="s">
        <v>954</v>
      </c>
      <c r="E82" s="720">
        <v>287.23194963604169</v>
      </c>
      <c r="F82" s="720">
        <v>1436.1597481802085</v>
      </c>
      <c r="G82" s="461" t="s">
        <v>523</v>
      </c>
      <c r="I82" s="1087"/>
    </row>
    <row r="83" spans="1:9" ht="11.25" customHeight="1">
      <c r="A83" s="458" t="s">
        <v>370</v>
      </c>
      <c r="B83" s="501">
        <v>1226.4000000000001</v>
      </c>
      <c r="C83" s="737" t="s">
        <v>1149</v>
      </c>
      <c r="D83" s="501" t="s">
        <v>954</v>
      </c>
      <c r="E83" s="720">
        <v>1226.4000000000001</v>
      </c>
      <c r="F83" s="720">
        <v>6132</v>
      </c>
      <c r="G83" s="461" t="s">
        <v>523</v>
      </c>
      <c r="I83" s="1087"/>
    </row>
    <row r="84" spans="1:9" ht="11.25" customHeight="1">
      <c r="A84" s="458" t="s">
        <v>337</v>
      </c>
      <c r="B84" s="501">
        <v>43.084792445406251</v>
      </c>
      <c r="C84" s="737" t="s">
        <v>1149</v>
      </c>
      <c r="D84" s="501" t="s">
        <v>954</v>
      </c>
      <c r="E84" s="720">
        <v>43.084792445406251</v>
      </c>
      <c r="F84" s="720">
        <v>215.42396222703127</v>
      </c>
      <c r="G84" s="461" t="s">
        <v>523</v>
      </c>
      <c r="I84" s="1087"/>
    </row>
    <row r="85" spans="1:9" ht="11.25" customHeight="1">
      <c r="A85" s="458" t="s">
        <v>28</v>
      </c>
      <c r="B85" s="501"/>
      <c r="C85" s="1088" t="s">
        <v>50</v>
      </c>
      <c r="D85" s="501"/>
      <c r="E85" s="720"/>
      <c r="F85" s="720"/>
      <c r="G85" s="461"/>
      <c r="I85" s="1087"/>
    </row>
    <row r="86" spans="1:9" ht="11.25" customHeight="1">
      <c r="A86" s="458" t="s">
        <v>338</v>
      </c>
      <c r="B86" s="501">
        <v>149.18368122131821</v>
      </c>
      <c r="C86" s="737" t="s">
        <v>1432</v>
      </c>
      <c r="D86" s="501">
        <v>272.19626165051363</v>
      </c>
      <c r="E86" s="720">
        <v>3545.4097596506372</v>
      </c>
      <c r="F86" s="720">
        <v>17727.048798253185</v>
      </c>
      <c r="G86" s="461">
        <v>479.48318616352208</v>
      </c>
      <c r="I86" s="1087"/>
    </row>
    <row r="87" spans="1:9" ht="11.25" customHeight="1">
      <c r="A87" s="458" t="s">
        <v>339</v>
      </c>
      <c r="B87" s="501">
        <v>5274.1173465306683</v>
      </c>
      <c r="C87" s="737" t="s">
        <v>1149</v>
      </c>
      <c r="D87" s="501" t="s">
        <v>954</v>
      </c>
      <c r="E87" s="720">
        <v>5274.1173465306683</v>
      </c>
      <c r="F87" s="720">
        <v>26370.586732653341</v>
      </c>
      <c r="G87" s="461" t="s">
        <v>523</v>
      </c>
      <c r="I87" s="1087"/>
    </row>
    <row r="88" spans="1:9" ht="11.25" customHeight="1">
      <c r="A88" s="458" t="s">
        <v>340</v>
      </c>
      <c r="B88" s="501">
        <v>4625.2060452768792</v>
      </c>
      <c r="C88" s="737" t="s">
        <v>1149</v>
      </c>
      <c r="D88" s="501" t="s">
        <v>954</v>
      </c>
      <c r="E88" s="720">
        <v>4625.2060452768792</v>
      </c>
      <c r="F88" s="720">
        <v>23126.030226384395</v>
      </c>
      <c r="G88" s="461" t="s">
        <v>523</v>
      </c>
      <c r="I88" s="1087"/>
    </row>
    <row r="89" spans="1:9" ht="11.25" customHeight="1">
      <c r="A89" s="458" t="s">
        <v>103</v>
      </c>
      <c r="B89" s="501">
        <v>14361.597481802086</v>
      </c>
      <c r="C89" s="737" t="s">
        <v>1149</v>
      </c>
      <c r="D89" s="501" t="s">
        <v>954</v>
      </c>
      <c r="E89" s="720">
        <v>14361.597481802086</v>
      </c>
      <c r="F89" s="720">
        <v>71807.987409010428</v>
      </c>
      <c r="G89" s="461" t="s">
        <v>523</v>
      </c>
      <c r="I89" s="1087"/>
    </row>
    <row r="90" spans="1:9" ht="11.25" customHeight="1">
      <c r="A90" s="458" t="s">
        <v>341</v>
      </c>
      <c r="B90" s="501">
        <v>5.6352849619676126</v>
      </c>
      <c r="C90" s="737" t="s">
        <v>1413</v>
      </c>
      <c r="D90" s="501">
        <v>5.6352849619676126</v>
      </c>
      <c r="E90" s="720">
        <v>20.440000000000001</v>
      </c>
      <c r="F90" s="720">
        <v>102.2</v>
      </c>
      <c r="G90" s="461" t="s">
        <v>523</v>
      </c>
      <c r="I90" s="1087"/>
    </row>
    <row r="91" spans="1:9" ht="11.25" customHeight="1">
      <c r="A91" s="458" t="s">
        <v>342</v>
      </c>
      <c r="B91" s="501">
        <v>2.6572</v>
      </c>
      <c r="C91" s="737" t="s">
        <v>1149</v>
      </c>
      <c r="D91" s="501">
        <v>2.9309179535864551</v>
      </c>
      <c r="E91" s="720">
        <v>2.6572</v>
      </c>
      <c r="F91" s="720">
        <v>13.286</v>
      </c>
      <c r="G91" s="461" t="s">
        <v>523</v>
      </c>
      <c r="I91" s="1087"/>
    </row>
    <row r="92" spans="1:9" ht="11.25" customHeight="1">
      <c r="A92" s="458" t="s">
        <v>371</v>
      </c>
      <c r="B92" s="501">
        <v>0.935256936172008</v>
      </c>
      <c r="C92" s="737" t="s">
        <v>1413</v>
      </c>
      <c r="D92" s="501">
        <v>0.935256936172008</v>
      </c>
      <c r="E92" s="720">
        <v>2.0440000000000005</v>
      </c>
      <c r="F92" s="720">
        <v>10.220000000000002</v>
      </c>
      <c r="G92" s="461" t="s">
        <v>523</v>
      </c>
      <c r="I92" s="1087"/>
    </row>
    <row r="93" spans="1:9" ht="11.25" customHeight="1">
      <c r="A93" s="458" t="s">
        <v>343</v>
      </c>
      <c r="B93" s="501">
        <v>5.5288939918514819</v>
      </c>
      <c r="C93" s="737" t="s">
        <v>1413</v>
      </c>
      <c r="D93" s="501">
        <v>5.5288939918514819</v>
      </c>
      <c r="E93" s="720">
        <v>204.4</v>
      </c>
      <c r="F93" s="720">
        <v>1022</v>
      </c>
      <c r="G93" s="461" t="s">
        <v>523</v>
      </c>
      <c r="I93" s="1087"/>
    </row>
    <row r="94" spans="1:9" ht="11.25" customHeight="1">
      <c r="A94" s="458" t="s">
        <v>364</v>
      </c>
      <c r="B94" s="501">
        <v>2.2247121157056031</v>
      </c>
      <c r="C94" s="737" t="s">
        <v>1413</v>
      </c>
      <c r="D94" s="501">
        <v>2.2247121157056031</v>
      </c>
      <c r="E94" s="720">
        <v>52.441811141062651</v>
      </c>
      <c r="F94" s="720">
        <v>262.20905570531323</v>
      </c>
      <c r="G94" s="461" t="s">
        <v>523</v>
      </c>
      <c r="I94" s="1087"/>
    </row>
    <row r="95" spans="1:9" ht="11.25" customHeight="1">
      <c r="A95" s="458" t="s">
        <v>344</v>
      </c>
      <c r="B95" s="501">
        <v>8.5277719673008239</v>
      </c>
      <c r="C95" s="737" t="s">
        <v>1413</v>
      </c>
      <c r="D95" s="501">
        <v>8.5277719673008239</v>
      </c>
      <c r="E95" s="720">
        <v>87.943663845317246</v>
      </c>
      <c r="F95" s="720">
        <v>439.71831922658623</v>
      </c>
      <c r="G95" s="461" t="s">
        <v>523</v>
      </c>
      <c r="I95" s="1087"/>
    </row>
    <row r="96" spans="1:9" ht="11.25" customHeight="1">
      <c r="A96" s="458" t="s">
        <v>104</v>
      </c>
      <c r="B96" s="501">
        <v>4739.3271689946887</v>
      </c>
      <c r="C96" s="737" t="s">
        <v>1149</v>
      </c>
      <c r="D96" s="501" t="s">
        <v>954</v>
      </c>
      <c r="E96" s="720">
        <v>4739.3271689946887</v>
      </c>
      <c r="F96" s="720">
        <v>23696.635844973443</v>
      </c>
      <c r="G96" s="461" t="s">
        <v>523</v>
      </c>
      <c r="I96" s="1087"/>
    </row>
    <row r="97" spans="1:9" ht="11.25" customHeight="1">
      <c r="A97" s="458" t="s">
        <v>345</v>
      </c>
      <c r="B97" s="501">
        <v>184.58185004838111</v>
      </c>
      <c r="C97" s="737" t="s">
        <v>1413</v>
      </c>
      <c r="D97" s="501">
        <v>184.58185004838111</v>
      </c>
      <c r="E97" s="720" t="s">
        <v>954</v>
      </c>
      <c r="F97" s="720" t="s">
        <v>954</v>
      </c>
      <c r="G97" s="461" t="s">
        <v>523</v>
      </c>
      <c r="I97" s="1087"/>
    </row>
    <row r="98" spans="1:9" ht="11.25" customHeight="1">
      <c r="A98" s="458" t="s">
        <v>105</v>
      </c>
      <c r="B98" s="501">
        <v>2116.4459446866235</v>
      </c>
      <c r="C98" s="737" t="s">
        <v>1413</v>
      </c>
      <c r="D98" s="501">
        <v>2116.4459446866235</v>
      </c>
      <c r="E98" s="720">
        <v>28722.848715625569</v>
      </c>
      <c r="F98" s="720">
        <v>143614.24357812785</v>
      </c>
      <c r="G98" s="461" t="s">
        <v>523</v>
      </c>
      <c r="I98" s="1087"/>
    </row>
    <row r="99" spans="1:9" ht="11.25" customHeight="1">
      <c r="A99" s="458" t="s">
        <v>346</v>
      </c>
      <c r="B99" s="501">
        <v>800</v>
      </c>
      <c r="C99" s="737" t="s">
        <v>222</v>
      </c>
      <c r="D99" s="501" t="s">
        <v>954</v>
      </c>
      <c r="E99" s="720">
        <v>800</v>
      </c>
      <c r="F99" s="720"/>
      <c r="G99" s="461" t="s">
        <v>523</v>
      </c>
      <c r="I99" s="1087"/>
    </row>
    <row r="100" spans="1:9" ht="11.25" customHeight="1">
      <c r="A100" s="458" t="s">
        <v>347</v>
      </c>
      <c r="B100" s="501">
        <v>61.309481216457954</v>
      </c>
      <c r="C100" s="737" t="s">
        <v>1149</v>
      </c>
      <c r="D100" s="501" t="s">
        <v>954</v>
      </c>
      <c r="E100" s="720">
        <v>61.309481216457954</v>
      </c>
      <c r="F100" s="720">
        <v>306.54740608228974</v>
      </c>
      <c r="G100" s="461" t="s">
        <v>523</v>
      </c>
      <c r="I100" s="1087"/>
    </row>
    <row r="101" spans="1:9" ht="11.25" customHeight="1">
      <c r="A101" s="458" t="s">
        <v>348</v>
      </c>
      <c r="B101" s="501">
        <v>718.07987409010434</v>
      </c>
      <c r="C101" s="737" t="s">
        <v>1149</v>
      </c>
      <c r="D101" s="501" t="s">
        <v>954</v>
      </c>
      <c r="E101" s="720">
        <v>718.07987409010434</v>
      </c>
      <c r="F101" s="720">
        <v>3590.3993704505219</v>
      </c>
      <c r="G101" s="461" t="s">
        <v>523</v>
      </c>
      <c r="I101" s="1087"/>
    </row>
    <row r="102" spans="1:9" ht="11.25" customHeight="1">
      <c r="A102" s="458" t="s">
        <v>350</v>
      </c>
      <c r="B102" s="501">
        <v>28431.476163522013</v>
      </c>
      <c r="C102" s="737" t="s">
        <v>1433</v>
      </c>
      <c r="D102" s="501" t="s">
        <v>954</v>
      </c>
      <c r="E102" s="720">
        <v>39609.05377502591</v>
      </c>
      <c r="F102" s="720">
        <v>198045.26887512955</v>
      </c>
      <c r="G102" s="461">
        <v>28431.476163522013</v>
      </c>
      <c r="I102" s="1087"/>
    </row>
    <row r="103" spans="1:9" ht="11.25" customHeight="1">
      <c r="A103" s="458" t="s">
        <v>351</v>
      </c>
      <c r="B103" s="501">
        <v>3356.5423899371067</v>
      </c>
      <c r="C103" s="737" t="s">
        <v>1433</v>
      </c>
      <c r="D103" s="501" t="s">
        <v>954</v>
      </c>
      <c r="E103" s="720">
        <v>30240.403769831442</v>
      </c>
      <c r="F103" s="720">
        <v>151202.0188491572</v>
      </c>
      <c r="G103" s="461">
        <v>3356.5423899371067</v>
      </c>
      <c r="I103" s="1087"/>
    </row>
    <row r="104" spans="1:9" ht="11.25" customHeight="1">
      <c r="A104" s="458" t="s">
        <v>352</v>
      </c>
      <c r="B104" s="501">
        <v>20.440000000000001</v>
      </c>
      <c r="C104" s="737" t="s">
        <v>1149</v>
      </c>
      <c r="D104" s="501" t="s">
        <v>954</v>
      </c>
      <c r="E104" s="720">
        <v>20.440000000000001</v>
      </c>
      <c r="F104" s="720">
        <v>102.2</v>
      </c>
      <c r="G104" s="461" t="s">
        <v>523</v>
      </c>
      <c r="I104" s="1087"/>
    </row>
    <row r="105" spans="1:9" ht="11.25" customHeight="1">
      <c r="A105" s="458" t="s">
        <v>353</v>
      </c>
      <c r="B105" s="501">
        <v>217.19085303812523</v>
      </c>
      <c r="C105" s="737" t="s">
        <v>1413</v>
      </c>
      <c r="D105" s="501">
        <v>217.19085303812523</v>
      </c>
      <c r="E105" s="720">
        <v>14015.37307135994</v>
      </c>
      <c r="F105" s="720">
        <v>70076.865356799695</v>
      </c>
      <c r="G105" s="461">
        <v>8869.0732075471715</v>
      </c>
      <c r="I105" s="1087"/>
    </row>
    <row r="106" spans="1:9" ht="11.25" customHeight="1">
      <c r="A106" s="458" t="s">
        <v>349</v>
      </c>
      <c r="B106" s="501">
        <v>622.2875566540348</v>
      </c>
      <c r="C106" s="737" t="s">
        <v>1149</v>
      </c>
      <c r="D106" s="501">
        <v>963.24447347077307</v>
      </c>
      <c r="E106" s="720">
        <v>622.2875566540348</v>
      </c>
      <c r="F106" s="720">
        <v>3111.4377832701739</v>
      </c>
      <c r="G106" s="461">
        <v>3314.8708176100631</v>
      </c>
      <c r="I106" s="1087"/>
    </row>
    <row r="107" spans="1:9" ht="11.25" customHeight="1">
      <c r="A107" s="458" t="s">
        <v>590</v>
      </c>
      <c r="B107" s="501">
        <v>452.57845726543417</v>
      </c>
      <c r="C107" s="737" t="s">
        <v>1432</v>
      </c>
      <c r="D107" s="501">
        <v>636.53140389163252</v>
      </c>
      <c r="E107" s="720">
        <v>5504.4999494511085</v>
      </c>
      <c r="F107" s="720">
        <v>27522.499747255541</v>
      </c>
      <c r="G107" s="461" t="s">
        <v>523</v>
      </c>
      <c r="I107" s="1087"/>
    </row>
    <row r="108" spans="1:9" ht="11.25" customHeight="1">
      <c r="A108" s="458" t="s">
        <v>591</v>
      </c>
      <c r="B108" s="501">
        <v>314.49161789049526</v>
      </c>
      <c r="C108" s="737" t="s">
        <v>1149</v>
      </c>
      <c r="D108" s="501" t="s">
        <v>954</v>
      </c>
      <c r="E108" s="720">
        <v>314.49161789049526</v>
      </c>
      <c r="F108" s="720">
        <v>1572.4580894524763</v>
      </c>
      <c r="G108" s="461" t="s">
        <v>523</v>
      </c>
      <c r="I108" s="1087"/>
    </row>
    <row r="109" spans="1:9" ht="11.25" customHeight="1">
      <c r="A109" s="458" t="s">
        <v>465</v>
      </c>
      <c r="B109" s="501">
        <v>1021.5618300973848</v>
      </c>
      <c r="C109" s="737" t="s">
        <v>1149</v>
      </c>
      <c r="D109" s="501" t="s">
        <v>954</v>
      </c>
      <c r="E109" s="720">
        <v>1021.5618300973848</v>
      </c>
      <c r="F109" s="720">
        <v>5107.8091504869244</v>
      </c>
      <c r="G109" s="461" t="s">
        <v>523</v>
      </c>
      <c r="I109" s="1087"/>
    </row>
    <row r="110" spans="1:9" ht="11.25" customHeight="1">
      <c r="A110" s="458" t="s">
        <v>466</v>
      </c>
      <c r="B110" s="501">
        <v>51.119950543428345</v>
      </c>
      <c r="C110" s="737" t="s">
        <v>1432</v>
      </c>
      <c r="D110" s="501">
        <v>83.414586633371101</v>
      </c>
      <c r="E110" s="720">
        <v>126.40374853522562</v>
      </c>
      <c r="F110" s="720">
        <v>632.01874267612811</v>
      </c>
      <c r="G110" s="461" t="s">
        <v>523</v>
      </c>
      <c r="I110" s="1087"/>
    </row>
    <row r="111" spans="1:9" ht="11.25" customHeight="1">
      <c r="A111" s="458" t="s">
        <v>812</v>
      </c>
      <c r="B111" s="501">
        <v>124.37096748749823</v>
      </c>
      <c r="C111" s="737" t="s">
        <v>1432</v>
      </c>
      <c r="D111" s="501" t="s">
        <v>954</v>
      </c>
      <c r="E111" s="720">
        <v>3283.2755905511817</v>
      </c>
      <c r="F111" s="720">
        <v>16416.377952755909</v>
      </c>
      <c r="G111" s="461" t="s">
        <v>523</v>
      </c>
      <c r="I111" s="1087"/>
    </row>
    <row r="112" spans="1:9" ht="11.25" customHeight="1">
      <c r="A112" s="462" t="s">
        <v>106</v>
      </c>
      <c r="B112" s="501">
        <v>24.412524032468166</v>
      </c>
      <c r="C112" s="737" t="s">
        <v>1413</v>
      </c>
      <c r="D112" s="501">
        <v>24.412524032468166</v>
      </c>
      <c r="E112" s="720">
        <v>247.57541810159168</v>
      </c>
      <c r="F112" s="720">
        <v>1237.8770905079584</v>
      </c>
      <c r="G112" s="461">
        <v>3048.4437410062897</v>
      </c>
      <c r="I112" s="1087"/>
    </row>
    <row r="113" spans="1:9" ht="11.25" customHeight="1">
      <c r="A113" s="462" t="s">
        <v>107</v>
      </c>
      <c r="B113" s="501">
        <v>14.361597481802086</v>
      </c>
      <c r="C113" s="737" t="s">
        <v>1149</v>
      </c>
      <c r="D113" s="501">
        <v>118.27197926189952</v>
      </c>
      <c r="E113" s="720">
        <v>14.361597481802086</v>
      </c>
      <c r="F113" s="720">
        <v>71.807987409010423</v>
      </c>
      <c r="G113" s="461" t="s">
        <v>523</v>
      </c>
      <c r="I113" s="1087"/>
    </row>
    <row r="114" spans="1:9" ht="11.25" customHeight="1">
      <c r="A114" s="462" t="s">
        <v>108</v>
      </c>
      <c r="B114" s="501">
        <v>13.00727272727273</v>
      </c>
      <c r="C114" s="737" t="s">
        <v>1413</v>
      </c>
      <c r="D114" s="501">
        <v>13.00727272727273</v>
      </c>
      <c r="E114" s="720">
        <v>126.90222560642461</v>
      </c>
      <c r="F114" s="720">
        <v>634.511128032123</v>
      </c>
      <c r="G114" s="461" t="s">
        <v>523</v>
      </c>
      <c r="I114" s="1087"/>
    </row>
    <row r="115" spans="1:9" ht="11.25" customHeight="1">
      <c r="A115" s="462" t="s">
        <v>109</v>
      </c>
      <c r="B115" s="501">
        <v>14.361597481802086</v>
      </c>
      <c r="C115" s="737" t="s">
        <v>1149</v>
      </c>
      <c r="D115" s="501" t="s">
        <v>954</v>
      </c>
      <c r="E115" s="720">
        <v>14.361597481802086</v>
      </c>
      <c r="F115" s="720">
        <v>71.807987409010423</v>
      </c>
      <c r="G115" s="461" t="s">
        <v>523</v>
      </c>
      <c r="I115" s="1087"/>
    </row>
    <row r="116" spans="1:9" ht="11.25" customHeight="1">
      <c r="A116" s="462" t="s">
        <v>110</v>
      </c>
      <c r="B116" s="501">
        <v>125.66397796576823</v>
      </c>
      <c r="C116" s="737" t="s">
        <v>1413</v>
      </c>
      <c r="D116" s="501">
        <v>125.66397796576823</v>
      </c>
      <c r="E116" s="720">
        <v>574.4441141162406</v>
      </c>
      <c r="F116" s="720">
        <v>2872.220570581203</v>
      </c>
      <c r="G116" s="461" t="s">
        <v>523</v>
      </c>
      <c r="I116" s="1087"/>
    </row>
    <row r="117" spans="1:9" ht="11.25" customHeight="1">
      <c r="A117" s="458" t="s">
        <v>467</v>
      </c>
      <c r="B117" s="501">
        <v>3.4760178787283857</v>
      </c>
      <c r="C117" s="737" t="s">
        <v>1413</v>
      </c>
      <c r="D117" s="501">
        <v>3.4760178787283857</v>
      </c>
      <c r="E117" s="720">
        <v>496.57451047082259</v>
      </c>
      <c r="F117" s="720">
        <v>2482.8725523541129</v>
      </c>
      <c r="G117" s="461" t="s">
        <v>523</v>
      </c>
      <c r="I117" s="1087"/>
    </row>
    <row r="118" spans="1:9" ht="11.25" customHeight="1">
      <c r="A118" s="462" t="s">
        <v>111</v>
      </c>
      <c r="B118" s="501">
        <v>467.58689475634696</v>
      </c>
      <c r="C118" s="737" t="s">
        <v>1413</v>
      </c>
      <c r="D118" s="501">
        <v>467.58689475634696</v>
      </c>
      <c r="E118" s="720">
        <v>1292.5437733621877</v>
      </c>
      <c r="F118" s="720">
        <v>6462.7188668109384</v>
      </c>
      <c r="G118" s="461" t="s">
        <v>523</v>
      </c>
      <c r="I118" s="1087"/>
    </row>
    <row r="119" spans="1:9" ht="11.25" customHeight="1">
      <c r="A119" s="458" t="s">
        <v>231</v>
      </c>
      <c r="B119" s="501">
        <v>143.07999999999998</v>
      </c>
      <c r="C119" s="737" t="s">
        <v>1149</v>
      </c>
      <c r="D119" s="501" t="s">
        <v>954</v>
      </c>
      <c r="E119" s="720">
        <v>143.07999999999998</v>
      </c>
      <c r="F119" s="720">
        <v>715.39999999999986</v>
      </c>
      <c r="G119" s="461" t="s">
        <v>523</v>
      </c>
      <c r="I119" s="1087"/>
    </row>
    <row r="120" spans="1:9" ht="11.25" customHeight="1">
      <c r="A120" s="458" t="s">
        <v>468</v>
      </c>
      <c r="B120" s="501">
        <v>4856.7882177484134</v>
      </c>
      <c r="C120" s="737" t="s">
        <v>1149</v>
      </c>
      <c r="D120" s="501" t="s">
        <v>954</v>
      </c>
      <c r="E120" s="720">
        <v>4856.7882177484134</v>
      </c>
      <c r="F120" s="720">
        <v>24283.941088742067</v>
      </c>
      <c r="G120" s="461" t="s">
        <v>523</v>
      </c>
      <c r="I120" s="1087"/>
    </row>
    <row r="121" spans="1:9" ht="11.25" customHeight="1">
      <c r="A121" s="458" t="s">
        <v>469</v>
      </c>
      <c r="B121" s="501">
        <v>43077.003180443528</v>
      </c>
      <c r="C121" s="737" t="s">
        <v>1149</v>
      </c>
      <c r="D121" s="501" t="s">
        <v>954</v>
      </c>
      <c r="E121" s="720">
        <v>43077.003180443528</v>
      </c>
      <c r="F121" s="720">
        <v>215385.01590221765</v>
      </c>
      <c r="G121" s="461" t="s">
        <v>523</v>
      </c>
      <c r="I121" s="1087"/>
    </row>
    <row r="122" spans="1:9" ht="11.25" customHeight="1">
      <c r="A122" s="458" t="s">
        <v>365</v>
      </c>
      <c r="B122" s="501">
        <v>8.5831644722039524</v>
      </c>
      <c r="C122" s="737" t="s">
        <v>1413</v>
      </c>
      <c r="D122" s="501">
        <v>8.5831644722039524</v>
      </c>
      <c r="E122" s="720">
        <v>12.834874690430862</v>
      </c>
      <c r="F122" s="720">
        <v>12.834874690430862</v>
      </c>
      <c r="G122" s="461" t="s">
        <v>523</v>
      </c>
      <c r="I122" s="1087"/>
    </row>
    <row r="123" spans="1:9" ht="11.25" customHeight="1">
      <c r="A123" s="458" t="s">
        <v>112</v>
      </c>
      <c r="B123" s="501">
        <v>14361.597481802086</v>
      </c>
      <c r="C123" s="737" t="s">
        <v>1149</v>
      </c>
      <c r="D123" s="501" t="s">
        <v>954</v>
      </c>
      <c r="E123" s="720">
        <v>14361.597481802086</v>
      </c>
      <c r="F123" s="720">
        <v>71807.987409010428</v>
      </c>
      <c r="G123" s="461" t="s">
        <v>523</v>
      </c>
      <c r="I123" s="1087"/>
    </row>
    <row r="124" spans="1:9" ht="11.25" customHeight="1">
      <c r="A124" s="458" t="s">
        <v>470</v>
      </c>
      <c r="B124" s="501">
        <v>3890.2933737399185</v>
      </c>
      <c r="C124" s="737" t="s">
        <v>1149</v>
      </c>
      <c r="D124" s="501" t="s">
        <v>954</v>
      </c>
      <c r="E124" s="720">
        <v>3890.2933737399185</v>
      </c>
      <c r="F124" s="720">
        <v>19451.466868699594</v>
      </c>
      <c r="G124" s="461" t="s">
        <v>523</v>
      </c>
      <c r="I124" s="1087"/>
    </row>
    <row r="125" spans="1:9" ht="11.25" customHeight="1">
      <c r="A125" s="458" t="s">
        <v>471</v>
      </c>
      <c r="B125" s="501">
        <v>1021.9561660958169</v>
      </c>
      <c r="C125" s="737" t="s">
        <v>1149</v>
      </c>
      <c r="D125" s="501" t="s">
        <v>954</v>
      </c>
      <c r="E125" s="720">
        <v>1021.9561660958169</v>
      </c>
      <c r="F125" s="720">
        <v>5109.7808304790842</v>
      </c>
      <c r="G125" s="461" t="s">
        <v>523</v>
      </c>
      <c r="I125" s="1087"/>
    </row>
    <row r="126" spans="1:9" ht="11.25" customHeight="1">
      <c r="A126" s="458" t="s">
        <v>813</v>
      </c>
      <c r="B126" s="501">
        <v>1022</v>
      </c>
      <c r="C126" s="737" t="s">
        <v>1149</v>
      </c>
      <c r="D126" s="501" t="s">
        <v>954</v>
      </c>
      <c r="E126" s="720">
        <v>1022</v>
      </c>
      <c r="F126" s="720">
        <v>5110</v>
      </c>
      <c r="G126" s="461" t="s">
        <v>523</v>
      </c>
      <c r="I126" s="1087"/>
    </row>
    <row r="127" spans="1:9" ht="11.25" customHeight="1">
      <c r="A127" s="458" t="s">
        <v>113</v>
      </c>
      <c r="B127" s="501">
        <v>16.755197062102432</v>
      </c>
      <c r="C127" s="737" t="s">
        <v>1413</v>
      </c>
      <c r="D127" s="501">
        <v>16.755197062102432</v>
      </c>
      <c r="E127" s="720">
        <v>718.07987409010434</v>
      </c>
      <c r="F127" s="720">
        <v>3590.3993704505219</v>
      </c>
      <c r="G127" s="461" t="s">
        <v>523</v>
      </c>
      <c r="I127" s="1087"/>
    </row>
    <row r="128" spans="1:9" ht="11.25" customHeight="1">
      <c r="A128" s="458" t="s">
        <v>472</v>
      </c>
      <c r="B128" s="501">
        <v>867.20140880503141</v>
      </c>
      <c r="C128" s="737" t="s">
        <v>1433</v>
      </c>
      <c r="D128" s="501" t="s">
        <v>954</v>
      </c>
      <c r="E128" s="720">
        <v>7374.2876691979345</v>
      </c>
      <c r="F128" s="720">
        <v>36871.438345989671</v>
      </c>
      <c r="G128" s="461">
        <v>867.20140880503141</v>
      </c>
      <c r="I128" s="1087"/>
    </row>
    <row r="129" spans="1:9" ht="11.25" customHeight="1">
      <c r="A129" s="458" t="s">
        <v>114</v>
      </c>
      <c r="B129" s="501">
        <v>1867.0076726342713</v>
      </c>
      <c r="C129" s="737" t="s">
        <v>1149</v>
      </c>
      <c r="D129" s="501" t="s">
        <v>954</v>
      </c>
      <c r="E129" s="720">
        <v>1867.0076726342713</v>
      </c>
      <c r="F129" s="720">
        <v>9335.0383631713557</v>
      </c>
      <c r="G129" s="461" t="s">
        <v>523</v>
      </c>
      <c r="I129" s="1087"/>
    </row>
    <row r="130" spans="1:9" ht="11.25" customHeight="1">
      <c r="A130" s="458" t="s">
        <v>19</v>
      </c>
      <c r="B130" s="501">
        <v>5723.2</v>
      </c>
      <c r="C130" s="737" t="s">
        <v>1413</v>
      </c>
      <c r="D130" s="501">
        <v>5723.2</v>
      </c>
      <c r="E130" s="720">
        <v>51149.719651174542</v>
      </c>
      <c r="F130" s="720">
        <v>255748.59825587273</v>
      </c>
      <c r="G130" s="461">
        <v>112670.04402515724</v>
      </c>
      <c r="I130" s="1087"/>
    </row>
    <row r="131" spans="1:9" ht="11.25" customHeight="1">
      <c r="A131" s="458" t="s">
        <v>473</v>
      </c>
      <c r="B131" s="501">
        <v>9.4563816246558794</v>
      </c>
      <c r="C131" s="737" t="s">
        <v>1413</v>
      </c>
      <c r="D131" s="501">
        <v>9.4563816246558794</v>
      </c>
      <c r="E131" s="720">
        <v>525.00267141857262</v>
      </c>
      <c r="F131" s="720">
        <v>2625.0133570928629</v>
      </c>
      <c r="G131" s="461">
        <v>679.56857484276736</v>
      </c>
      <c r="I131" s="1087"/>
    </row>
    <row r="132" spans="1:9" ht="11.25" customHeight="1">
      <c r="A132" s="458" t="s">
        <v>474</v>
      </c>
      <c r="B132" s="501">
        <v>2.7918022982763482</v>
      </c>
      <c r="C132" s="737" t="s">
        <v>1413</v>
      </c>
      <c r="D132" s="501">
        <v>2.7918022982763482</v>
      </c>
      <c r="E132" s="720">
        <v>4088</v>
      </c>
      <c r="F132" s="720">
        <v>20440</v>
      </c>
      <c r="G132" s="461">
        <v>1903.1173320754715</v>
      </c>
      <c r="I132" s="1087"/>
    </row>
    <row r="133" spans="1:9" ht="11.25" customHeight="1">
      <c r="A133" s="458" t="s">
        <v>475</v>
      </c>
      <c r="B133" s="501">
        <v>4.9742994671385938</v>
      </c>
      <c r="C133" s="737" t="s">
        <v>1413</v>
      </c>
      <c r="D133" s="501">
        <v>4.9742994671385938</v>
      </c>
      <c r="E133" s="720">
        <v>83.829115344482503</v>
      </c>
      <c r="F133" s="720">
        <v>419.1455767224125</v>
      </c>
      <c r="G133" s="461">
        <v>166.02402867924528</v>
      </c>
      <c r="I133" s="1087"/>
    </row>
    <row r="134" spans="1:9" ht="11.25" customHeight="1">
      <c r="A134" s="458" t="s">
        <v>115</v>
      </c>
      <c r="B134" s="501">
        <v>4308.4792445406256</v>
      </c>
      <c r="C134" s="737" t="s">
        <v>1149</v>
      </c>
      <c r="D134" s="501" t="s">
        <v>954</v>
      </c>
      <c r="E134" s="720">
        <v>4308.4792445406256</v>
      </c>
      <c r="F134" s="720">
        <v>21542.39622270313</v>
      </c>
      <c r="G134" s="461" t="s">
        <v>523</v>
      </c>
      <c r="I134" s="1087"/>
    </row>
    <row r="135" spans="1:9" ht="11.25" customHeight="1">
      <c r="A135" s="462" t="s">
        <v>116</v>
      </c>
      <c r="B135" s="501">
        <v>9966.8966399660458</v>
      </c>
      <c r="C135" s="737" t="s">
        <v>1149</v>
      </c>
      <c r="D135" s="501" t="s">
        <v>954</v>
      </c>
      <c r="E135" s="720">
        <v>9966.8966399660458</v>
      </c>
      <c r="F135" s="720">
        <v>49834.483199830225</v>
      </c>
      <c r="G135" s="461" t="s">
        <v>523</v>
      </c>
      <c r="I135" s="1087"/>
    </row>
    <row r="136" spans="1:9" ht="11.25" customHeight="1">
      <c r="A136" s="458" t="s">
        <v>476</v>
      </c>
      <c r="B136" s="501">
        <v>10.220000000000002</v>
      </c>
      <c r="C136" s="737" t="s">
        <v>1149</v>
      </c>
      <c r="D136" s="501" t="s">
        <v>954</v>
      </c>
      <c r="E136" s="720">
        <v>10.220000000000002</v>
      </c>
      <c r="F136" s="720">
        <v>10.220000000000002</v>
      </c>
      <c r="G136" s="461" t="s">
        <v>523</v>
      </c>
      <c r="I136" s="1087"/>
    </row>
    <row r="137" spans="1:9" ht="11.25" customHeight="1">
      <c r="A137" s="458" t="s">
        <v>366</v>
      </c>
      <c r="B137" s="501">
        <v>817.67394716981141</v>
      </c>
      <c r="C137" s="737" t="s">
        <v>1433</v>
      </c>
      <c r="D137" s="501" t="s">
        <v>954</v>
      </c>
      <c r="E137" s="720">
        <v>9081.053394317767</v>
      </c>
      <c r="F137" s="720">
        <v>45405.266971588833</v>
      </c>
      <c r="G137" s="461">
        <v>817.67394716981141</v>
      </c>
      <c r="I137" s="1087"/>
    </row>
    <row r="138" spans="1:9" ht="11.25" customHeight="1">
      <c r="A138" s="458" t="s">
        <v>20</v>
      </c>
      <c r="B138" s="501">
        <v>1.8277755821778376</v>
      </c>
      <c r="C138" s="737" t="s">
        <v>1413</v>
      </c>
      <c r="D138" s="501">
        <v>1.8277755821778376</v>
      </c>
      <c r="E138" s="720">
        <v>12.925437733621875</v>
      </c>
      <c r="F138" s="720">
        <v>64.627188668109369</v>
      </c>
      <c r="G138" s="461" t="s">
        <v>523</v>
      </c>
      <c r="I138" s="1087"/>
    </row>
    <row r="139" spans="1:9" ht="11.25" customHeight="1">
      <c r="A139" s="458" t="s">
        <v>57</v>
      </c>
      <c r="B139" s="501">
        <v>1211.2398232700045</v>
      </c>
      <c r="C139" s="737" t="s">
        <v>1149</v>
      </c>
      <c r="D139" s="501" t="s">
        <v>954</v>
      </c>
      <c r="E139" s="720">
        <v>1211.2398232700045</v>
      </c>
      <c r="F139" s="720">
        <v>1211.2398232700045</v>
      </c>
      <c r="G139" s="461">
        <v>2009.9075471698116</v>
      </c>
      <c r="I139" s="1087"/>
    </row>
    <row r="140" spans="1:9" ht="11.25" customHeight="1">
      <c r="A140" s="458" t="s">
        <v>56</v>
      </c>
      <c r="B140" s="501">
        <v>683.36856603773595</v>
      </c>
      <c r="C140" s="737" t="s">
        <v>1433</v>
      </c>
      <c r="D140" s="501" t="s">
        <v>954</v>
      </c>
      <c r="E140" s="720">
        <v>942.61909805462767</v>
      </c>
      <c r="F140" s="720">
        <v>942.61909805462767</v>
      </c>
      <c r="G140" s="461">
        <v>683.36856603773595</v>
      </c>
      <c r="I140" s="1087"/>
    </row>
    <row r="141" spans="1:9" ht="11.25" customHeight="1">
      <c r="A141" s="458" t="s">
        <v>777</v>
      </c>
      <c r="B141" s="501">
        <v>16351.635066330417</v>
      </c>
      <c r="C141" s="737" t="s">
        <v>1149</v>
      </c>
      <c r="D141" s="501" t="s">
        <v>954</v>
      </c>
      <c r="E141" s="720">
        <v>16351.635066330417</v>
      </c>
      <c r="F141" s="720">
        <v>16351.635066330417</v>
      </c>
      <c r="G141" s="461" t="s">
        <v>523</v>
      </c>
      <c r="I141" s="1087"/>
    </row>
    <row r="142" spans="1:9" ht="11.25" customHeight="1">
      <c r="A142" s="458" t="s">
        <v>814</v>
      </c>
      <c r="B142" s="501">
        <v>55.149507717279597</v>
      </c>
      <c r="C142" s="737" t="s">
        <v>1149</v>
      </c>
      <c r="D142" s="501">
        <v>98.675862068965529</v>
      </c>
      <c r="E142" s="720">
        <v>55.149507717279597</v>
      </c>
      <c r="F142" s="720">
        <v>275.74753858639798</v>
      </c>
      <c r="G142" s="461" t="s">
        <v>523</v>
      </c>
      <c r="I142" s="1087"/>
    </row>
    <row r="143" spans="1:9" ht="11.25" customHeight="1">
      <c r="A143" s="458" t="s">
        <v>815</v>
      </c>
      <c r="B143" s="501">
        <v>639.65388301886787</v>
      </c>
      <c r="C143" s="737" t="s">
        <v>1433</v>
      </c>
      <c r="D143" s="501" t="s">
        <v>954</v>
      </c>
      <c r="E143" s="720">
        <v>7699.6156362486026</v>
      </c>
      <c r="F143" s="720">
        <v>38498.078181243014</v>
      </c>
      <c r="G143" s="461">
        <v>639.65388301886787</v>
      </c>
      <c r="I143" s="1087"/>
    </row>
    <row r="144" spans="1:9" ht="11.25" customHeight="1">
      <c r="A144" s="458" t="s">
        <v>477</v>
      </c>
      <c r="B144" s="501">
        <v>1.3640981267695711</v>
      </c>
      <c r="C144" s="737" t="s">
        <v>1149</v>
      </c>
      <c r="D144" s="501">
        <v>5.3418327102567567</v>
      </c>
      <c r="E144" s="720">
        <v>1.3640981267695711</v>
      </c>
      <c r="F144" s="720">
        <v>6.8204906338478555</v>
      </c>
      <c r="G144" s="461">
        <v>2160.2214339622642</v>
      </c>
      <c r="I144" s="1087"/>
    </row>
    <row r="145" spans="1:9" ht="11.25" customHeight="1">
      <c r="A145" s="458" t="s">
        <v>478</v>
      </c>
      <c r="B145" s="501">
        <v>4.0393258422069787</v>
      </c>
      <c r="C145" s="737" t="s">
        <v>1149</v>
      </c>
      <c r="D145" s="501">
        <v>6.4372083446607737</v>
      </c>
      <c r="E145" s="720">
        <v>4.0393258422069787</v>
      </c>
      <c r="F145" s="720">
        <v>20.196629211034892</v>
      </c>
      <c r="G145" s="461">
        <v>691.10178616352209</v>
      </c>
      <c r="I145" s="1087"/>
    </row>
    <row r="146" spans="1:9" ht="11.25" customHeight="1">
      <c r="A146" s="458" t="s">
        <v>479</v>
      </c>
      <c r="B146" s="501">
        <v>14361.102852906015</v>
      </c>
      <c r="C146" s="737" t="s">
        <v>1149</v>
      </c>
      <c r="D146" s="501" t="s">
        <v>954</v>
      </c>
      <c r="E146" s="720">
        <v>14361.102852906015</v>
      </c>
      <c r="F146" s="720">
        <v>71805.51426453008</v>
      </c>
      <c r="G146" s="461" t="s">
        <v>523</v>
      </c>
      <c r="I146" s="1087"/>
    </row>
    <row r="147" spans="1:9" ht="11.25" customHeight="1">
      <c r="A147" s="458" t="s">
        <v>480</v>
      </c>
      <c r="B147" s="501">
        <v>143.61597481802085</v>
      </c>
      <c r="C147" s="737" t="s">
        <v>1149</v>
      </c>
      <c r="D147" s="501">
        <v>182.77775851511745</v>
      </c>
      <c r="E147" s="720">
        <v>143.61597481802085</v>
      </c>
      <c r="F147" s="720">
        <v>718.07987409010423</v>
      </c>
      <c r="G147" s="461" t="s">
        <v>523</v>
      </c>
      <c r="I147" s="1087"/>
    </row>
    <row r="148" spans="1:9" ht="11.25" customHeight="1">
      <c r="A148" s="462" t="s">
        <v>117</v>
      </c>
      <c r="B148" s="501">
        <v>1436.1597481802087</v>
      </c>
      <c r="C148" s="737" t="s">
        <v>1149</v>
      </c>
      <c r="D148" s="501" t="s">
        <v>954</v>
      </c>
      <c r="E148" s="720">
        <v>1436.1597481802087</v>
      </c>
      <c r="F148" s="720">
        <v>7180.7987409010439</v>
      </c>
      <c r="G148" s="461" t="s">
        <v>523</v>
      </c>
      <c r="I148" s="1087"/>
    </row>
    <row r="149" spans="1:9" ht="11.25" customHeight="1">
      <c r="A149" s="458" t="s">
        <v>118</v>
      </c>
      <c r="B149" s="501">
        <v>1148.9277985441668</v>
      </c>
      <c r="C149" s="737" t="s">
        <v>1149</v>
      </c>
      <c r="D149" s="501" t="s">
        <v>954</v>
      </c>
      <c r="E149" s="720">
        <v>1148.9277985441668</v>
      </c>
      <c r="F149" s="720">
        <v>5744.6389927208338</v>
      </c>
      <c r="G149" s="461" t="s">
        <v>523</v>
      </c>
      <c r="I149" s="1087"/>
    </row>
    <row r="150" spans="1:9" ht="11.25" customHeight="1">
      <c r="A150" s="458" t="s">
        <v>119</v>
      </c>
      <c r="B150" s="501">
        <v>9.5386666666666647E-2</v>
      </c>
      <c r="C150" s="737" t="s">
        <v>1413</v>
      </c>
      <c r="D150" s="501">
        <v>9.5386666666666647E-2</v>
      </c>
      <c r="E150" s="720">
        <v>4.4809718945681691</v>
      </c>
      <c r="F150" s="720">
        <v>22.404859472840847</v>
      </c>
      <c r="G150" s="461">
        <v>1395.5380503144659</v>
      </c>
      <c r="I150" s="1087"/>
    </row>
    <row r="151" spans="1:9" ht="11.25" customHeight="1">
      <c r="A151" s="458" t="s">
        <v>120</v>
      </c>
      <c r="B151" s="501">
        <v>0.66702070086018683</v>
      </c>
      <c r="C151" s="737" t="s">
        <v>1149</v>
      </c>
      <c r="D151" s="501" t="s">
        <v>954</v>
      </c>
      <c r="E151" s="720">
        <v>0.66702070086018683</v>
      </c>
      <c r="F151" s="720">
        <v>3.3351035043009341</v>
      </c>
      <c r="G151" s="461">
        <v>311.17425056603776</v>
      </c>
      <c r="I151" s="1087"/>
    </row>
    <row r="152" spans="1:9" ht="11.25" customHeight="1">
      <c r="A152" s="458" t="s">
        <v>602</v>
      </c>
      <c r="B152" s="501">
        <v>371.63636363636357</v>
      </c>
      <c r="C152" s="737" t="s">
        <v>1413</v>
      </c>
      <c r="D152" s="501">
        <v>371.63636363636357</v>
      </c>
      <c r="E152" s="720">
        <v>1532.9999999999998</v>
      </c>
      <c r="F152" s="720">
        <v>7664.9999999999991</v>
      </c>
      <c r="G152" s="461" t="s">
        <v>523</v>
      </c>
      <c r="I152" s="1087"/>
    </row>
    <row r="153" spans="1:9" ht="11.25" customHeight="1">
      <c r="A153" s="462" t="s">
        <v>939</v>
      </c>
      <c r="B153" s="501">
        <v>5675.5937252294389</v>
      </c>
      <c r="C153" s="737" t="s">
        <v>1149</v>
      </c>
      <c r="D153" s="501" t="s">
        <v>954</v>
      </c>
      <c r="E153" s="720">
        <v>5675.5937252294389</v>
      </c>
      <c r="F153" s="720">
        <v>28377.968626147194</v>
      </c>
      <c r="G153" s="461" t="s">
        <v>523</v>
      </c>
      <c r="I153" s="1087"/>
    </row>
    <row r="154" spans="1:9" ht="11.25" customHeight="1">
      <c r="A154" s="462" t="s">
        <v>603</v>
      </c>
      <c r="B154" s="501">
        <v>407.67845211751757</v>
      </c>
      <c r="C154" s="737" t="s">
        <v>1149</v>
      </c>
      <c r="D154" s="501" t="s">
        <v>954</v>
      </c>
      <c r="E154" s="720">
        <v>407.67845211751757</v>
      </c>
      <c r="F154" s="720">
        <v>2038.3922605875878</v>
      </c>
      <c r="G154" s="461" t="s">
        <v>523</v>
      </c>
      <c r="I154" s="1087"/>
    </row>
    <row r="155" spans="1:9" ht="11.25" customHeight="1">
      <c r="A155" s="462" t="s">
        <v>605</v>
      </c>
      <c r="B155" s="501">
        <v>84.008785576323277</v>
      </c>
      <c r="C155" s="737" t="s">
        <v>1413</v>
      </c>
      <c r="D155" s="501">
        <v>84.008785576323277</v>
      </c>
      <c r="E155" s="720">
        <v>90.009413117489245</v>
      </c>
      <c r="F155" s="720">
        <v>450.04706558744624</v>
      </c>
      <c r="G155" s="461" t="s">
        <v>523</v>
      </c>
      <c r="I155" s="1087"/>
    </row>
    <row r="156" spans="1:9" ht="11.25" customHeight="1">
      <c r="A156" s="458" t="s">
        <v>481</v>
      </c>
      <c r="B156" s="501">
        <v>640.24687347734277</v>
      </c>
      <c r="C156" s="737" t="s">
        <v>1432</v>
      </c>
      <c r="D156" s="501" t="s">
        <v>954</v>
      </c>
      <c r="E156" s="720">
        <v>1013.307411907655</v>
      </c>
      <c r="F156" s="720">
        <v>5066.5370595382756</v>
      </c>
      <c r="G156" s="461" t="s">
        <v>523</v>
      </c>
      <c r="I156" s="1087"/>
    </row>
    <row r="157" spans="1:9" ht="11.25" customHeight="1">
      <c r="A157" s="458" t="s">
        <v>482</v>
      </c>
      <c r="B157" s="501">
        <v>1.6699726892433027</v>
      </c>
      <c r="C157" s="737" t="s">
        <v>1413</v>
      </c>
      <c r="D157" s="501">
        <v>1.6699726892433027</v>
      </c>
      <c r="E157" s="720">
        <v>78.875478993601519</v>
      </c>
      <c r="F157" s="720">
        <v>394.37739496800759</v>
      </c>
      <c r="G157" s="461">
        <v>3859.8471446540889</v>
      </c>
      <c r="I157" s="1087"/>
    </row>
    <row r="158" spans="1:9" ht="11.25" customHeight="1">
      <c r="A158" s="458" t="s">
        <v>483</v>
      </c>
      <c r="B158" s="501">
        <v>259.54240000000004</v>
      </c>
      <c r="C158" s="737" t="s">
        <v>1433</v>
      </c>
      <c r="D158" s="501" t="s">
        <v>954</v>
      </c>
      <c r="E158" s="720">
        <v>544.30620420712307</v>
      </c>
      <c r="F158" s="720">
        <v>2721.5310210356156</v>
      </c>
      <c r="G158" s="461">
        <v>259.54240000000004</v>
      </c>
      <c r="I158" s="1087"/>
    </row>
    <row r="159" spans="1:9" ht="11.25" customHeight="1" thickBot="1">
      <c r="A159" s="516" t="s">
        <v>484</v>
      </c>
      <c r="B159" s="627">
        <v>61320</v>
      </c>
      <c r="C159" s="746" t="s">
        <v>1149</v>
      </c>
      <c r="D159" s="627" t="s">
        <v>954</v>
      </c>
      <c r="E159" s="722">
        <v>61320</v>
      </c>
      <c r="F159" s="722">
        <v>306600</v>
      </c>
      <c r="G159" s="469" t="s">
        <v>523</v>
      </c>
      <c r="I159" s="1087"/>
    </row>
    <row r="160" spans="1:9" ht="13.15" thickTop="1">
      <c r="A160" s="1090" t="s">
        <v>1341</v>
      </c>
      <c r="B160" s="475"/>
      <c r="C160" s="610"/>
      <c r="D160" s="22"/>
      <c r="E160" s="22"/>
      <c r="F160" s="606"/>
      <c r="G160" s="1091"/>
    </row>
    <row r="161" spans="1:8">
      <c r="A161" s="474" t="s">
        <v>488</v>
      </c>
      <c r="B161" s="724"/>
      <c r="C161" s="756"/>
      <c r="D161" s="22"/>
      <c r="E161" s="22"/>
      <c r="F161" s="475"/>
      <c r="G161" s="1091"/>
    </row>
    <row r="162" spans="1:8" ht="48" customHeight="1">
      <c r="A162" s="1386" t="s">
        <v>1337</v>
      </c>
      <c r="B162" s="1181"/>
      <c r="C162" s="1181"/>
      <c r="D162" s="1181"/>
      <c r="E162" s="1181"/>
      <c r="F162" s="1181"/>
      <c r="G162" s="1387"/>
      <c r="H162" s="517"/>
    </row>
    <row r="163" spans="1:8" ht="39" customHeight="1">
      <c r="A163" s="1386" t="s">
        <v>1338</v>
      </c>
      <c r="B163" s="1181"/>
      <c r="C163" s="1181"/>
      <c r="D163" s="1181"/>
      <c r="E163" s="1181"/>
      <c r="F163" s="1181"/>
      <c r="G163" s="1387"/>
      <c r="H163" s="517"/>
    </row>
    <row r="164" spans="1:8" ht="25.5" customHeight="1">
      <c r="A164" s="1386" t="s">
        <v>1034</v>
      </c>
      <c r="B164" s="1181"/>
      <c r="C164" s="1181"/>
      <c r="D164" s="1181"/>
      <c r="E164" s="1181"/>
      <c r="F164" s="1181"/>
      <c r="G164" s="1387"/>
    </row>
    <row r="165" spans="1:8" ht="14.25" customHeight="1">
      <c r="A165" s="1386" t="s">
        <v>1036</v>
      </c>
      <c r="B165" s="1181"/>
      <c r="C165" s="1181"/>
      <c r="D165" s="1181"/>
      <c r="E165" s="1181"/>
      <c r="F165" s="1181"/>
      <c r="G165" s="1387"/>
    </row>
    <row r="166" spans="1:8">
      <c r="A166" s="474"/>
      <c r="B166" s="724"/>
      <c r="C166" s="756"/>
      <c r="D166" s="22"/>
      <c r="E166" s="22"/>
      <c r="F166" s="475"/>
      <c r="G166" s="1091"/>
    </row>
    <row r="167" spans="1:8">
      <c r="A167" s="479" t="s">
        <v>545</v>
      </c>
      <c r="B167" s="481"/>
      <c r="C167" s="610"/>
      <c r="D167" s="22"/>
      <c r="E167" s="22"/>
      <c r="F167" s="22"/>
      <c r="G167" s="1091"/>
    </row>
    <row r="168" spans="1:8" ht="24.75" customHeight="1">
      <c r="A168" s="1388" t="s">
        <v>1073</v>
      </c>
      <c r="B168" s="1181"/>
      <c r="C168" s="1181"/>
      <c r="D168" s="1181"/>
      <c r="E168" s="1181"/>
      <c r="F168" s="1181"/>
      <c r="G168" s="1387"/>
    </row>
    <row r="169" spans="1:8">
      <c r="A169" s="4" t="s">
        <v>794</v>
      </c>
      <c r="B169" s="481"/>
      <c r="C169" s="610"/>
      <c r="D169" s="22"/>
      <c r="E169" s="22"/>
      <c r="F169" s="22"/>
      <c r="G169" s="1091"/>
    </row>
    <row r="170" spans="1:8" ht="12.75" customHeight="1">
      <c r="A170" s="479" t="s">
        <v>1072</v>
      </c>
      <c r="B170" s="481"/>
      <c r="C170" s="610"/>
      <c r="D170" s="22"/>
      <c r="E170" s="22"/>
      <c r="F170" s="22"/>
      <c r="G170" s="1091"/>
    </row>
    <row r="171" spans="1:8" ht="12.75" customHeight="1">
      <c r="A171" s="631" t="s">
        <v>1074</v>
      </c>
      <c r="B171" s="632"/>
      <c r="C171" s="632"/>
      <c r="D171" s="632"/>
      <c r="E171" s="632"/>
      <c r="F171" s="632"/>
      <c r="G171" s="1098"/>
    </row>
    <row r="172" spans="1:8" ht="12.75" customHeight="1">
      <c r="A172" s="4" t="s">
        <v>25</v>
      </c>
      <c r="B172" s="481"/>
      <c r="C172" s="610"/>
      <c r="D172" s="22"/>
      <c r="E172" s="22"/>
      <c r="F172" s="22"/>
      <c r="G172" s="1091"/>
    </row>
    <row r="173" spans="1:8" ht="13.15" thickBot="1">
      <c r="A173" s="5" t="s">
        <v>1055</v>
      </c>
      <c r="B173" s="634"/>
      <c r="C173" s="633"/>
      <c r="D173" s="633"/>
      <c r="E173" s="633"/>
      <c r="F173" s="633"/>
      <c r="G173" s="906"/>
    </row>
    <row r="174" spans="1:8" ht="13.15" thickTop="1"/>
  </sheetData>
  <sheetProtection algorithmName="SHA-512" hashValue="LtfrdoGTl/MubMrMcBInsV51lCvzM9qE3Ee7c2rm3ez+tauSNXrfUoffkASsXdGle3F7dIDHfRCuw6s7ZBmbLA==" saltValue="VEbl+bcli/8Ex1x1YR7djg==" spinCount="100000" sheet="1" objects="1" scenarios="1"/>
  <mergeCells count="5">
    <mergeCell ref="A163:G163"/>
    <mergeCell ref="A164:G164"/>
    <mergeCell ref="A162:G162"/>
    <mergeCell ref="A165:G165"/>
    <mergeCell ref="A168:G168"/>
  </mergeCells>
  <phoneticPr fontId="0" type="noConversion"/>
  <printOptions horizontalCentered="1"/>
  <pageMargins left="0.17" right="0.16" top="0.53" bottom="1" header="0.5" footer="0.5"/>
  <pageSetup scale="84" fitToHeight="4" orientation="landscape" r:id="rId1"/>
  <headerFooter alignWithMargins="0">
    <oddFooter>&amp;LHawai'i DOH
Spring 2024&amp;C&amp;8Page &amp;P of &amp;N&amp;R&amp;A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29"/>
    <pageSetUpPr fitToPage="1"/>
  </sheetPr>
  <dimension ref="A1:I249"/>
  <sheetViews>
    <sheetView showRuler="0" zoomScaleNormal="100" workbookViewId="0">
      <pane ySplit="1950" topLeftCell="A6" activePane="bottomLeft"/>
      <selection activeCell="B7" sqref="B7"/>
      <selection pane="bottomLeft" activeCell="B7" sqref="B7"/>
    </sheetView>
  </sheetViews>
  <sheetFormatPr defaultColWidth="9.1328125" defaultRowHeight="12.75"/>
  <cols>
    <col min="1" max="1" width="40.73046875" style="2" customWidth="1"/>
    <col min="2" max="2" width="13.73046875" style="2" customWidth="1"/>
    <col min="3" max="3" width="25.265625" style="2" customWidth="1"/>
    <col min="4" max="7" width="13.73046875" style="2" customWidth="1"/>
    <col min="8" max="16384" width="9.1328125" style="2"/>
  </cols>
  <sheetData>
    <row r="1" spans="1:9" ht="30">
      <c r="A1" s="6" t="s">
        <v>160</v>
      </c>
      <c r="B1" s="6"/>
      <c r="C1" s="596"/>
      <c r="D1" s="1068"/>
      <c r="E1" s="1068"/>
      <c r="F1" s="1068"/>
      <c r="G1" s="1068"/>
    </row>
    <row r="2" spans="1:9" ht="13.15" thickBot="1">
      <c r="A2" s="518"/>
      <c r="B2" s="518"/>
      <c r="C2" s="518"/>
      <c r="D2" s="22"/>
      <c r="E2" s="22"/>
      <c r="F2" s="22"/>
      <c r="G2" s="22"/>
    </row>
    <row r="3" spans="1:9" ht="13.15" thickTop="1">
      <c r="A3" s="617"/>
      <c r="B3" s="1099" t="s">
        <v>542</v>
      </c>
      <c r="C3" s="1092"/>
      <c r="D3" s="1100" t="s">
        <v>332</v>
      </c>
      <c r="E3" s="1072" t="s">
        <v>333</v>
      </c>
      <c r="F3" s="1073" t="s">
        <v>333</v>
      </c>
      <c r="G3" s="1093"/>
    </row>
    <row r="4" spans="1:9">
      <c r="A4" s="644"/>
      <c r="B4" s="1101" t="s">
        <v>159</v>
      </c>
      <c r="C4" s="1094"/>
      <c r="D4" s="1102" t="s">
        <v>51</v>
      </c>
      <c r="E4" s="1076" t="s">
        <v>1089</v>
      </c>
      <c r="F4" s="1077" t="s">
        <v>543</v>
      </c>
      <c r="G4" s="1095" t="s">
        <v>544</v>
      </c>
    </row>
    <row r="5" spans="1:9" ht="13.15" thickBot="1">
      <c r="A5" s="1079" t="s">
        <v>894</v>
      </c>
      <c r="B5" s="1103" t="s">
        <v>897</v>
      </c>
      <c r="C5" s="1096" t="s">
        <v>485</v>
      </c>
      <c r="D5" s="1104" t="s">
        <v>897</v>
      </c>
      <c r="E5" s="1083" t="s">
        <v>897</v>
      </c>
      <c r="F5" s="1084" t="s">
        <v>897</v>
      </c>
      <c r="G5" s="1097" t="s">
        <v>897</v>
      </c>
    </row>
    <row r="6" spans="1:9" ht="11.25" customHeight="1">
      <c r="A6" s="454" t="s">
        <v>548</v>
      </c>
      <c r="B6" s="497">
        <v>11360.585331056795</v>
      </c>
      <c r="C6" s="734" t="s">
        <v>1149</v>
      </c>
      <c r="D6" s="497" t="s">
        <v>954</v>
      </c>
      <c r="E6" s="718">
        <v>11360.585331056795</v>
      </c>
      <c r="F6" s="718">
        <v>56802.926655283969</v>
      </c>
      <c r="G6" s="457" t="s">
        <v>523</v>
      </c>
      <c r="I6" s="629"/>
    </row>
    <row r="7" spans="1:9" ht="11.25" customHeight="1">
      <c r="A7" s="458" t="s">
        <v>549</v>
      </c>
      <c r="B7" s="501">
        <v>4294.092101643877</v>
      </c>
      <c r="C7" s="737" t="s">
        <v>1149</v>
      </c>
      <c r="D7" s="501" t="s">
        <v>954</v>
      </c>
      <c r="E7" s="720">
        <v>4294.092101643877</v>
      </c>
      <c r="F7" s="720">
        <v>21470.460508219385</v>
      </c>
      <c r="G7" s="461" t="s">
        <v>523</v>
      </c>
      <c r="I7" s="629"/>
    </row>
    <row r="8" spans="1:9" ht="11.25" customHeight="1">
      <c r="A8" s="458" t="s">
        <v>550</v>
      </c>
      <c r="B8" s="501">
        <v>52383.430880935557</v>
      </c>
      <c r="C8" s="737" t="s">
        <v>1149</v>
      </c>
      <c r="D8" s="501" t="s">
        <v>954</v>
      </c>
      <c r="E8" s="720">
        <v>52383.430880935557</v>
      </c>
      <c r="F8" s="720">
        <v>261917.1544046778</v>
      </c>
      <c r="G8" s="461">
        <v>114665.0314465409</v>
      </c>
      <c r="I8" s="629"/>
    </row>
    <row r="9" spans="1:9" ht="11.25" customHeight="1">
      <c r="A9" s="458" t="s">
        <v>551</v>
      </c>
      <c r="B9" s="501">
        <v>110.60606060606061</v>
      </c>
      <c r="C9" s="737" t="s">
        <v>1149</v>
      </c>
      <c r="D9" s="501">
        <v>487.4409242773084</v>
      </c>
      <c r="E9" s="720">
        <v>110.60606060606061</v>
      </c>
      <c r="F9" s="720">
        <v>221.21212121212122</v>
      </c>
      <c r="G9" s="461" t="s">
        <v>523</v>
      </c>
      <c r="I9" s="629"/>
    </row>
    <row r="10" spans="1:9" ht="11.25" customHeight="1">
      <c r="A10" s="458" t="s">
        <v>161</v>
      </c>
      <c r="B10" s="501">
        <v>2607.1428571428569</v>
      </c>
      <c r="C10" s="737" t="s">
        <v>1149</v>
      </c>
      <c r="D10" s="501" t="s">
        <v>954</v>
      </c>
      <c r="E10" s="720">
        <v>2607.1428571428569</v>
      </c>
      <c r="F10" s="720">
        <v>13035.714285714284</v>
      </c>
      <c r="G10" s="461" t="s">
        <v>523</v>
      </c>
      <c r="I10" s="629"/>
    </row>
    <row r="11" spans="1:9" ht="11.25" customHeight="1">
      <c r="A11" s="462" t="s">
        <v>162</v>
      </c>
      <c r="B11" s="501">
        <v>42.88567735871225</v>
      </c>
      <c r="C11" s="737" t="s">
        <v>1149</v>
      </c>
      <c r="D11" s="501" t="s">
        <v>954</v>
      </c>
      <c r="E11" s="720">
        <v>42.88567735871225</v>
      </c>
      <c r="F11" s="720">
        <v>214.42838679356126</v>
      </c>
      <c r="G11" s="461" t="s">
        <v>523</v>
      </c>
      <c r="I11" s="629"/>
    </row>
    <row r="12" spans="1:9" ht="11.25" customHeight="1">
      <c r="A12" s="462" t="s">
        <v>94</v>
      </c>
      <c r="B12" s="501">
        <v>42.238037377770063</v>
      </c>
      <c r="C12" s="737" t="s">
        <v>1149</v>
      </c>
      <c r="D12" s="501" t="s">
        <v>954</v>
      </c>
      <c r="E12" s="720">
        <v>42.238037377770063</v>
      </c>
      <c r="F12" s="720">
        <v>211.19018688885032</v>
      </c>
      <c r="G12" s="461" t="s">
        <v>523</v>
      </c>
      <c r="I12" s="629"/>
    </row>
    <row r="13" spans="1:9" ht="11.25" customHeight="1">
      <c r="A13" s="458" t="s">
        <v>552</v>
      </c>
      <c r="B13" s="501">
        <v>71246.167863479583</v>
      </c>
      <c r="C13" s="737" t="s">
        <v>1149</v>
      </c>
      <c r="D13" s="501" t="s">
        <v>954</v>
      </c>
      <c r="E13" s="720">
        <v>71246.167863479583</v>
      </c>
      <c r="F13" s="720">
        <v>356230.83931739791</v>
      </c>
      <c r="G13" s="461" t="s">
        <v>523</v>
      </c>
      <c r="I13" s="629"/>
    </row>
    <row r="14" spans="1:9" ht="11.25" customHeight="1">
      <c r="A14" s="458" t="s">
        <v>553</v>
      </c>
      <c r="B14" s="501">
        <v>166.09550561797752</v>
      </c>
      <c r="C14" s="737" t="s">
        <v>1149</v>
      </c>
      <c r="D14" s="501" t="s">
        <v>954</v>
      </c>
      <c r="E14" s="720">
        <v>166.09550561797752</v>
      </c>
      <c r="F14" s="720">
        <v>830.47752808988764</v>
      </c>
      <c r="G14" s="461" t="s">
        <v>523</v>
      </c>
      <c r="I14" s="629"/>
    </row>
    <row r="15" spans="1:9" ht="11.25" customHeight="1">
      <c r="A15" s="458" t="s">
        <v>686</v>
      </c>
      <c r="B15" s="501">
        <v>113.53457735587133</v>
      </c>
      <c r="C15" s="737" t="s">
        <v>1413</v>
      </c>
      <c r="D15" s="501">
        <v>113.53457735587133</v>
      </c>
      <c r="E15" s="720">
        <v>310.07792589174278</v>
      </c>
      <c r="F15" s="720">
        <v>310.07792589174278</v>
      </c>
      <c r="G15" s="461" t="s">
        <v>523</v>
      </c>
      <c r="I15" s="629"/>
    </row>
    <row r="16" spans="1:9" ht="11.25" customHeight="1">
      <c r="A16" s="458" t="s">
        <v>95</v>
      </c>
      <c r="B16" s="501">
        <v>629.74465148378192</v>
      </c>
      <c r="C16" s="737" t="s">
        <v>1413</v>
      </c>
      <c r="D16" s="501">
        <v>629.74465148378192</v>
      </c>
      <c r="E16" s="720">
        <v>869.04761904761915</v>
      </c>
      <c r="F16" s="720">
        <v>4345.2380952380954</v>
      </c>
      <c r="G16" s="461" t="s">
        <v>523</v>
      </c>
      <c r="I16" s="629"/>
    </row>
    <row r="17" spans="1:9" ht="11.25" customHeight="1">
      <c r="A17" s="458" t="s">
        <v>687</v>
      </c>
      <c r="B17" s="501">
        <v>4286.8794519058247</v>
      </c>
      <c r="C17" s="737" t="s">
        <v>1149</v>
      </c>
      <c r="D17" s="501" t="s">
        <v>954</v>
      </c>
      <c r="E17" s="720">
        <v>4286.8794519058247</v>
      </c>
      <c r="F17" s="720">
        <v>21434.397259529123</v>
      </c>
      <c r="G17" s="461" t="s">
        <v>523</v>
      </c>
      <c r="I17" s="629"/>
    </row>
    <row r="18" spans="1:9" ht="11.25" customHeight="1">
      <c r="A18" s="458" t="s">
        <v>1156</v>
      </c>
      <c r="B18" s="501">
        <v>14484.126984126984</v>
      </c>
      <c r="C18" s="737" t="s">
        <v>1149</v>
      </c>
      <c r="D18" s="501" t="s">
        <v>954</v>
      </c>
      <c r="E18" s="720">
        <v>14484.126984126984</v>
      </c>
      <c r="F18" s="720">
        <v>72420.634920634926</v>
      </c>
      <c r="G18" s="461" t="s">
        <v>523</v>
      </c>
      <c r="I18" s="629"/>
    </row>
    <row r="19" spans="1:9" ht="11.25" customHeight="1">
      <c r="A19" s="458" t="s">
        <v>688</v>
      </c>
      <c r="B19" s="501">
        <v>29.748799411133685</v>
      </c>
      <c r="C19" s="737" t="s">
        <v>1413</v>
      </c>
      <c r="D19" s="501">
        <v>29.748799411133685</v>
      </c>
      <c r="E19" s="720">
        <v>138.57214562988884</v>
      </c>
      <c r="F19" s="720">
        <v>692.86072814944418</v>
      </c>
      <c r="G19" s="461">
        <v>1867.9381761006287</v>
      </c>
      <c r="I19" s="629"/>
    </row>
    <row r="20" spans="1:9" ht="11.25" customHeight="1">
      <c r="A20" s="458" t="s">
        <v>689</v>
      </c>
      <c r="B20" s="501">
        <v>1258.7721712525445</v>
      </c>
      <c r="C20" s="737" t="s">
        <v>1413</v>
      </c>
      <c r="D20" s="501">
        <v>1258.7721712525445</v>
      </c>
      <c r="E20" s="720" t="s">
        <v>954</v>
      </c>
      <c r="F20" s="720" t="s">
        <v>954</v>
      </c>
      <c r="G20" s="461" t="s">
        <v>523</v>
      </c>
      <c r="I20" s="629"/>
    </row>
    <row r="21" spans="1:9" ht="11.25" customHeight="1">
      <c r="A21" s="458" t="s">
        <v>690</v>
      </c>
      <c r="B21" s="501">
        <v>14.664742120770216</v>
      </c>
      <c r="C21" s="737" t="s">
        <v>1149</v>
      </c>
      <c r="D21" s="501">
        <v>644.96495395912291</v>
      </c>
      <c r="E21" s="720">
        <v>14.664742120770216</v>
      </c>
      <c r="F21" s="720">
        <v>73.323710603851083</v>
      </c>
      <c r="G21" s="461" t="s">
        <v>523</v>
      </c>
      <c r="I21" s="629"/>
    </row>
    <row r="22" spans="1:9" ht="11.25" customHeight="1">
      <c r="A22" s="458" t="s">
        <v>691</v>
      </c>
      <c r="B22" s="501">
        <v>1289.9299079182458</v>
      </c>
      <c r="C22" s="737" t="s">
        <v>1413</v>
      </c>
      <c r="D22" s="501">
        <v>1289.9299079182458</v>
      </c>
      <c r="E22" s="720" t="s">
        <v>954</v>
      </c>
      <c r="F22" s="720" t="s">
        <v>954</v>
      </c>
      <c r="G22" s="461" t="s">
        <v>523</v>
      </c>
      <c r="I22" s="629"/>
    </row>
    <row r="23" spans="1:9" ht="11.25" customHeight="1">
      <c r="A23" s="458" t="s">
        <v>692</v>
      </c>
      <c r="B23" s="501">
        <v>10499.820208558074</v>
      </c>
      <c r="C23" s="737" t="s">
        <v>1149</v>
      </c>
      <c r="D23" s="501" t="s">
        <v>954</v>
      </c>
      <c r="E23" s="720">
        <v>10499.820208558074</v>
      </c>
      <c r="F23" s="720">
        <v>52499.101042790368</v>
      </c>
      <c r="G23" s="461" t="s">
        <v>523</v>
      </c>
      <c r="I23" s="629"/>
    </row>
    <row r="24" spans="1:9" ht="11.25" customHeight="1">
      <c r="A24" s="458" t="s">
        <v>693</v>
      </c>
      <c r="B24" s="501">
        <v>12899.29907918246</v>
      </c>
      <c r="C24" s="737" t="s">
        <v>1413</v>
      </c>
      <c r="D24" s="501">
        <v>12899.29907918246</v>
      </c>
      <c r="E24" s="720" t="s">
        <v>954</v>
      </c>
      <c r="F24" s="720" t="s">
        <v>954</v>
      </c>
      <c r="G24" s="461" t="s">
        <v>523</v>
      </c>
      <c r="I24" s="629"/>
    </row>
    <row r="25" spans="1:9" ht="11.25" customHeight="1">
      <c r="A25" s="458" t="s">
        <v>126</v>
      </c>
      <c r="B25" s="501">
        <v>149.71515381693888</v>
      </c>
      <c r="C25" s="737" t="s">
        <v>1149</v>
      </c>
      <c r="D25" s="501">
        <v>1877.142857142858</v>
      </c>
      <c r="E25" s="720">
        <v>149.71515381693888</v>
      </c>
      <c r="F25" s="720">
        <v>748.57576908469446</v>
      </c>
      <c r="G25" s="461" t="s">
        <v>523</v>
      </c>
      <c r="I25" s="629"/>
    </row>
    <row r="26" spans="1:9" ht="11.25" customHeight="1">
      <c r="A26" s="458" t="s">
        <v>233</v>
      </c>
      <c r="B26" s="501">
        <v>62.341900084141507</v>
      </c>
      <c r="C26" s="737" t="s">
        <v>1149</v>
      </c>
      <c r="D26" s="501">
        <v>2765.151515151515</v>
      </c>
      <c r="E26" s="720">
        <v>62.341900084141507</v>
      </c>
      <c r="F26" s="720">
        <v>311.70950042070751</v>
      </c>
      <c r="G26" s="461" t="s">
        <v>523</v>
      </c>
      <c r="I26" s="629"/>
    </row>
    <row r="27" spans="1:9" ht="11.25" customHeight="1">
      <c r="A27" s="458" t="s">
        <v>127</v>
      </c>
      <c r="B27" s="501">
        <v>6.2170810285811244</v>
      </c>
      <c r="C27" s="737" t="s">
        <v>1413</v>
      </c>
      <c r="D27" s="501">
        <v>6.2170810285811244</v>
      </c>
      <c r="E27" s="720" t="s">
        <v>954</v>
      </c>
      <c r="F27" s="720" t="s">
        <v>954</v>
      </c>
      <c r="G27" s="461">
        <v>5046.3512704402519</v>
      </c>
      <c r="I27" s="629"/>
    </row>
    <row r="28" spans="1:9" ht="11.25" customHeight="1">
      <c r="A28" s="503" t="s">
        <v>1103</v>
      </c>
      <c r="B28" s="501">
        <v>97.277251116621855</v>
      </c>
      <c r="C28" s="737" t="s">
        <v>1413</v>
      </c>
      <c r="D28" s="501">
        <v>97.277251116621855</v>
      </c>
      <c r="E28" s="720">
        <v>3219.2404006842758</v>
      </c>
      <c r="F28" s="720">
        <v>16096.202003421378</v>
      </c>
      <c r="G28" s="461">
        <v>793.69004465408796</v>
      </c>
      <c r="I28" s="629"/>
    </row>
    <row r="29" spans="1:9" ht="11.25" customHeight="1">
      <c r="A29" s="458" t="s">
        <v>128</v>
      </c>
      <c r="B29" s="501">
        <v>5793.6507936507942</v>
      </c>
      <c r="C29" s="737" t="s">
        <v>1149</v>
      </c>
      <c r="D29" s="501">
        <v>10289.097002537041</v>
      </c>
      <c r="E29" s="720">
        <v>5793.6507936507942</v>
      </c>
      <c r="F29" s="720">
        <v>28968.253968253972</v>
      </c>
      <c r="G29" s="461" t="s">
        <v>523</v>
      </c>
      <c r="I29" s="629"/>
    </row>
    <row r="30" spans="1:9" ht="11.25" customHeight="1">
      <c r="A30" s="458" t="s">
        <v>129</v>
      </c>
      <c r="B30" s="501">
        <v>59345.126082047413</v>
      </c>
      <c r="C30" s="737" t="s">
        <v>1149</v>
      </c>
      <c r="D30" s="501" t="s">
        <v>954</v>
      </c>
      <c r="E30" s="720">
        <v>59345.126082047413</v>
      </c>
      <c r="F30" s="720">
        <v>296725.63041023706</v>
      </c>
      <c r="G30" s="461" t="s">
        <v>523</v>
      </c>
      <c r="I30" s="629"/>
    </row>
    <row r="31" spans="1:9" ht="11.25" customHeight="1">
      <c r="A31" s="458" t="s">
        <v>130</v>
      </c>
      <c r="B31" s="501">
        <v>7.4175039813146251</v>
      </c>
      <c r="C31" s="737" t="s">
        <v>1413</v>
      </c>
      <c r="D31" s="501">
        <v>7.4175039813146251</v>
      </c>
      <c r="E31" s="720">
        <v>150.28910676486319</v>
      </c>
      <c r="F31" s="720">
        <v>751.44553382431593</v>
      </c>
      <c r="G31" s="461">
        <v>932.0059079245284</v>
      </c>
      <c r="I31" s="629"/>
    </row>
    <row r="32" spans="1:9" ht="11.25" customHeight="1">
      <c r="A32" s="458" t="s">
        <v>131</v>
      </c>
      <c r="B32" s="501">
        <v>5064.2653335373434</v>
      </c>
      <c r="C32" s="737" t="s">
        <v>1413</v>
      </c>
      <c r="D32" s="501">
        <v>5064.2653335373434</v>
      </c>
      <c r="E32" s="720">
        <v>8848.4848484848499</v>
      </c>
      <c r="F32" s="720">
        <v>44242.424242424247</v>
      </c>
      <c r="G32" s="461" t="s">
        <v>523</v>
      </c>
      <c r="I32" s="629"/>
    </row>
    <row r="33" spans="1:9" ht="11.25" customHeight="1">
      <c r="A33" s="458" t="s">
        <v>132</v>
      </c>
      <c r="B33" s="501">
        <v>9.748183253940681</v>
      </c>
      <c r="C33" s="737" t="s">
        <v>1149</v>
      </c>
      <c r="D33" s="501" t="s">
        <v>954</v>
      </c>
      <c r="E33" s="720">
        <v>9.748183253940681</v>
      </c>
      <c r="F33" s="720">
        <v>48.740916269703405</v>
      </c>
      <c r="G33" s="461">
        <v>3588.9092830188679</v>
      </c>
      <c r="I33" s="629"/>
    </row>
    <row r="34" spans="1:9" ht="11.25" customHeight="1">
      <c r="A34" s="458" t="s">
        <v>133</v>
      </c>
      <c r="B34" s="501">
        <v>27.712554307326748</v>
      </c>
      <c r="C34" s="737" t="s">
        <v>1149</v>
      </c>
      <c r="D34" s="501">
        <v>2502.8571428571431</v>
      </c>
      <c r="E34" s="720">
        <v>27.712554307326748</v>
      </c>
      <c r="F34" s="720">
        <v>138.56277153663373</v>
      </c>
      <c r="G34" s="461" t="s">
        <v>523</v>
      </c>
      <c r="I34" s="629"/>
    </row>
    <row r="35" spans="1:9" ht="11.25" customHeight="1">
      <c r="A35" s="458" t="s">
        <v>134</v>
      </c>
      <c r="B35" s="501">
        <v>16.819562949818991</v>
      </c>
      <c r="C35" s="737" t="s">
        <v>1413</v>
      </c>
      <c r="D35" s="501">
        <v>16.819562949818991</v>
      </c>
      <c r="E35" s="720">
        <v>190.26172225012499</v>
      </c>
      <c r="F35" s="720">
        <v>951.30861125062495</v>
      </c>
      <c r="G35" s="461">
        <v>453.26214201257858</v>
      </c>
      <c r="I35" s="629"/>
    </row>
    <row r="36" spans="1:9" ht="11.25" customHeight="1">
      <c r="A36" s="458" t="s">
        <v>614</v>
      </c>
      <c r="B36" s="501">
        <v>492.62524179752313</v>
      </c>
      <c r="C36" s="737" t="s">
        <v>1413</v>
      </c>
      <c r="D36" s="501">
        <v>492.62524179752313</v>
      </c>
      <c r="E36" s="720">
        <v>795.08736305414629</v>
      </c>
      <c r="F36" s="720">
        <v>795.08736305414629</v>
      </c>
      <c r="G36" s="461" t="s">
        <v>523</v>
      </c>
      <c r="I36" s="629"/>
    </row>
    <row r="37" spans="1:9" ht="11.25" customHeight="1">
      <c r="A37" s="458" t="s">
        <v>135</v>
      </c>
      <c r="B37" s="501">
        <v>144.84126984126985</v>
      </c>
      <c r="C37" s="737" t="s">
        <v>1149</v>
      </c>
      <c r="D37" s="501">
        <v>724.2063492063495</v>
      </c>
      <c r="E37" s="720">
        <v>144.84126984126985</v>
      </c>
      <c r="F37" s="720">
        <v>724.20634920634927</v>
      </c>
      <c r="G37" s="461" t="s">
        <v>523</v>
      </c>
      <c r="I37" s="629"/>
    </row>
    <row r="38" spans="1:9" ht="11.25" customHeight="1">
      <c r="A38" s="458" t="s">
        <v>136</v>
      </c>
      <c r="B38" s="501">
        <v>428.85387633067336</v>
      </c>
      <c r="C38" s="737" t="s">
        <v>1149</v>
      </c>
      <c r="D38" s="501" t="s">
        <v>954</v>
      </c>
      <c r="E38" s="720">
        <v>428.85387633067336</v>
      </c>
      <c r="F38" s="720">
        <v>2144.269381653367</v>
      </c>
      <c r="G38" s="461">
        <v>760.94901132075483</v>
      </c>
      <c r="I38" s="629"/>
    </row>
    <row r="39" spans="1:9" ht="11.25" customHeight="1">
      <c r="A39" s="458" t="s">
        <v>781</v>
      </c>
      <c r="B39" s="501">
        <v>2117.4658377358492</v>
      </c>
      <c r="C39" s="737" t="s">
        <v>1433</v>
      </c>
      <c r="D39" s="501" t="s">
        <v>954</v>
      </c>
      <c r="E39" s="720">
        <v>7479.1906289829822</v>
      </c>
      <c r="F39" s="720">
        <v>37395.953144914907</v>
      </c>
      <c r="G39" s="461">
        <v>2117.4658377358492</v>
      </c>
      <c r="I39" s="629"/>
    </row>
    <row r="40" spans="1:9" ht="11.25" customHeight="1">
      <c r="A40" s="464" t="s">
        <v>137</v>
      </c>
      <c r="B40" s="501">
        <v>7.9785849368819601</v>
      </c>
      <c r="C40" s="737" t="s">
        <v>1413</v>
      </c>
      <c r="D40" s="501">
        <v>7.9785849368819601</v>
      </c>
      <c r="E40" s="720">
        <v>336.10825520750126</v>
      </c>
      <c r="F40" s="720">
        <v>1680.5412760375063</v>
      </c>
      <c r="G40" s="461">
        <v>2538.5640000000003</v>
      </c>
      <c r="I40" s="629"/>
    </row>
    <row r="41" spans="1:9" ht="11.25" customHeight="1">
      <c r="A41" s="458" t="s">
        <v>782</v>
      </c>
      <c r="B41" s="501">
        <v>152.09812095779066</v>
      </c>
      <c r="C41" s="737" t="s">
        <v>1149</v>
      </c>
      <c r="D41" s="501" t="s">
        <v>954</v>
      </c>
      <c r="E41" s="720">
        <v>152.09812095779066</v>
      </c>
      <c r="F41" s="720">
        <v>760.49060478895331</v>
      </c>
      <c r="G41" s="461">
        <v>1316.5454188679244</v>
      </c>
      <c r="I41" s="629"/>
    </row>
    <row r="42" spans="1:9" ht="11.25" customHeight="1">
      <c r="A42" s="458" t="s">
        <v>138</v>
      </c>
      <c r="B42" s="501">
        <v>1333.7078058307009</v>
      </c>
      <c r="C42" s="737" t="s">
        <v>1149</v>
      </c>
      <c r="D42" s="501" t="s">
        <v>954</v>
      </c>
      <c r="E42" s="720">
        <v>1333.7078058307009</v>
      </c>
      <c r="F42" s="720">
        <v>6668.5390291535041</v>
      </c>
      <c r="G42" s="461">
        <v>27437.384023899369</v>
      </c>
      <c r="I42" s="629"/>
    </row>
    <row r="43" spans="1:9" ht="11.25" customHeight="1">
      <c r="A43" s="458" t="s">
        <v>612</v>
      </c>
      <c r="B43" s="501"/>
      <c r="C43" s="1088" t="s">
        <v>50</v>
      </c>
      <c r="D43" s="501"/>
      <c r="E43" s="720"/>
      <c r="F43" s="720"/>
      <c r="G43" s="461"/>
      <c r="I43" s="629"/>
    </row>
    <row r="44" spans="1:9" ht="11.25" customHeight="1">
      <c r="A44" s="458" t="s">
        <v>779</v>
      </c>
      <c r="B44" s="501">
        <v>0</v>
      </c>
      <c r="C44" s="737" t="s">
        <v>1149</v>
      </c>
      <c r="D44" s="501" t="s">
        <v>954</v>
      </c>
      <c r="E44" s="720" t="s">
        <v>954</v>
      </c>
      <c r="F44" s="720" t="s">
        <v>954</v>
      </c>
      <c r="G44" s="461" t="s">
        <v>523</v>
      </c>
      <c r="I44" s="629"/>
    </row>
    <row r="45" spans="1:9" ht="11.25" customHeight="1">
      <c r="A45" s="458" t="s">
        <v>780</v>
      </c>
      <c r="B45" s="501">
        <v>478.34000728066997</v>
      </c>
      <c r="C45" s="737" t="s">
        <v>1413</v>
      </c>
      <c r="D45" s="501">
        <v>478.34000728066997</v>
      </c>
      <c r="E45" s="720">
        <v>536.69162695711373</v>
      </c>
      <c r="F45" s="720">
        <v>2683.4581347855687</v>
      </c>
      <c r="G45" s="461" t="s">
        <v>523</v>
      </c>
      <c r="I45" s="629"/>
    </row>
    <row r="46" spans="1:9" ht="11.25" customHeight="1">
      <c r="A46" s="458" t="s">
        <v>139</v>
      </c>
      <c r="B46" s="501">
        <v>128992.99079182457</v>
      </c>
      <c r="C46" s="737" t="s">
        <v>1413</v>
      </c>
      <c r="D46" s="501">
        <v>128992.99079182457</v>
      </c>
      <c r="E46" s="720" t="s">
        <v>954</v>
      </c>
      <c r="F46" s="720" t="s">
        <v>954</v>
      </c>
      <c r="G46" s="461" t="s">
        <v>523</v>
      </c>
      <c r="I46" s="629"/>
    </row>
    <row r="47" spans="1:9" ht="11.25" customHeight="1">
      <c r="A47" s="458" t="s">
        <v>140</v>
      </c>
      <c r="B47" s="501">
        <v>38.414812408640572</v>
      </c>
      <c r="C47" s="737" t="s">
        <v>1149</v>
      </c>
      <c r="D47" s="501">
        <v>500.57142857142873</v>
      </c>
      <c r="E47" s="720">
        <v>38.414812408640572</v>
      </c>
      <c r="F47" s="720">
        <v>192.07406204320284</v>
      </c>
      <c r="G47" s="461" t="s">
        <v>523</v>
      </c>
      <c r="I47" s="629"/>
    </row>
    <row r="48" spans="1:9" ht="11.25" customHeight="1">
      <c r="A48" s="458" t="s">
        <v>141</v>
      </c>
      <c r="B48" s="501">
        <v>17696.9696969697</v>
      </c>
      <c r="C48" s="737" t="s">
        <v>1149</v>
      </c>
      <c r="D48" s="501" t="s">
        <v>954</v>
      </c>
      <c r="E48" s="720">
        <v>17696.9696969697</v>
      </c>
      <c r="F48" s="720">
        <v>88484.848484848495</v>
      </c>
      <c r="G48" s="461" t="s">
        <v>523</v>
      </c>
      <c r="I48" s="629"/>
    </row>
    <row r="49" spans="1:9" ht="11.25" customHeight="1">
      <c r="A49" s="458" t="s">
        <v>142</v>
      </c>
      <c r="B49" s="501">
        <v>48.648488468513875</v>
      </c>
      <c r="C49" s="737" t="s">
        <v>1149</v>
      </c>
      <c r="D49" s="501" t="s">
        <v>954</v>
      </c>
      <c r="E49" s="720">
        <v>48.648488468513875</v>
      </c>
      <c r="F49" s="720">
        <v>243.24244234256938</v>
      </c>
      <c r="G49" s="461" t="s">
        <v>523</v>
      </c>
      <c r="I49" s="629"/>
    </row>
    <row r="50" spans="1:9" ht="11.25" customHeight="1">
      <c r="A50" s="462" t="s">
        <v>96</v>
      </c>
      <c r="B50" s="501">
        <v>1639.9887672002246</v>
      </c>
      <c r="C50" s="737" t="s">
        <v>1149</v>
      </c>
      <c r="D50" s="501">
        <v>2562.4824487503511</v>
      </c>
      <c r="E50" s="720">
        <v>1639.9887672002246</v>
      </c>
      <c r="F50" s="720">
        <v>8199.9438360011227</v>
      </c>
      <c r="G50" s="461" t="s">
        <v>523</v>
      </c>
      <c r="I50" s="629"/>
    </row>
    <row r="51" spans="1:9" ht="11.25" customHeight="1">
      <c r="A51" s="458" t="s">
        <v>97</v>
      </c>
      <c r="B51" s="501">
        <v>8690.4761904761908</v>
      </c>
      <c r="C51" s="737" t="s">
        <v>1149</v>
      </c>
      <c r="D51" s="501" t="s">
        <v>954</v>
      </c>
      <c r="E51" s="720">
        <v>8690.4761904761908</v>
      </c>
      <c r="F51" s="720">
        <v>43452.380952380954</v>
      </c>
      <c r="G51" s="461" t="s">
        <v>523</v>
      </c>
      <c r="I51" s="629"/>
    </row>
    <row r="52" spans="1:9" ht="11.25" customHeight="1">
      <c r="A52" s="458" t="s">
        <v>143</v>
      </c>
      <c r="B52" s="501">
        <v>128.99299079182461</v>
      </c>
      <c r="C52" s="737" t="s">
        <v>1413</v>
      </c>
      <c r="D52" s="501">
        <v>128.99299079182461</v>
      </c>
      <c r="E52" s="720" t="s">
        <v>954</v>
      </c>
      <c r="F52" s="720" t="s">
        <v>954</v>
      </c>
      <c r="G52" s="461" t="s">
        <v>523</v>
      </c>
      <c r="I52" s="629"/>
    </row>
    <row r="53" spans="1:9" ht="11.25" customHeight="1">
      <c r="A53" s="458" t="s">
        <v>381</v>
      </c>
      <c r="B53" s="501">
        <v>0.37095077774838142</v>
      </c>
      <c r="C53" s="737" t="s">
        <v>1413</v>
      </c>
      <c r="D53" s="501">
        <v>0.37095077774838142</v>
      </c>
      <c r="E53" s="720">
        <v>8.1887676250890848</v>
      </c>
      <c r="F53" s="720">
        <v>40.943838125445424</v>
      </c>
      <c r="G53" s="461">
        <v>979.0010943396228</v>
      </c>
      <c r="I53" s="629"/>
    </row>
    <row r="54" spans="1:9" ht="11.25" customHeight="1">
      <c r="A54" s="458" t="s">
        <v>144</v>
      </c>
      <c r="B54" s="501">
        <v>263.3477633477633</v>
      </c>
      <c r="C54" s="737" t="s">
        <v>1413</v>
      </c>
      <c r="D54" s="501">
        <v>263.3477633477633</v>
      </c>
      <c r="E54" s="720">
        <v>718.12083800449602</v>
      </c>
      <c r="F54" s="720">
        <v>3590.60419002248</v>
      </c>
      <c r="G54" s="461" t="s">
        <v>523</v>
      </c>
      <c r="I54" s="629"/>
    </row>
    <row r="55" spans="1:9" ht="11.25" customHeight="1">
      <c r="A55" s="458" t="s">
        <v>487</v>
      </c>
      <c r="B55" s="501">
        <v>0.92488288194626689</v>
      </c>
      <c r="C55" s="737" t="s">
        <v>1413</v>
      </c>
      <c r="D55" s="501">
        <v>0.92488288194626689</v>
      </c>
      <c r="E55" s="720">
        <v>106.09763676865933</v>
      </c>
      <c r="F55" s="720">
        <v>530.48818384329661</v>
      </c>
      <c r="G55" s="461" t="s">
        <v>523</v>
      </c>
      <c r="I55" s="629"/>
    </row>
    <row r="56" spans="1:9" ht="11.25" customHeight="1">
      <c r="A56" s="458" t="s">
        <v>145</v>
      </c>
      <c r="B56" s="501">
        <v>376.29790188679249</v>
      </c>
      <c r="C56" s="737" t="s">
        <v>1433</v>
      </c>
      <c r="D56" s="501" t="s">
        <v>954</v>
      </c>
      <c r="E56" s="720">
        <v>3058.3260633670916</v>
      </c>
      <c r="F56" s="720">
        <v>15291.630316835457</v>
      </c>
      <c r="G56" s="461">
        <v>376.29790188679249</v>
      </c>
      <c r="I56" s="629"/>
    </row>
    <row r="57" spans="1:9" ht="11.25" customHeight="1">
      <c r="A57" s="458" t="s">
        <v>225</v>
      </c>
      <c r="B57" s="501">
        <v>595.41254867924533</v>
      </c>
      <c r="C57" s="737" t="s">
        <v>1433</v>
      </c>
      <c r="D57" s="501" t="s">
        <v>954</v>
      </c>
      <c r="E57" s="720">
        <v>1926.3628280923981</v>
      </c>
      <c r="F57" s="720">
        <v>9631.814140461991</v>
      </c>
      <c r="G57" s="461">
        <v>595.41254867924533</v>
      </c>
      <c r="I57" s="629"/>
    </row>
    <row r="58" spans="1:9" ht="11.25" customHeight="1">
      <c r="A58" s="458" t="s">
        <v>226</v>
      </c>
      <c r="B58" s="501">
        <v>65.791624935069109</v>
      </c>
      <c r="C58" s="737" t="s">
        <v>1413</v>
      </c>
      <c r="D58" s="501">
        <v>65.791624935069109</v>
      </c>
      <c r="E58" s="720">
        <v>8527.8060903321875</v>
      </c>
      <c r="F58" s="720">
        <v>42639.030451660939</v>
      </c>
      <c r="G58" s="461" t="s">
        <v>523</v>
      </c>
      <c r="I58" s="629"/>
    </row>
    <row r="59" spans="1:9" ht="11.25" customHeight="1">
      <c r="A59" s="458" t="s">
        <v>227</v>
      </c>
      <c r="B59" s="501">
        <v>314.23629102330079</v>
      </c>
      <c r="C59" s="737" t="s">
        <v>1413</v>
      </c>
      <c r="D59" s="501">
        <v>314.23629102330079</v>
      </c>
      <c r="E59" s="720" t="s">
        <v>954</v>
      </c>
      <c r="F59" s="720" t="s">
        <v>954</v>
      </c>
      <c r="G59" s="461" t="s">
        <v>523</v>
      </c>
      <c r="I59" s="629"/>
    </row>
    <row r="60" spans="1:9" ht="11.25" customHeight="1">
      <c r="A60" s="458" t="s">
        <v>361</v>
      </c>
      <c r="B60" s="501">
        <v>144.84126984126985</v>
      </c>
      <c r="C60" s="737" t="s">
        <v>1149</v>
      </c>
      <c r="D60" s="501">
        <v>597.97806958662625</v>
      </c>
      <c r="E60" s="720">
        <v>144.84126984126985</v>
      </c>
      <c r="F60" s="720">
        <v>724.20634920634927</v>
      </c>
      <c r="G60" s="461" t="s">
        <v>523</v>
      </c>
      <c r="I60" s="629"/>
    </row>
    <row r="61" spans="1:9" ht="11.25" customHeight="1">
      <c r="A61" s="458" t="s">
        <v>362</v>
      </c>
      <c r="B61" s="501">
        <v>221.21212121212122</v>
      </c>
      <c r="C61" s="737" t="s">
        <v>1149</v>
      </c>
      <c r="D61" s="501">
        <v>615.84595743921795</v>
      </c>
      <c r="E61" s="720">
        <v>221.21212121212122</v>
      </c>
      <c r="F61" s="720">
        <v>1106.060606060606</v>
      </c>
      <c r="G61" s="461" t="s">
        <v>523</v>
      </c>
      <c r="I61" s="629"/>
    </row>
    <row r="62" spans="1:9" ht="11.25" customHeight="1">
      <c r="A62" s="458" t="s">
        <v>363</v>
      </c>
      <c r="B62" s="501">
        <v>190.99947671376245</v>
      </c>
      <c r="C62" s="737" t="s">
        <v>1149</v>
      </c>
      <c r="D62" s="501">
        <v>555.04967779098706</v>
      </c>
      <c r="E62" s="720">
        <v>190.99947671376245</v>
      </c>
      <c r="F62" s="720">
        <v>954.99738356881221</v>
      </c>
      <c r="G62" s="461" t="s">
        <v>523</v>
      </c>
      <c r="I62" s="629"/>
    </row>
    <row r="63" spans="1:9" ht="11.25" customHeight="1">
      <c r="A63" s="458" t="s">
        <v>234</v>
      </c>
      <c r="B63" s="501">
        <v>89.672882753770665</v>
      </c>
      <c r="C63" s="737" t="s">
        <v>1413</v>
      </c>
      <c r="D63" s="501">
        <v>89.672882753770665</v>
      </c>
      <c r="E63" s="720">
        <v>2009.4871606318836</v>
      </c>
      <c r="F63" s="720">
        <v>10047.435803159418</v>
      </c>
      <c r="G63" s="461">
        <v>1685.682837735849</v>
      </c>
      <c r="I63" s="629"/>
    </row>
    <row r="64" spans="1:9" ht="11.25" customHeight="1">
      <c r="A64" s="458" t="s">
        <v>235</v>
      </c>
      <c r="B64" s="501">
        <v>11.830372894697664</v>
      </c>
      <c r="C64" s="737" t="s">
        <v>1413</v>
      </c>
      <c r="D64" s="501">
        <v>11.830372894697664</v>
      </c>
      <c r="E64" s="720">
        <v>44.506545157220259</v>
      </c>
      <c r="F64" s="720">
        <v>222.53272578610131</v>
      </c>
      <c r="G64" s="461">
        <v>2981.506415094339</v>
      </c>
      <c r="I64" s="629"/>
    </row>
    <row r="65" spans="1:9" ht="11.25" customHeight="1">
      <c r="A65" s="458" t="s">
        <v>294</v>
      </c>
      <c r="B65" s="501">
        <v>319.70631072341877</v>
      </c>
      <c r="C65" s="737" t="s">
        <v>1149</v>
      </c>
      <c r="D65" s="501" t="s">
        <v>954</v>
      </c>
      <c r="E65" s="720">
        <v>319.70631072341877</v>
      </c>
      <c r="F65" s="720">
        <v>1598.5315536170938</v>
      </c>
      <c r="G65" s="461">
        <v>1207.9647647798743</v>
      </c>
      <c r="I65" s="629"/>
    </row>
    <row r="66" spans="1:9" ht="11.25" customHeight="1">
      <c r="A66" s="458" t="s">
        <v>295</v>
      </c>
      <c r="B66" s="501">
        <v>121.16435919590772</v>
      </c>
      <c r="C66" s="737" t="s">
        <v>1149</v>
      </c>
      <c r="D66" s="501" t="s">
        <v>954</v>
      </c>
      <c r="E66" s="720">
        <v>121.16435919590772</v>
      </c>
      <c r="F66" s="720">
        <v>605.82179597953859</v>
      </c>
      <c r="G66" s="461">
        <v>2370.3051194968548</v>
      </c>
      <c r="I66" s="629"/>
    </row>
    <row r="67" spans="1:9" ht="11.25" customHeight="1">
      <c r="A67" s="458" t="s">
        <v>228</v>
      </c>
      <c r="B67" s="501">
        <v>97.740132742760352</v>
      </c>
      <c r="C67" s="737" t="s">
        <v>1149</v>
      </c>
      <c r="D67" s="501" t="s">
        <v>954</v>
      </c>
      <c r="E67" s="720">
        <v>97.740132742760352</v>
      </c>
      <c r="F67" s="720">
        <v>488.70066371380176</v>
      </c>
      <c r="G67" s="461">
        <v>1851.1077232704401</v>
      </c>
      <c r="I67" s="629"/>
    </row>
    <row r="68" spans="1:9" ht="11.25" customHeight="1">
      <c r="A68" s="458" t="s">
        <v>942</v>
      </c>
      <c r="B68" s="501">
        <v>869.04761904761915</v>
      </c>
      <c r="C68" s="737" t="s">
        <v>1149</v>
      </c>
      <c r="D68" s="501" t="s">
        <v>954</v>
      </c>
      <c r="E68" s="720">
        <v>869.04761904761915</v>
      </c>
      <c r="F68" s="720">
        <v>4345.2380952380954</v>
      </c>
      <c r="G68" s="461" t="s">
        <v>523</v>
      </c>
      <c r="I68" s="629"/>
    </row>
    <row r="69" spans="1:9" ht="11.25" customHeight="1">
      <c r="A69" s="458" t="s">
        <v>98</v>
      </c>
      <c r="B69" s="501">
        <v>3501.1990407673866</v>
      </c>
      <c r="C69" s="737" t="s">
        <v>1149</v>
      </c>
      <c r="D69" s="501" t="s">
        <v>954</v>
      </c>
      <c r="E69" s="720">
        <v>3501.1990407673866</v>
      </c>
      <c r="F69" s="720">
        <v>17505.995203836934</v>
      </c>
      <c r="G69" s="461" t="s">
        <v>523</v>
      </c>
      <c r="I69" s="629"/>
    </row>
    <row r="70" spans="1:9" ht="11.25" customHeight="1">
      <c r="A70" s="458" t="s">
        <v>943</v>
      </c>
      <c r="B70" s="501">
        <v>21.02266607250208</v>
      </c>
      <c r="C70" s="737" t="s">
        <v>1149</v>
      </c>
      <c r="D70" s="501">
        <v>63.548883451023606</v>
      </c>
      <c r="E70" s="720">
        <v>21.02266607250208</v>
      </c>
      <c r="F70" s="720">
        <v>105.1133303625104</v>
      </c>
      <c r="G70" s="461">
        <v>1363.3675471698114</v>
      </c>
      <c r="I70" s="629"/>
    </row>
    <row r="71" spans="1:9" ht="11.25" customHeight="1">
      <c r="A71" s="458" t="s">
        <v>296</v>
      </c>
      <c r="B71" s="501">
        <v>48.374708263824445</v>
      </c>
      <c r="C71" s="737" t="s">
        <v>1413</v>
      </c>
      <c r="D71" s="501">
        <v>48.374708263824445</v>
      </c>
      <c r="E71" s="720">
        <v>98.328662902363774</v>
      </c>
      <c r="F71" s="720">
        <v>491.64331451181886</v>
      </c>
      <c r="G71" s="461">
        <v>1571.9654339622643</v>
      </c>
      <c r="I71" s="629"/>
    </row>
    <row r="72" spans="1:9" ht="11.25" customHeight="1">
      <c r="A72" s="458" t="s">
        <v>944</v>
      </c>
      <c r="B72" s="501">
        <v>57.936507936507944</v>
      </c>
      <c r="C72" s="737" t="s">
        <v>1149</v>
      </c>
      <c r="D72" s="501">
        <v>202.63497432365057</v>
      </c>
      <c r="E72" s="720">
        <v>57.936507936507944</v>
      </c>
      <c r="F72" s="720">
        <v>115.87301587301589</v>
      </c>
      <c r="G72" s="461" t="s">
        <v>523</v>
      </c>
      <c r="I72" s="629"/>
    </row>
    <row r="73" spans="1:9" ht="11.25" customHeight="1">
      <c r="A73" s="458" t="s">
        <v>945</v>
      </c>
      <c r="B73" s="501">
        <v>231746.03174603175</v>
      </c>
      <c r="C73" s="737" t="s">
        <v>1149</v>
      </c>
      <c r="D73" s="501" t="s">
        <v>954</v>
      </c>
      <c r="E73" s="720">
        <v>231746.03174603175</v>
      </c>
      <c r="F73" s="720">
        <v>1158730.1587301588</v>
      </c>
      <c r="G73" s="461" t="s">
        <v>523</v>
      </c>
      <c r="I73" s="629"/>
    </row>
    <row r="74" spans="1:9" ht="11.25" customHeight="1">
      <c r="A74" s="458" t="s">
        <v>947</v>
      </c>
      <c r="B74" s="501">
        <v>5740.9160416514969</v>
      </c>
      <c r="C74" s="737" t="s">
        <v>1149</v>
      </c>
      <c r="D74" s="501" t="s">
        <v>954</v>
      </c>
      <c r="E74" s="720">
        <v>5740.9160416514969</v>
      </c>
      <c r="F74" s="720">
        <v>28704.580208257485</v>
      </c>
      <c r="G74" s="461" t="s">
        <v>523</v>
      </c>
      <c r="I74" s="629"/>
    </row>
    <row r="75" spans="1:9" ht="11.25" customHeight="1">
      <c r="A75" s="458" t="s">
        <v>946</v>
      </c>
      <c r="B75" s="501">
        <v>1000000</v>
      </c>
      <c r="C75" s="737" t="s">
        <v>1434</v>
      </c>
      <c r="D75" s="501" t="s">
        <v>954</v>
      </c>
      <c r="E75" s="720">
        <v>2896825.3968253969</v>
      </c>
      <c r="F75" s="720">
        <v>14484126.984126985</v>
      </c>
      <c r="G75" s="461" t="s">
        <v>523</v>
      </c>
      <c r="I75" s="629"/>
    </row>
    <row r="76" spans="1:9" ht="11.25" customHeight="1">
      <c r="A76" s="462" t="s">
        <v>99</v>
      </c>
      <c r="B76" s="501">
        <v>28.968253968253965</v>
      </c>
      <c r="C76" s="737" t="s">
        <v>1149</v>
      </c>
      <c r="D76" s="501" t="s">
        <v>954</v>
      </c>
      <c r="E76" s="720">
        <v>28.968253968253965</v>
      </c>
      <c r="F76" s="720">
        <v>144.84126984126982</v>
      </c>
      <c r="G76" s="461" t="s">
        <v>523</v>
      </c>
      <c r="I76" s="629"/>
    </row>
    <row r="77" spans="1:9" ht="11.25" customHeight="1">
      <c r="A77" s="458" t="s">
        <v>297</v>
      </c>
      <c r="B77" s="501">
        <v>579.3650793650794</v>
      </c>
      <c r="C77" s="737" t="s">
        <v>1149</v>
      </c>
      <c r="D77" s="501" t="s">
        <v>954</v>
      </c>
      <c r="E77" s="720">
        <v>579.3650793650794</v>
      </c>
      <c r="F77" s="720">
        <v>2896.8253968253971</v>
      </c>
      <c r="G77" s="461" t="s">
        <v>523</v>
      </c>
      <c r="I77" s="629"/>
    </row>
    <row r="78" spans="1:9" ht="11.25" customHeight="1">
      <c r="A78" s="462" t="s">
        <v>100</v>
      </c>
      <c r="B78" s="501">
        <v>459.81086259887962</v>
      </c>
      <c r="C78" s="737" t="s">
        <v>1413</v>
      </c>
      <c r="D78" s="501">
        <v>459.81086259887962</v>
      </c>
      <c r="E78" s="720">
        <v>575.39213368014498</v>
      </c>
      <c r="F78" s="720">
        <v>2876.9606684007249</v>
      </c>
      <c r="G78" s="461" t="s">
        <v>523</v>
      </c>
      <c r="I78" s="629"/>
    </row>
    <row r="79" spans="1:9" ht="11.25" customHeight="1">
      <c r="A79" s="462" t="s">
        <v>101</v>
      </c>
      <c r="B79" s="501">
        <v>87.205829649982078</v>
      </c>
      <c r="C79" s="737" t="s">
        <v>1149</v>
      </c>
      <c r="D79" s="501">
        <v>96.895366277757901</v>
      </c>
      <c r="E79" s="720">
        <v>87.205829649982078</v>
      </c>
      <c r="F79" s="720">
        <v>436.02914824991041</v>
      </c>
      <c r="G79" s="461" t="s">
        <v>523</v>
      </c>
      <c r="I79" s="629"/>
    </row>
    <row r="80" spans="1:9" ht="11.25" customHeight="1">
      <c r="A80" s="458" t="s">
        <v>382</v>
      </c>
      <c r="B80" s="501">
        <v>1471.850604427035</v>
      </c>
      <c r="C80" s="737" t="s">
        <v>1149</v>
      </c>
      <c r="D80" s="501">
        <v>1579.0876018532106</v>
      </c>
      <c r="E80" s="720">
        <v>1471.850604427035</v>
      </c>
      <c r="F80" s="720">
        <v>7359.2530221351753</v>
      </c>
      <c r="G80" s="461">
        <v>115637.86163522014</v>
      </c>
      <c r="I80" s="629"/>
    </row>
    <row r="81" spans="1:9" ht="11.25" customHeight="1">
      <c r="A81" s="458" t="s">
        <v>594</v>
      </c>
      <c r="B81" s="501">
        <v>1.5E-3</v>
      </c>
      <c r="C81" s="737" t="s">
        <v>1033</v>
      </c>
      <c r="D81" s="501">
        <v>1.3963210398276962E-2</v>
      </c>
      <c r="E81" s="720"/>
      <c r="F81" s="720"/>
      <c r="G81" s="461"/>
      <c r="I81" s="629"/>
    </row>
    <row r="82" spans="1:9" ht="11.25" customHeight="1">
      <c r="A82" s="458" t="s">
        <v>102</v>
      </c>
      <c r="B82" s="501">
        <v>579.3650793650794</v>
      </c>
      <c r="C82" s="737" t="s">
        <v>1149</v>
      </c>
      <c r="D82" s="501" t="s">
        <v>954</v>
      </c>
      <c r="E82" s="720">
        <v>579.3650793650794</v>
      </c>
      <c r="F82" s="720">
        <v>2896.8253968253971</v>
      </c>
      <c r="G82" s="461" t="s">
        <v>523</v>
      </c>
      <c r="I82" s="629"/>
    </row>
    <row r="83" spans="1:9" ht="11.25" customHeight="1">
      <c r="A83" s="458" t="s">
        <v>370</v>
      </c>
      <c r="B83" s="501">
        <v>2654.545454545455</v>
      </c>
      <c r="C83" s="737" t="s">
        <v>1149</v>
      </c>
      <c r="D83" s="501" t="s">
        <v>954</v>
      </c>
      <c r="E83" s="720">
        <v>2654.545454545455</v>
      </c>
      <c r="F83" s="720">
        <v>13272.727272727276</v>
      </c>
      <c r="G83" s="461" t="s">
        <v>523</v>
      </c>
      <c r="I83" s="629"/>
    </row>
    <row r="84" spans="1:9" ht="11.25" customHeight="1">
      <c r="A84" s="458" t="s">
        <v>337</v>
      </c>
      <c r="B84" s="501">
        <v>86.904761904761898</v>
      </c>
      <c r="C84" s="737" t="s">
        <v>1149</v>
      </c>
      <c r="D84" s="501" t="s">
        <v>954</v>
      </c>
      <c r="E84" s="720">
        <v>86.904761904761898</v>
      </c>
      <c r="F84" s="720">
        <v>434.52380952380952</v>
      </c>
      <c r="G84" s="461" t="s">
        <v>523</v>
      </c>
      <c r="I84" s="629"/>
    </row>
    <row r="85" spans="1:9" ht="11.25" customHeight="1">
      <c r="A85" s="458" t="s">
        <v>28</v>
      </c>
      <c r="B85" s="501">
        <v>1.5E-3</v>
      </c>
      <c r="C85" s="737" t="s">
        <v>222</v>
      </c>
      <c r="D85" s="501"/>
      <c r="E85" s="720"/>
      <c r="F85" s="720"/>
      <c r="G85" s="461"/>
      <c r="I85" s="629"/>
    </row>
    <row r="86" spans="1:9" ht="11.25" customHeight="1">
      <c r="A86" s="458" t="s">
        <v>338</v>
      </c>
      <c r="B86" s="501">
        <v>149.18368122131821</v>
      </c>
      <c r="C86" s="737" t="s">
        <v>1413</v>
      </c>
      <c r="D86" s="501">
        <v>149.18368122131821</v>
      </c>
      <c r="E86" s="720">
        <v>5905.8654246126225</v>
      </c>
      <c r="F86" s="720">
        <v>29529.327123063114</v>
      </c>
      <c r="G86" s="461">
        <v>479.48318616352208</v>
      </c>
      <c r="I86" s="629"/>
    </row>
    <row r="87" spans="1:9" ht="11.25" customHeight="1">
      <c r="A87" s="458" t="s">
        <v>339</v>
      </c>
      <c r="B87" s="501">
        <v>10499.820208558074</v>
      </c>
      <c r="C87" s="737" t="s">
        <v>1149</v>
      </c>
      <c r="D87" s="501" t="s">
        <v>954</v>
      </c>
      <c r="E87" s="720">
        <v>10499.820208558074</v>
      </c>
      <c r="F87" s="720">
        <v>52499.101042790368</v>
      </c>
      <c r="G87" s="461" t="s">
        <v>523</v>
      </c>
      <c r="I87" s="629"/>
    </row>
    <row r="88" spans="1:9" ht="11.25" customHeight="1">
      <c r="A88" s="458" t="s">
        <v>340</v>
      </c>
      <c r="B88" s="501">
        <v>8776.8321527067837</v>
      </c>
      <c r="C88" s="737" t="s">
        <v>1149</v>
      </c>
      <c r="D88" s="501" t="s">
        <v>954</v>
      </c>
      <c r="E88" s="720">
        <v>8776.8321527067837</v>
      </c>
      <c r="F88" s="720">
        <v>43884.160763533917</v>
      </c>
      <c r="G88" s="461" t="s">
        <v>523</v>
      </c>
      <c r="I88" s="629"/>
    </row>
    <row r="89" spans="1:9" ht="11.25" customHeight="1">
      <c r="A89" s="458" t="s">
        <v>103</v>
      </c>
      <c r="B89" s="501">
        <v>28968.253968253968</v>
      </c>
      <c r="C89" s="737" t="s">
        <v>1149</v>
      </c>
      <c r="D89" s="501" t="s">
        <v>954</v>
      </c>
      <c r="E89" s="720">
        <v>28968.253968253968</v>
      </c>
      <c r="F89" s="720">
        <v>144841.26984126985</v>
      </c>
      <c r="G89" s="461" t="s">
        <v>523</v>
      </c>
      <c r="I89" s="629"/>
    </row>
    <row r="90" spans="1:9" ht="11.25" customHeight="1">
      <c r="A90" s="458" t="s">
        <v>341</v>
      </c>
      <c r="B90" s="501">
        <v>40.92175296613572</v>
      </c>
      <c r="C90" s="737" t="s">
        <v>1413</v>
      </c>
      <c r="D90" s="501">
        <v>40.92175296613572</v>
      </c>
      <c r="E90" s="720">
        <v>44.242424242424242</v>
      </c>
      <c r="F90" s="720">
        <v>221.21212121212122</v>
      </c>
      <c r="G90" s="461" t="s">
        <v>523</v>
      </c>
      <c r="I90" s="629"/>
    </row>
    <row r="91" spans="1:9" ht="11.25" customHeight="1">
      <c r="A91" s="458" t="s">
        <v>342</v>
      </c>
      <c r="B91" s="501">
        <v>5.7515151515151528</v>
      </c>
      <c r="C91" s="737" t="s">
        <v>1149</v>
      </c>
      <c r="D91" s="501">
        <v>21.700628054571897</v>
      </c>
      <c r="E91" s="720">
        <v>5.7515151515151528</v>
      </c>
      <c r="F91" s="720">
        <v>28.757575757575765</v>
      </c>
      <c r="G91" s="461" t="s">
        <v>523</v>
      </c>
      <c r="I91" s="629"/>
    </row>
    <row r="92" spans="1:9" ht="11.25" customHeight="1">
      <c r="A92" s="458" t="s">
        <v>371</v>
      </c>
      <c r="B92" s="501">
        <v>4.4242424242424248</v>
      </c>
      <c r="C92" s="737" t="s">
        <v>1149</v>
      </c>
      <c r="D92" s="501">
        <v>58.998799173866999</v>
      </c>
      <c r="E92" s="720">
        <v>4.4242424242424248</v>
      </c>
      <c r="F92" s="720">
        <v>22.121212121212125</v>
      </c>
      <c r="G92" s="461" t="s">
        <v>523</v>
      </c>
      <c r="I92" s="629"/>
    </row>
    <row r="93" spans="1:9" ht="11.25" customHeight="1">
      <c r="A93" s="458" t="s">
        <v>343</v>
      </c>
      <c r="B93" s="501">
        <v>307.41512073581305</v>
      </c>
      <c r="C93" s="737" t="s">
        <v>1413</v>
      </c>
      <c r="D93" s="501">
        <v>307.41512073581305</v>
      </c>
      <c r="E93" s="720">
        <v>442.42424242424244</v>
      </c>
      <c r="F93" s="720">
        <v>2212.121212121212</v>
      </c>
      <c r="G93" s="461" t="s">
        <v>523</v>
      </c>
      <c r="I93" s="629"/>
    </row>
    <row r="94" spans="1:9" ht="11.25" customHeight="1">
      <c r="A94" s="458" t="s">
        <v>364</v>
      </c>
      <c r="B94" s="501">
        <v>109.60960960960961</v>
      </c>
      <c r="C94" s="737" t="s">
        <v>1149</v>
      </c>
      <c r="D94" s="501">
        <v>164.19875630480323</v>
      </c>
      <c r="E94" s="720">
        <v>109.60960960960961</v>
      </c>
      <c r="F94" s="720">
        <v>548.04804804804803</v>
      </c>
      <c r="G94" s="461" t="s">
        <v>523</v>
      </c>
      <c r="I94" s="629"/>
    </row>
    <row r="95" spans="1:9" ht="11.25" customHeight="1">
      <c r="A95" s="458" t="s">
        <v>344</v>
      </c>
      <c r="B95" s="501">
        <v>161.74802454910375</v>
      </c>
      <c r="C95" s="737" t="s">
        <v>1149</v>
      </c>
      <c r="D95" s="501">
        <v>469.45552529900971</v>
      </c>
      <c r="E95" s="720">
        <v>161.74802454910375</v>
      </c>
      <c r="F95" s="720">
        <v>808.74012274551876</v>
      </c>
      <c r="G95" s="461" t="s">
        <v>523</v>
      </c>
      <c r="I95" s="629"/>
    </row>
    <row r="96" spans="1:9" ht="11.25" customHeight="1">
      <c r="A96" s="458" t="s">
        <v>104</v>
      </c>
      <c r="B96" s="501">
        <v>9559.523809523811</v>
      </c>
      <c r="C96" s="737" t="s">
        <v>1149</v>
      </c>
      <c r="D96" s="501" t="s">
        <v>954</v>
      </c>
      <c r="E96" s="720">
        <v>9559.523809523811</v>
      </c>
      <c r="F96" s="720">
        <v>47797.619047619053</v>
      </c>
      <c r="G96" s="461" t="s">
        <v>523</v>
      </c>
      <c r="I96" s="629"/>
    </row>
    <row r="97" spans="1:9" ht="11.25" customHeight="1">
      <c r="A97" s="458" t="s">
        <v>345</v>
      </c>
      <c r="B97" s="501">
        <v>1289.9299079182458</v>
      </c>
      <c r="C97" s="737" t="s">
        <v>1413</v>
      </c>
      <c r="D97" s="501">
        <v>1289.9299079182458</v>
      </c>
      <c r="E97" s="720" t="s">
        <v>954</v>
      </c>
      <c r="F97" s="720" t="s">
        <v>954</v>
      </c>
      <c r="G97" s="461" t="s">
        <v>523</v>
      </c>
      <c r="I97" s="629"/>
    </row>
    <row r="98" spans="1:9" ht="11.25" customHeight="1">
      <c r="A98" s="458" t="s">
        <v>105</v>
      </c>
      <c r="B98" s="501">
        <v>57750.837804677052</v>
      </c>
      <c r="C98" s="737" t="s">
        <v>1149</v>
      </c>
      <c r="D98" s="501">
        <v>152464.49456975775</v>
      </c>
      <c r="E98" s="720">
        <v>57750.837804677052</v>
      </c>
      <c r="F98" s="720">
        <v>288754.18902338529</v>
      </c>
      <c r="G98" s="461" t="s">
        <v>523</v>
      </c>
      <c r="I98" s="629"/>
    </row>
    <row r="99" spans="1:9" ht="11.25" customHeight="1">
      <c r="A99" s="458" t="s">
        <v>346</v>
      </c>
      <c r="B99" s="501">
        <v>800</v>
      </c>
      <c r="C99" s="737" t="s">
        <v>222</v>
      </c>
      <c r="D99" s="501"/>
      <c r="E99" s="720"/>
      <c r="F99" s="720"/>
      <c r="G99" s="461"/>
      <c r="I99" s="629"/>
    </row>
    <row r="100" spans="1:9" ht="11.25" customHeight="1">
      <c r="A100" s="458" t="s">
        <v>347</v>
      </c>
      <c r="B100" s="501">
        <v>126.5151109922439</v>
      </c>
      <c r="C100" s="737" t="s">
        <v>1149</v>
      </c>
      <c r="D100" s="501" t="s">
        <v>954</v>
      </c>
      <c r="E100" s="720">
        <v>126.5151109922439</v>
      </c>
      <c r="F100" s="720">
        <v>632.5755549612195</v>
      </c>
      <c r="G100" s="461" t="s">
        <v>523</v>
      </c>
      <c r="I100" s="629"/>
    </row>
    <row r="101" spans="1:9" ht="11.25" customHeight="1">
      <c r="A101" s="458" t="s">
        <v>348</v>
      </c>
      <c r="B101" s="501">
        <v>1448.4126984126985</v>
      </c>
      <c r="C101" s="737" t="s">
        <v>1149</v>
      </c>
      <c r="D101" s="501" t="s">
        <v>954</v>
      </c>
      <c r="E101" s="720">
        <v>1448.4126984126985</v>
      </c>
      <c r="F101" s="720">
        <v>7242.063492063493</v>
      </c>
      <c r="G101" s="461" t="s">
        <v>523</v>
      </c>
      <c r="I101" s="629"/>
    </row>
    <row r="102" spans="1:9" ht="11.25" customHeight="1">
      <c r="A102" s="458" t="s">
        <v>350</v>
      </c>
      <c r="B102" s="501">
        <v>28431.476163522013</v>
      </c>
      <c r="C102" s="737" t="s">
        <v>1433</v>
      </c>
      <c r="D102" s="501" t="s">
        <v>954</v>
      </c>
      <c r="E102" s="720">
        <v>65376.677536644165</v>
      </c>
      <c r="F102" s="720">
        <v>326883.38768322085</v>
      </c>
      <c r="G102" s="461">
        <v>28431.476163522013</v>
      </c>
      <c r="I102" s="629"/>
    </row>
    <row r="103" spans="1:9" ht="11.25" customHeight="1">
      <c r="A103" s="458" t="s">
        <v>351</v>
      </c>
      <c r="B103" s="501">
        <v>3356.5423899371067</v>
      </c>
      <c r="C103" s="737" t="s">
        <v>1433</v>
      </c>
      <c r="D103" s="501" t="s">
        <v>954</v>
      </c>
      <c r="E103" s="720">
        <v>44846.666572544396</v>
      </c>
      <c r="F103" s="720">
        <v>224233.33286272199</v>
      </c>
      <c r="G103" s="461">
        <v>3356.5423899371067</v>
      </c>
      <c r="I103" s="629"/>
    </row>
    <row r="104" spans="1:9" ht="11.25" customHeight="1">
      <c r="A104" s="458" t="s">
        <v>352</v>
      </c>
      <c r="B104" s="501">
        <v>44.242424242424242</v>
      </c>
      <c r="C104" s="737" t="s">
        <v>1149</v>
      </c>
      <c r="D104" s="501" t="s">
        <v>954</v>
      </c>
      <c r="E104" s="720">
        <v>44.242424242424242</v>
      </c>
      <c r="F104" s="720">
        <v>221.21212121212122</v>
      </c>
      <c r="G104" s="461" t="s">
        <v>523</v>
      </c>
      <c r="I104" s="629"/>
    </row>
    <row r="105" spans="1:9" ht="11.25" customHeight="1">
      <c r="A105" s="458" t="s">
        <v>353</v>
      </c>
      <c r="B105" s="501">
        <v>1203.0057455009771</v>
      </c>
      <c r="C105" s="737" t="s">
        <v>1413</v>
      </c>
      <c r="D105" s="501">
        <v>1203.0057455009771</v>
      </c>
      <c r="E105" s="720">
        <v>20803.290739584892</v>
      </c>
      <c r="F105" s="720">
        <v>104016.45369792446</v>
      </c>
      <c r="G105" s="461">
        <v>8869.0732075471715</v>
      </c>
      <c r="I105" s="629"/>
    </row>
    <row r="106" spans="1:9" ht="11.25" customHeight="1">
      <c r="A106" s="458" t="s">
        <v>349</v>
      </c>
      <c r="B106" s="501">
        <v>1099.1637246905752</v>
      </c>
      <c r="C106" s="737" t="s">
        <v>1149</v>
      </c>
      <c r="D106" s="501">
        <v>6477.5486722097276</v>
      </c>
      <c r="E106" s="720">
        <v>1099.1637246905752</v>
      </c>
      <c r="F106" s="720">
        <v>5495.8186234528766</v>
      </c>
      <c r="G106" s="461">
        <v>3314.8708176100631</v>
      </c>
      <c r="I106" s="629"/>
    </row>
    <row r="107" spans="1:9" ht="11.25" customHeight="1">
      <c r="A107" s="458" t="s">
        <v>590</v>
      </c>
      <c r="B107" s="501">
        <v>452.57845726543417</v>
      </c>
      <c r="C107" s="737" t="s">
        <v>1413</v>
      </c>
      <c r="D107" s="501">
        <v>452.57845726543417</v>
      </c>
      <c r="E107" s="720">
        <v>9593.7570586064412</v>
      </c>
      <c r="F107" s="720">
        <v>47968.785293032204</v>
      </c>
      <c r="G107" s="461" t="s">
        <v>523</v>
      </c>
      <c r="I107" s="629"/>
    </row>
    <row r="108" spans="1:9" ht="11.25" customHeight="1">
      <c r="A108" s="458" t="s">
        <v>591</v>
      </c>
      <c r="B108" s="501">
        <v>548.10991647073297</v>
      </c>
      <c r="C108" s="737" t="s">
        <v>1149</v>
      </c>
      <c r="D108" s="501" t="s">
        <v>954</v>
      </c>
      <c r="E108" s="720">
        <v>548.10991647073297</v>
      </c>
      <c r="F108" s="720">
        <v>2740.5495823536648</v>
      </c>
      <c r="G108" s="461" t="s">
        <v>523</v>
      </c>
      <c r="I108" s="629"/>
    </row>
    <row r="109" spans="1:9" ht="11.25" customHeight="1">
      <c r="A109" s="458" t="s">
        <v>465</v>
      </c>
      <c r="B109" s="501">
        <v>1970.2611520679748</v>
      </c>
      <c r="C109" s="737" t="s">
        <v>1149</v>
      </c>
      <c r="D109" s="501" t="s">
        <v>954</v>
      </c>
      <c r="E109" s="720">
        <v>1970.2611520679748</v>
      </c>
      <c r="F109" s="720">
        <v>9851.3057603398738</v>
      </c>
      <c r="G109" s="461" t="s">
        <v>523</v>
      </c>
      <c r="I109" s="629"/>
    </row>
    <row r="110" spans="1:9" ht="11.25" customHeight="1">
      <c r="A110" s="458" t="s">
        <v>466</v>
      </c>
      <c r="B110" s="501">
        <v>51.119950543428345</v>
      </c>
      <c r="C110" s="737" t="s">
        <v>1413</v>
      </c>
      <c r="D110" s="501">
        <v>51.119950543428345</v>
      </c>
      <c r="E110" s="720">
        <v>188.759577299646</v>
      </c>
      <c r="F110" s="720">
        <v>943.79788649823001</v>
      </c>
      <c r="G110" s="461" t="s">
        <v>523</v>
      </c>
      <c r="I110" s="629"/>
    </row>
    <row r="111" spans="1:9" ht="11.25" customHeight="1">
      <c r="A111" s="458" t="s">
        <v>812</v>
      </c>
      <c r="B111" s="501">
        <v>124.37096748749823</v>
      </c>
      <c r="C111" s="737" t="s">
        <v>1149</v>
      </c>
      <c r="D111" s="501" t="s">
        <v>954</v>
      </c>
      <c r="E111" s="720">
        <v>124.37096748749823</v>
      </c>
      <c r="F111" s="720">
        <v>621.85483743749114</v>
      </c>
      <c r="G111" s="461" t="s">
        <v>523</v>
      </c>
      <c r="I111" s="629"/>
    </row>
    <row r="112" spans="1:9" ht="11.25" customHeight="1">
      <c r="A112" s="462" t="s">
        <v>106</v>
      </c>
      <c r="B112" s="501">
        <v>128.04844369366697</v>
      </c>
      <c r="C112" s="737" t="s">
        <v>1413</v>
      </c>
      <c r="D112" s="501">
        <v>128.04844369366697</v>
      </c>
      <c r="E112" s="720">
        <v>451.5088678107183</v>
      </c>
      <c r="F112" s="720">
        <v>2257.5443390535916</v>
      </c>
      <c r="G112" s="461">
        <v>3048.4437410062897</v>
      </c>
      <c r="I112" s="629"/>
    </row>
    <row r="113" spans="1:9" ht="11.25" customHeight="1">
      <c r="A113" s="462" t="s">
        <v>107</v>
      </c>
      <c r="B113" s="501">
        <v>28.968253968253965</v>
      </c>
      <c r="C113" s="737" t="s">
        <v>1149</v>
      </c>
      <c r="D113" s="501">
        <v>8520.0746965452872</v>
      </c>
      <c r="E113" s="720">
        <v>28.968253968253965</v>
      </c>
      <c r="F113" s="720">
        <v>144.84126984126982</v>
      </c>
      <c r="G113" s="461" t="s">
        <v>523</v>
      </c>
      <c r="I113" s="629"/>
    </row>
    <row r="114" spans="1:9" ht="11.25" customHeight="1">
      <c r="A114" s="462" t="s">
        <v>108</v>
      </c>
      <c r="B114" s="501">
        <v>100.55096418732782</v>
      </c>
      <c r="C114" s="737" t="s">
        <v>1413</v>
      </c>
      <c r="D114" s="501">
        <v>100.55096418732782</v>
      </c>
      <c r="E114" s="720">
        <v>238.55907442202019</v>
      </c>
      <c r="F114" s="720">
        <v>1192.795372110101</v>
      </c>
      <c r="G114" s="461" t="s">
        <v>523</v>
      </c>
      <c r="I114" s="629"/>
    </row>
    <row r="115" spans="1:9" ht="11.25" customHeight="1">
      <c r="A115" s="462" t="s">
        <v>109</v>
      </c>
      <c r="B115" s="501">
        <v>28.968253968253965</v>
      </c>
      <c r="C115" s="737" t="s">
        <v>1149</v>
      </c>
      <c r="D115" s="501" t="s">
        <v>954</v>
      </c>
      <c r="E115" s="720">
        <v>28.968253968253965</v>
      </c>
      <c r="F115" s="720">
        <v>144.84126984126982</v>
      </c>
      <c r="G115" s="461" t="s">
        <v>523</v>
      </c>
      <c r="I115" s="629"/>
    </row>
    <row r="116" spans="1:9" ht="11.25" customHeight="1">
      <c r="A116" s="462" t="s">
        <v>110</v>
      </c>
      <c r="B116" s="501">
        <v>1148.1832083302993</v>
      </c>
      <c r="C116" s="737" t="s">
        <v>1149</v>
      </c>
      <c r="D116" s="501">
        <v>9052.5793650793676</v>
      </c>
      <c r="E116" s="720">
        <v>1148.1832083302993</v>
      </c>
      <c r="F116" s="720">
        <v>5740.9160416514969</v>
      </c>
      <c r="G116" s="461" t="s">
        <v>523</v>
      </c>
      <c r="I116" s="629"/>
    </row>
    <row r="117" spans="1:9" ht="11.25" customHeight="1">
      <c r="A117" s="458" t="s">
        <v>467</v>
      </c>
      <c r="B117" s="501">
        <v>238.49768240693896</v>
      </c>
      <c r="C117" s="737" t="s">
        <v>1413</v>
      </c>
      <c r="D117" s="501">
        <v>238.49768240693896</v>
      </c>
      <c r="E117" s="720">
        <v>954.24836601307209</v>
      </c>
      <c r="F117" s="720">
        <v>4771.2418300653608</v>
      </c>
      <c r="G117" s="461" t="s">
        <v>523</v>
      </c>
      <c r="I117" s="629"/>
    </row>
    <row r="118" spans="1:9" ht="11.25" customHeight="1">
      <c r="A118" s="462" t="s">
        <v>111</v>
      </c>
      <c r="B118" s="501">
        <v>2607.1428571428569</v>
      </c>
      <c r="C118" s="737" t="s">
        <v>1149</v>
      </c>
      <c r="D118" s="501">
        <v>33684.016242155798</v>
      </c>
      <c r="E118" s="720">
        <v>2607.1428571428569</v>
      </c>
      <c r="F118" s="720">
        <v>13035.714285714284</v>
      </c>
      <c r="G118" s="461" t="s">
        <v>523</v>
      </c>
      <c r="I118" s="629"/>
    </row>
    <row r="119" spans="1:9" ht="11.25" customHeight="1">
      <c r="A119" s="458" t="s">
        <v>231</v>
      </c>
      <c r="B119" s="501">
        <v>309.69696969696969</v>
      </c>
      <c r="C119" s="737" t="s">
        <v>1149</v>
      </c>
      <c r="D119" s="501" t="s">
        <v>954</v>
      </c>
      <c r="E119" s="720">
        <v>309.69696969696969</v>
      </c>
      <c r="F119" s="720">
        <v>1548.4848484848485</v>
      </c>
      <c r="G119" s="461" t="s">
        <v>523</v>
      </c>
      <c r="I119" s="629"/>
    </row>
    <row r="120" spans="1:9" ht="11.25" customHeight="1">
      <c r="A120" s="458" t="s">
        <v>468</v>
      </c>
      <c r="B120" s="501">
        <v>9346.1228832311026</v>
      </c>
      <c r="C120" s="737" t="s">
        <v>1149</v>
      </c>
      <c r="D120" s="501" t="s">
        <v>954</v>
      </c>
      <c r="E120" s="720">
        <v>9346.1228832311026</v>
      </c>
      <c r="F120" s="720">
        <v>46730.614416155513</v>
      </c>
      <c r="G120" s="461" t="s">
        <v>523</v>
      </c>
      <c r="I120" s="629"/>
    </row>
    <row r="121" spans="1:9" ht="11.25" customHeight="1">
      <c r="A121" s="458" t="s">
        <v>469</v>
      </c>
      <c r="B121" s="501">
        <v>82906.567117093422</v>
      </c>
      <c r="C121" s="737" t="s">
        <v>1149</v>
      </c>
      <c r="D121" s="501" t="s">
        <v>954</v>
      </c>
      <c r="E121" s="720">
        <v>82906.567117093422</v>
      </c>
      <c r="F121" s="720">
        <v>414532.83558546711</v>
      </c>
      <c r="G121" s="461" t="s">
        <v>523</v>
      </c>
      <c r="I121" s="629"/>
    </row>
    <row r="122" spans="1:9" ht="11.25" customHeight="1">
      <c r="A122" s="458" t="s">
        <v>365</v>
      </c>
      <c r="B122" s="501">
        <v>25.453277545327758</v>
      </c>
      <c r="C122" s="737" t="s">
        <v>1149</v>
      </c>
      <c r="D122" s="501">
        <v>59.446914888295474</v>
      </c>
      <c r="E122" s="720">
        <v>25.453277545327758</v>
      </c>
      <c r="F122" s="720">
        <v>25.453277545327758</v>
      </c>
      <c r="G122" s="461" t="s">
        <v>523</v>
      </c>
      <c r="I122" s="629"/>
    </row>
    <row r="123" spans="1:9" ht="11.25" customHeight="1">
      <c r="A123" s="458" t="s">
        <v>112</v>
      </c>
      <c r="B123" s="501">
        <v>28968.253968253968</v>
      </c>
      <c r="C123" s="737" t="s">
        <v>1149</v>
      </c>
      <c r="D123" s="501" t="s">
        <v>954</v>
      </c>
      <c r="E123" s="720">
        <v>28968.253968253968</v>
      </c>
      <c r="F123" s="720">
        <v>144841.26984126985</v>
      </c>
      <c r="G123" s="461" t="s">
        <v>523</v>
      </c>
      <c r="I123" s="629"/>
    </row>
    <row r="124" spans="1:9" ht="11.25" customHeight="1">
      <c r="A124" s="458" t="s">
        <v>470</v>
      </c>
      <c r="B124" s="501">
        <v>7639.7493895201924</v>
      </c>
      <c r="C124" s="737" t="s">
        <v>1149</v>
      </c>
      <c r="D124" s="501" t="s">
        <v>954</v>
      </c>
      <c r="E124" s="720">
        <v>7639.7493895201924</v>
      </c>
      <c r="F124" s="720">
        <v>38198.746947600965</v>
      </c>
      <c r="G124" s="461" t="s">
        <v>523</v>
      </c>
      <c r="I124" s="629"/>
    </row>
    <row r="125" spans="1:9" ht="11.25" customHeight="1">
      <c r="A125" s="458" t="s">
        <v>471</v>
      </c>
      <c r="B125" s="501">
        <v>2185.2955443143233</v>
      </c>
      <c r="C125" s="737" t="s">
        <v>1149</v>
      </c>
      <c r="D125" s="501" t="s">
        <v>954</v>
      </c>
      <c r="E125" s="720">
        <v>2185.2955443143233</v>
      </c>
      <c r="F125" s="720">
        <v>10926.477721571617</v>
      </c>
      <c r="G125" s="461" t="s">
        <v>523</v>
      </c>
      <c r="I125" s="629"/>
    </row>
    <row r="126" spans="1:9" ht="11.25" customHeight="1">
      <c r="A126" s="458" t="s">
        <v>813</v>
      </c>
      <c r="B126" s="501">
        <v>2212.1212121212125</v>
      </c>
      <c r="C126" s="737" t="s">
        <v>1149</v>
      </c>
      <c r="D126" s="501" t="s">
        <v>954</v>
      </c>
      <c r="E126" s="720">
        <v>2212.1212121212125</v>
      </c>
      <c r="F126" s="720">
        <v>11060.606060606062</v>
      </c>
      <c r="G126" s="461" t="s">
        <v>523</v>
      </c>
      <c r="I126" s="629"/>
    </row>
    <row r="127" spans="1:9" ht="11.25" customHeight="1">
      <c r="A127" s="458" t="s">
        <v>113</v>
      </c>
      <c r="B127" s="501">
        <v>1207.0105820105825</v>
      </c>
      <c r="C127" s="737" t="s">
        <v>1413</v>
      </c>
      <c r="D127" s="501">
        <v>1207.0105820105825</v>
      </c>
      <c r="E127" s="720">
        <v>1448.4126984126985</v>
      </c>
      <c r="F127" s="720">
        <v>7242.063492063493</v>
      </c>
      <c r="G127" s="461" t="s">
        <v>523</v>
      </c>
      <c r="I127" s="629"/>
    </row>
    <row r="128" spans="1:9" ht="11.25" customHeight="1">
      <c r="A128" s="458" t="s">
        <v>472</v>
      </c>
      <c r="B128" s="501">
        <v>867.20140880503141</v>
      </c>
      <c r="C128" s="737" t="s">
        <v>1433</v>
      </c>
      <c r="D128" s="501" t="s">
        <v>954</v>
      </c>
      <c r="E128" s="720">
        <v>11596.416295936673</v>
      </c>
      <c r="F128" s="720">
        <v>57982.081479683366</v>
      </c>
      <c r="G128" s="461">
        <v>867.20140880503141</v>
      </c>
      <c r="I128" s="629"/>
    </row>
    <row r="129" spans="1:9" ht="11.25" customHeight="1">
      <c r="A129" s="458" t="s">
        <v>114</v>
      </c>
      <c r="B129" s="501">
        <v>3765.8730158730164</v>
      </c>
      <c r="C129" s="737" t="s">
        <v>1149</v>
      </c>
      <c r="D129" s="501" t="s">
        <v>954</v>
      </c>
      <c r="E129" s="720">
        <v>3765.8730158730164</v>
      </c>
      <c r="F129" s="720">
        <v>18829.365079365081</v>
      </c>
      <c r="G129" s="461" t="s">
        <v>523</v>
      </c>
      <c r="I129" s="629"/>
    </row>
    <row r="130" spans="1:9" ht="11.25" customHeight="1">
      <c r="A130" s="458" t="s">
        <v>19</v>
      </c>
      <c r="B130" s="501">
        <v>44242.42424242424</v>
      </c>
      <c r="C130" s="737" t="s">
        <v>1413</v>
      </c>
      <c r="D130" s="501">
        <v>44242.42424242424</v>
      </c>
      <c r="E130" s="720">
        <v>94337.584696127291</v>
      </c>
      <c r="F130" s="720">
        <v>471687.92348063644</v>
      </c>
      <c r="G130" s="461">
        <v>112670.04402515724</v>
      </c>
      <c r="I130" s="629"/>
    </row>
    <row r="131" spans="1:9" ht="11.25" customHeight="1">
      <c r="A131" s="458" t="s">
        <v>473</v>
      </c>
      <c r="B131" s="501">
        <v>51.514329890753309</v>
      </c>
      <c r="C131" s="737" t="s">
        <v>1413</v>
      </c>
      <c r="D131" s="501">
        <v>51.514329890753309</v>
      </c>
      <c r="E131" s="720">
        <v>800.71915237198436</v>
      </c>
      <c r="F131" s="720">
        <v>4003.5957618599218</v>
      </c>
      <c r="G131" s="461">
        <v>679.56857484276736</v>
      </c>
      <c r="I131" s="629"/>
    </row>
    <row r="132" spans="1:9" ht="11.25" customHeight="1">
      <c r="A132" s="458" t="s">
        <v>474</v>
      </c>
      <c r="B132" s="501">
        <v>15.745013955914203</v>
      </c>
      <c r="C132" s="737" t="s">
        <v>1413</v>
      </c>
      <c r="D132" s="501">
        <v>15.745013955914203</v>
      </c>
      <c r="E132" s="720">
        <v>8848.4848484848499</v>
      </c>
      <c r="F132" s="720">
        <v>44242.424242424247</v>
      </c>
      <c r="G132" s="461">
        <v>1903.1173320754715</v>
      </c>
      <c r="I132" s="629"/>
    </row>
    <row r="133" spans="1:9" ht="11.25" customHeight="1">
      <c r="A133" s="458" t="s">
        <v>475</v>
      </c>
      <c r="B133" s="501">
        <v>26.685788668102152</v>
      </c>
      <c r="C133" s="737" t="s">
        <v>1413</v>
      </c>
      <c r="D133" s="501">
        <v>26.685788668102152</v>
      </c>
      <c r="E133" s="720">
        <v>127.20865356805064</v>
      </c>
      <c r="F133" s="720">
        <v>636.04326784025318</v>
      </c>
      <c r="G133" s="461">
        <v>166.02402867924528</v>
      </c>
      <c r="I133" s="629"/>
    </row>
    <row r="134" spans="1:9" ht="11.25" customHeight="1">
      <c r="A134" s="458" t="s">
        <v>115</v>
      </c>
      <c r="B134" s="501">
        <v>8690.4761904761908</v>
      </c>
      <c r="C134" s="737" t="s">
        <v>1149</v>
      </c>
      <c r="D134" s="501" t="s">
        <v>954</v>
      </c>
      <c r="E134" s="720">
        <v>8690.4761904761908</v>
      </c>
      <c r="F134" s="720">
        <v>43452.380952380954</v>
      </c>
      <c r="G134" s="461" t="s">
        <v>523</v>
      </c>
      <c r="I134" s="629"/>
    </row>
    <row r="135" spans="1:9" ht="11.25" customHeight="1">
      <c r="A135" s="462" t="s">
        <v>116</v>
      </c>
      <c r="B135" s="501">
        <v>21442.838679356126</v>
      </c>
      <c r="C135" s="737" t="s">
        <v>1149</v>
      </c>
      <c r="D135" s="501" t="s">
        <v>954</v>
      </c>
      <c r="E135" s="720">
        <v>21442.838679356126</v>
      </c>
      <c r="F135" s="720">
        <v>107214.19339678063</v>
      </c>
      <c r="G135" s="461" t="s">
        <v>523</v>
      </c>
      <c r="I135" s="629"/>
    </row>
    <row r="136" spans="1:9" ht="11.25" customHeight="1">
      <c r="A136" s="458" t="s">
        <v>476</v>
      </c>
      <c r="B136" s="501">
        <v>22.121212121212125</v>
      </c>
      <c r="C136" s="737" t="s">
        <v>1149</v>
      </c>
      <c r="D136" s="501" t="s">
        <v>954</v>
      </c>
      <c r="E136" s="720">
        <v>22.121212121212125</v>
      </c>
      <c r="F136" s="720">
        <v>22.121212121212125</v>
      </c>
      <c r="G136" s="461" t="s">
        <v>523</v>
      </c>
      <c r="I136" s="629"/>
    </row>
    <row r="137" spans="1:9" ht="11.25" customHeight="1">
      <c r="A137" s="458" t="s">
        <v>366</v>
      </c>
      <c r="B137" s="501">
        <v>817.67394716981141</v>
      </c>
      <c r="C137" s="737" t="s">
        <v>1433</v>
      </c>
      <c r="D137" s="501" t="s">
        <v>954</v>
      </c>
      <c r="E137" s="720">
        <v>16329.653469427416</v>
      </c>
      <c r="F137" s="720">
        <v>81648.26734713708</v>
      </c>
      <c r="G137" s="461">
        <v>817.67394716981141</v>
      </c>
      <c r="I137" s="629"/>
    </row>
    <row r="138" spans="1:9" ht="11.25" customHeight="1">
      <c r="A138" s="458" t="s">
        <v>20</v>
      </c>
      <c r="B138" s="501">
        <v>26.071428571428569</v>
      </c>
      <c r="C138" s="737" t="s">
        <v>1149</v>
      </c>
      <c r="D138" s="501">
        <v>130.45377528327865</v>
      </c>
      <c r="E138" s="720">
        <v>26.071428571428569</v>
      </c>
      <c r="F138" s="720">
        <v>130.35714285714283</v>
      </c>
      <c r="G138" s="461" t="s">
        <v>523</v>
      </c>
      <c r="I138" s="629"/>
    </row>
    <row r="139" spans="1:9" ht="11.25" customHeight="1">
      <c r="A139" s="458" t="s">
        <v>57</v>
      </c>
      <c r="B139" s="501">
        <v>1942.7871877122341</v>
      </c>
      <c r="C139" s="737" t="s">
        <v>1149</v>
      </c>
      <c r="D139" s="501" t="s">
        <v>954</v>
      </c>
      <c r="E139" s="720">
        <v>1942.7871877122341</v>
      </c>
      <c r="F139" s="720">
        <v>1942.7871877122341</v>
      </c>
      <c r="G139" s="461">
        <v>2009.9075471698116</v>
      </c>
      <c r="I139" s="629"/>
    </row>
    <row r="140" spans="1:9" ht="11.25" customHeight="1">
      <c r="A140" s="458" t="s">
        <v>56</v>
      </c>
      <c r="B140" s="501">
        <v>683.36856603773595</v>
      </c>
      <c r="C140" s="737" t="s">
        <v>1433</v>
      </c>
      <c r="D140" s="501" t="s">
        <v>954</v>
      </c>
      <c r="E140" s="720">
        <v>1450.0213707382438</v>
      </c>
      <c r="F140" s="720">
        <v>1450.0213707382438</v>
      </c>
      <c r="G140" s="461">
        <v>683.36856603773595</v>
      </c>
      <c r="I140" s="629"/>
    </row>
    <row r="141" spans="1:9" ht="11.25" customHeight="1">
      <c r="A141" s="458" t="s">
        <v>777</v>
      </c>
      <c r="B141" s="501">
        <v>35169.303582276305</v>
      </c>
      <c r="C141" s="737" t="s">
        <v>1149</v>
      </c>
      <c r="D141" s="501" t="s">
        <v>954</v>
      </c>
      <c r="E141" s="720">
        <v>35169.303582276305</v>
      </c>
      <c r="F141" s="720">
        <v>35169.303582276305</v>
      </c>
      <c r="G141" s="461" t="s">
        <v>523</v>
      </c>
      <c r="I141" s="629"/>
    </row>
    <row r="142" spans="1:9" ht="11.25" customHeight="1">
      <c r="A142" s="458" t="s">
        <v>814</v>
      </c>
      <c r="B142" s="501">
        <v>82.246397155401027</v>
      </c>
      <c r="C142" s="737" t="s">
        <v>1149</v>
      </c>
      <c r="D142" s="501">
        <v>762.80041797283184</v>
      </c>
      <c r="E142" s="720">
        <v>82.246397155401027</v>
      </c>
      <c r="F142" s="720">
        <v>411.23198577700515</v>
      </c>
      <c r="G142" s="461" t="s">
        <v>523</v>
      </c>
      <c r="I142" s="629"/>
    </row>
    <row r="143" spans="1:9" ht="11.25" customHeight="1">
      <c r="A143" s="458" t="s">
        <v>815</v>
      </c>
      <c r="B143" s="501">
        <v>639.65388301886787</v>
      </c>
      <c r="C143" s="737" t="s">
        <v>1433</v>
      </c>
      <c r="D143" s="501" t="s">
        <v>954</v>
      </c>
      <c r="E143" s="720">
        <v>11502.507392495763</v>
      </c>
      <c r="F143" s="720">
        <v>57512.536962478815</v>
      </c>
      <c r="G143" s="461">
        <v>639.65388301886787</v>
      </c>
      <c r="I143" s="629"/>
    </row>
    <row r="144" spans="1:9" ht="11.25" customHeight="1">
      <c r="A144" s="458" t="s">
        <v>477</v>
      </c>
      <c r="B144" s="501">
        <v>2.0251033537699641</v>
      </c>
      <c r="C144" s="737" t="s">
        <v>1149</v>
      </c>
      <c r="D144" s="501">
        <v>29.287831337072504</v>
      </c>
      <c r="E144" s="720">
        <v>2.0251033537699641</v>
      </c>
      <c r="F144" s="720">
        <v>10.12551676884982</v>
      </c>
      <c r="G144" s="461">
        <v>2160.2214339622642</v>
      </c>
      <c r="I144" s="629"/>
    </row>
    <row r="145" spans="1:9" ht="11.25" customHeight="1">
      <c r="A145" s="458" t="s">
        <v>478</v>
      </c>
      <c r="B145" s="501">
        <v>6.0735401621178022</v>
      </c>
      <c r="C145" s="737" t="s">
        <v>1149</v>
      </c>
      <c r="D145" s="501">
        <v>35.285247719318427</v>
      </c>
      <c r="E145" s="720">
        <v>6.0735401621178022</v>
      </c>
      <c r="F145" s="720">
        <v>30.36770081058901</v>
      </c>
      <c r="G145" s="461">
        <v>691.10178616352209</v>
      </c>
      <c r="I145" s="629"/>
    </row>
    <row r="146" spans="1:9" ht="11.25" customHeight="1">
      <c r="A146" s="458" t="s">
        <v>479</v>
      </c>
      <c r="B146" s="501">
        <v>28704.580208257481</v>
      </c>
      <c r="C146" s="737" t="s">
        <v>1149</v>
      </c>
      <c r="D146" s="501" t="s">
        <v>954</v>
      </c>
      <c r="E146" s="720">
        <v>28704.580208257481</v>
      </c>
      <c r="F146" s="720">
        <v>143522.9010412874</v>
      </c>
      <c r="G146" s="461" t="s">
        <v>523</v>
      </c>
      <c r="I146" s="629"/>
    </row>
    <row r="147" spans="1:9" ht="11.25" customHeight="1">
      <c r="A147" s="458" t="s">
        <v>480</v>
      </c>
      <c r="B147" s="501">
        <v>289.6825396825397</v>
      </c>
      <c r="C147" s="737" t="s">
        <v>1149</v>
      </c>
      <c r="D147" s="501">
        <v>13049.15612477801</v>
      </c>
      <c r="E147" s="720">
        <v>289.6825396825397</v>
      </c>
      <c r="F147" s="720">
        <v>1448.4126984126985</v>
      </c>
      <c r="G147" s="461" t="s">
        <v>523</v>
      </c>
      <c r="I147" s="629"/>
    </row>
    <row r="148" spans="1:9" ht="11.25" customHeight="1">
      <c r="A148" s="462" t="s">
        <v>117</v>
      </c>
      <c r="B148" s="501">
        <v>2896.8253968253971</v>
      </c>
      <c r="C148" s="737" t="s">
        <v>1149</v>
      </c>
      <c r="D148" s="501" t="s">
        <v>954</v>
      </c>
      <c r="E148" s="720">
        <v>2896.8253968253971</v>
      </c>
      <c r="F148" s="720">
        <v>14484.126984126986</v>
      </c>
      <c r="G148" s="461" t="s">
        <v>523</v>
      </c>
      <c r="I148" s="629"/>
    </row>
    <row r="149" spans="1:9" ht="11.25" customHeight="1">
      <c r="A149" s="458" t="s">
        <v>118</v>
      </c>
      <c r="B149" s="501">
        <v>2317.4603174603176</v>
      </c>
      <c r="C149" s="737" t="s">
        <v>1149</v>
      </c>
      <c r="D149" s="501" t="s">
        <v>954</v>
      </c>
      <c r="E149" s="720">
        <v>2317.4603174603176</v>
      </c>
      <c r="F149" s="720">
        <v>11587.301587301588</v>
      </c>
      <c r="G149" s="461" t="s">
        <v>523</v>
      </c>
      <c r="I149" s="629"/>
    </row>
    <row r="150" spans="1:9" ht="11.25" customHeight="1">
      <c r="A150" s="458" t="s">
        <v>119</v>
      </c>
      <c r="B150" s="501">
        <v>0.73737373737373735</v>
      </c>
      <c r="C150" s="737" t="s">
        <v>1413</v>
      </c>
      <c r="D150" s="501">
        <v>0.73737373737373735</v>
      </c>
      <c r="E150" s="720">
        <v>6.6514311154005759</v>
      </c>
      <c r="F150" s="720">
        <v>33.257155577002877</v>
      </c>
      <c r="G150" s="461">
        <v>1395.5380503144659</v>
      </c>
      <c r="I150" s="629"/>
    </row>
    <row r="151" spans="1:9" ht="11.25" customHeight="1">
      <c r="A151" s="458" t="s">
        <v>120</v>
      </c>
      <c r="B151" s="501">
        <v>0.99080724837779732</v>
      </c>
      <c r="C151" s="737" t="s">
        <v>1149</v>
      </c>
      <c r="D151" s="501" t="s">
        <v>954</v>
      </c>
      <c r="E151" s="720">
        <v>0.99080724837779732</v>
      </c>
      <c r="F151" s="720">
        <v>4.9540362418889865</v>
      </c>
      <c r="G151" s="461">
        <v>311.17425056603776</v>
      </c>
      <c r="I151" s="629"/>
    </row>
    <row r="152" spans="1:9" ht="11.25" customHeight="1">
      <c r="A152" s="458" t="s">
        <v>602</v>
      </c>
      <c r="B152" s="501">
        <v>3318.1818181818185</v>
      </c>
      <c r="C152" s="737" t="s">
        <v>1149</v>
      </c>
      <c r="D152" s="501">
        <v>28728.846910665103</v>
      </c>
      <c r="E152" s="720">
        <v>3318.1818181818185</v>
      </c>
      <c r="F152" s="720">
        <v>16590.909090909092</v>
      </c>
      <c r="G152" s="461" t="s">
        <v>523</v>
      </c>
      <c r="I152" s="629"/>
    </row>
    <row r="153" spans="1:9" ht="11.25" customHeight="1">
      <c r="A153" s="462" t="s">
        <v>939</v>
      </c>
      <c r="B153" s="501">
        <v>12064.12163278797</v>
      </c>
      <c r="C153" s="737" t="s">
        <v>1149</v>
      </c>
      <c r="D153" s="501" t="s">
        <v>954</v>
      </c>
      <c r="E153" s="720">
        <v>12064.12163278797</v>
      </c>
      <c r="F153" s="720">
        <v>60320.608163939847</v>
      </c>
      <c r="G153" s="461" t="s">
        <v>523</v>
      </c>
      <c r="I153" s="629"/>
    </row>
    <row r="154" spans="1:9" ht="11.25" customHeight="1">
      <c r="A154" s="462" t="s">
        <v>603</v>
      </c>
      <c r="B154" s="501">
        <v>881.82622587435174</v>
      </c>
      <c r="C154" s="737" t="s">
        <v>1149</v>
      </c>
      <c r="D154" s="501" t="s">
        <v>954</v>
      </c>
      <c r="E154" s="720">
        <v>881.82622587435174</v>
      </c>
      <c r="F154" s="720">
        <v>4409.131129371759</v>
      </c>
      <c r="G154" s="461" t="s">
        <v>523</v>
      </c>
      <c r="I154" s="629"/>
    </row>
    <row r="155" spans="1:9" ht="11.25" customHeight="1">
      <c r="A155" s="462" t="s">
        <v>605</v>
      </c>
      <c r="B155" s="501">
        <v>189.27608380004148</v>
      </c>
      <c r="C155" s="737" t="s">
        <v>1149</v>
      </c>
      <c r="D155" s="501">
        <v>6309.202793334719</v>
      </c>
      <c r="E155" s="720">
        <v>189.27608380004148</v>
      </c>
      <c r="F155" s="720">
        <v>946.38041900020744</v>
      </c>
      <c r="G155" s="461" t="s">
        <v>523</v>
      </c>
      <c r="I155" s="629"/>
    </row>
    <row r="156" spans="1:9" ht="11.25" customHeight="1">
      <c r="A156" s="458" t="s">
        <v>481</v>
      </c>
      <c r="B156" s="501">
        <v>640.24687347734277</v>
      </c>
      <c r="C156" s="737" t="s">
        <v>1149</v>
      </c>
      <c r="D156" s="501" t="s">
        <v>954</v>
      </c>
      <c r="E156" s="720">
        <v>640.24687347734277</v>
      </c>
      <c r="F156" s="720">
        <v>3201.234367386714</v>
      </c>
      <c r="G156" s="461" t="s">
        <v>523</v>
      </c>
      <c r="I156" s="629"/>
    </row>
    <row r="157" spans="1:9" ht="11.25" customHeight="1">
      <c r="A157" s="458" t="s">
        <v>482</v>
      </c>
      <c r="B157" s="501">
        <v>10.203692913249053</v>
      </c>
      <c r="C157" s="737" t="s">
        <v>1413</v>
      </c>
      <c r="D157" s="501">
        <v>10.203692913249053</v>
      </c>
      <c r="E157" s="720">
        <v>122.07653543342182</v>
      </c>
      <c r="F157" s="720">
        <v>610.38267716710914</v>
      </c>
      <c r="G157" s="461">
        <v>3859.8471446540889</v>
      </c>
      <c r="I157" s="629"/>
    </row>
    <row r="158" spans="1:9" ht="11.25" customHeight="1">
      <c r="A158" s="458" t="s">
        <v>483</v>
      </c>
      <c r="B158" s="501">
        <v>259.54240000000004</v>
      </c>
      <c r="C158" s="737" t="s">
        <v>1433</v>
      </c>
      <c r="D158" s="501" t="s">
        <v>954</v>
      </c>
      <c r="E158" s="720">
        <v>808.15943899701097</v>
      </c>
      <c r="F158" s="720">
        <v>4040.7971949850548</v>
      </c>
      <c r="G158" s="461">
        <v>259.54240000000004</v>
      </c>
      <c r="I158" s="629"/>
    </row>
    <row r="159" spans="1:9" ht="11.25" customHeight="1" thickBot="1">
      <c r="A159" s="516" t="s">
        <v>484</v>
      </c>
      <c r="B159" s="627">
        <v>132727.27272727274</v>
      </c>
      <c r="C159" s="746" t="s">
        <v>1149</v>
      </c>
      <c r="D159" s="627" t="s">
        <v>954</v>
      </c>
      <c r="E159" s="722">
        <v>132727.27272727274</v>
      </c>
      <c r="F159" s="722">
        <v>663636.36363636365</v>
      </c>
      <c r="G159" s="469" t="s">
        <v>523</v>
      </c>
      <c r="I159" s="629"/>
    </row>
    <row r="160" spans="1:9" ht="13.15" thickTop="1">
      <c r="A160" s="1090" t="s">
        <v>1357</v>
      </c>
      <c r="B160" s="475"/>
      <c r="C160" s="610"/>
      <c r="D160" s="22"/>
      <c r="E160" s="22"/>
      <c r="F160" s="606"/>
      <c r="G160" s="1091"/>
    </row>
    <row r="161" spans="1:7" ht="34.5" customHeight="1">
      <c r="A161" s="1386" t="s">
        <v>1339</v>
      </c>
      <c r="B161" s="1398"/>
      <c r="C161" s="1398"/>
      <c r="D161" s="1398"/>
      <c r="E161" s="1398"/>
      <c r="F161" s="1398"/>
      <c r="G161" s="1471"/>
    </row>
    <row r="162" spans="1:7" ht="36.75" customHeight="1">
      <c r="A162" s="1386" t="s">
        <v>1340</v>
      </c>
      <c r="B162" s="1181"/>
      <c r="C162" s="1181"/>
      <c r="D162" s="1181"/>
      <c r="E162" s="1181"/>
      <c r="F162" s="1181"/>
      <c r="G162" s="1387"/>
    </row>
    <row r="163" spans="1:7" ht="24" customHeight="1">
      <c r="A163" s="1386" t="s">
        <v>1034</v>
      </c>
      <c r="B163" s="1181"/>
      <c r="C163" s="1181"/>
      <c r="D163" s="1181"/>
      <c r="E163" s="1181"/>
      <c r="F163" s="1181"/>
      <c r="G163" s="1387"/>
    </row>
    <row r="164" spans="1:7">
      <c r="A164" s="1386" t="s">
        <v>1358</v>
      </c>
      <c r="B164" s="1398"/>
      <c r="C164" s="1398"/>
      <c r="D164" s="1398"/>
      <c r="E164" s="1398"/>
      <c r="F164" s="1398"/>
      <c r="G164" s="1471"/>
    </row>
    <row r="165" spans="1:7">
      <c r="A165" s="477"/>
      <c r="B165" s="529"/>
      <c r="C165" s="529"/>
      <c r="D165" s="529"/>
      <c r="E165" s="529"/>
      <c r="F165" s="529"/>
      <c r="G165" s="1045"/>
    </row>
    <row r="166" spans="1:7">
      <c r="A166" s="474" t="s">
        <v>488</v>
      </c>
      <c r="B166" s="724"/>
      <c r="C166" s="756"/>
      <c r="D166" s="22"/>
      <c r="E166" s="22"/>
      <c r="F166" s="475"/>
      <c r="G166" s="1091"/>
    </row>
    <row r="167" spans="1:7">
      <c r="A167" s="479" t="s">
        <v>545</v>
      </c>
      <c r="B167" s="481"/>
      <c r="C167" s="610"/>
      <c r="D167" s="22"/>
      <c r="E167" s="22"/>
      <c r="F167" s="22"/>
      <c r="G167" s="1091"/>
    </row>
    <row r="168" spans="1:7" ht="26.25" customHeight="1">
      <c r="A168" s="1388" t="s">
        <v>1075</v>
      </c>
      <c r="B168" s="1181"/>
      <c r="C168" s="1181"/>
      <c r="D168" s="1181"/>
      <c r="E168" s="1181"/>
      <c r="F168" s="1181"/>
      <c r="G168" s="1387"/>
    </row>
    <row r="169" spans="1:7" ht="37.5" customHeight="1">
      <c r="A169" s="1489" t="s">
        <v>1037</v>
      </c>
      <c r="B169" s="1490"/>
      <c r="C169" s="1490"/>
      <c r="D169" s="1490"/>
      <c r="E169" s="1490"/>
      <c r="F169" s="1490"/>
      <c r="G169" s="1491"/>
    </row>
    <row r="170" spans="1:7">
      <c r="A170" s="4" t="s">
        <v>794</v>
      </c>
      <c r="B170" s="481"/>
      <c r="C170" s="610"/>
      <c r="D170" s="22"/>
      <c r="E170" s="22"/>
      <c r="F170" s="22"/>
      <c r="G170" s="1091"/>
    </row>
    <row r="171" spans="1:7">
      <c r="A171" s="479" t="s">
        <v>1072</v>
      </c>
      <c r="B171" s="481"/>
      <c r="C171" s="610"/>
      <c r="D171" s="22"/>
      <c r="E171" s="22"/>
      <c r="F171" s="22"/>
      <c r="G171" s="1091"/>
    </row>
    <row r="172" spans="1:7" ht="12.75" customHeight="1">
      <c r="A172" s="631" t="s">
        <v>1074</v>
      </c>
      <c r="B172"/>
      <c r="C172"/>
      <c r="D172"/>
      <c r="E172"/>
      <c r="F172"/>
      <c r="G172" s="440"/>
    </row>
    <row r="173" spans="1:7">
      <c r="A173" s="4" t="s">
        <v>25</v>
      </c>
      <c r="B173" s="481"/>
      <c r="C173" s="610"/>
      <c r="D173" s="22"/>
      <c r="E173" s="22"/>
      <c r="F173" s="22"/>
      <c r="G173" s="1091"/>
    </row>
    <row r="174" spans="1:7" ht="13.15" thickBot="1">
      <c r="A174" s="5" t="s">
        <v>1356</v>
      </c>
      <c r="B174" s="634"/>
      <c r="C174" s="633"/>
      <c r="D174" s="633"/>
      <c r="E174" s="633"/>
      <c r="F174" s="633"/>
      <c r="G174" s="906"/>
    </row>
    <row r="175" spans="1:7" ht="13.15" thickTop="1">
      <c r="B175" s="629"/>
      <c r="C175" s="3"/>
      <c r="D175" s="22"/>
      <c r="E175" s="22"/>
      <c r="F175" s="22"/>
      <c r="G175" s="22"/>
    </row>
    <row r="176" spans="1:7">
      <c r="B176" s="629"/>
      <c r="C176" s="3"/>
      <c r="D176" s="22"/>
      <c r="E176" s="22"/>
      <c r="F176" s="22"/>
      <c r="G176" s="22"/>
    </row>
    <row r="177" spans="2:7">
      <c r="B177" s="629"/>
      <c r="C177" s="3"/>
      <c r="D177" s="22"/>
      <c r="E177" s="22"/>
      <c r="F177" s="22"/>
      <c r="G177" s="22"/>
    </row>
    <row r="178" spans="2:7">
      <c r="B178" s="629"/>
      <c r="C178" s="3"/>
      <c r="D178" s="22"/>
      <c r="E178" s="22"/>
      <c r="F178" s="22"/>
      <c r="G178" s="22"/>
    </row>
    <row r="179" spans="2:7">
      <c r="C179" s="3"/>
      <c r="D179" s="22"/>
      <c r="E179" s="22"/>
      <c r="F179" s="22"/>
      <c r="G179" s="22"/>
    </row>
    <row r="180" spans="2:7">
      <c r="C180" s="3"/>
      <c r="D180" s="22"/>
      <c r="E180" s="22"/>
      <c r="F180" s="22"/>
      <c r="G180" s="22"/>
    </row>
    <row r="181" spans="2:7">
      <c r="C181" s="3"/>
      <c r="D181" s="22"/>
      <c r="E181" s="22"/>
      <c r="F181" s="22"/>
      <c r="G181" s="22"/>
    </row>
    <row r="182" spans="2:7">
      <c r="C182" s="3"/>
      <c r="D182" s="22"/>
      <c r="E182" s="22"/>
      <c r="F182" s="22"/>
      <c r="G182" s="22"/>
    </row>
    <row r="183" spans="2:7">
      <c r="C183" s="3"/>
    </row>
    <row r="184" spans="2:7">
      <c r="C184" s="3"/>
    </row>
    <row r="185" spans="2:7">
      <c r="C185" s="3"/>
    </row>
    <row r="186" spans="2:7">
      <c r="C186" s="3"/>
    </row>
    <row r="187" spans="2:7">
      <c r="C187" s="3"/>
    </row>
    <row r="188" spans="2:7">
      <c r="C188" s="3"/>
    </row>
    <row r="189" spans="2:7">
      <c r="C189" s="3"/>
    </row>
    <row r="190" spans="2:7">
      <c r="C190" s="3"/>
    </row>
    <row r="191" spans="2:7">
      <c r="C191" s="3"/>
    </row>
    <row r="192" spans="2:7">
      <c r="C192" s="3"/>
    </row>
    <row r="193" spans="3:3">
      <c r="C193" s="3"/>
    </row>
    <row r="194" spans="3:3">
      <c r="C194" s="3"/>
    </row>
    <row r="195" spans="3:3">
      <c r="C195" s="3"/>
    </row>
    <row r="196" spans="3:3">
      <c r="C196" s="3"/>
    </row>
    <row r="197" spans="3:3">
      <c r="C197" s="3"/>
    </row>
    <row r="198" spans="3:3">
      <c r="C198" s="3"/>
    </row>
    <row r="199" spans="3:3">
      <c r="C199" s="3"/>
    </row>
    <row r="200" spans="3:3">
      <c r="C200" s="3"/>
    </row>
    <row r="201" spans="3:3">
      <c r="C201" s="3"/>
    </row>
    <row r="202" spans="3:3">
      <c r="C202" s="3"/>
    </row>
    <row r="203" spans="3:3">
      <c r="C203" s="3"/>
    </row>
    <row r="204" spans="3:3">
      <c r="C204" s="3"/>
    </row>
    <row r="205" spans="3:3">
      <c r="C205" s="3"/>
    </row>
    <row r="206" spans="3:3">
      <c r="C206" s="3"/>
    </row>
    <row r="207" spans="3:3">
      <c r="C207" s="3"/>
    </row>
    <row r="208" spans="3:3">
      <c r="C208" s="3"/>
    </row>
    <row r="209" spans="3:3">
      <c r="C209" s="3"/>
    </row>
    <row r="210" spans="3:3">
      <c r="C210" s="3"/>
    </row>
    <row r="211" spans="3:3">
      <c r="C211" s="3"/>
    </row>
    <row r="212" spans="3:3">
      <c r="C212" s="3"/>
    </row>
    <row r="213" spans="3:3">
      <c r="C213" s="3"/>
    </row>
    <row r="214" spans="3:3">
      <c r="C214" s="3"/>
    </row>
    <row r="215" spans="3:3">
      <c r="C215" s="3"/>
    </row>
    <row r="216" spans="3:3">
      <c r="C216" s="3"/>
    </row>
    <row r="217" spans="3:3">
      <c r="C217" s="3"/>
    </row>
    <row r="218" spans="3:3">
      <c r="C218" s="3"/>
    </row>
    <row r="219" spans="3:3">
      <c r="C219" s="3"/>
    </row>
    <row r="220" spans="3:3">
      <c r="C220" s="3"/>
    </row>
    <row r="221" spans="3:3">
      <c r="C221" s="3"/>
    </row>
    <row r="222" spans="3:3">
      <c r="C222" s="3"/>
    </row>
    <row r="223" spans="3:3">
      <c r="C223" s="3"/>
    </row>
    <row r="224" spans="3:3">
      <c r="C224" s="3"/>
    </row>
    <row r="225" spans="3:3">
      <c r="C225" s="3"/>
    </row>
    <row r="226" spans="3:3">
      <c r="C226" s="3"/>
    </row>
    <row r="227" spans="3:3">
      <c r="C227" s="3"/>
    </row>
    <row r="228" spans="3:3">
      <c r="C228" s="3"/>
    </row>
    <row r="229" spans="3:3">
      <c r="C229" s="3"/>
    </row>
    <row r="230" spans="3:3">
      <c r="C230" s="3"/>
    </row>
    <row r="231" spans="3:3">
      <c r="C231" s="3"/>
    </row>
    <row r="232" spans="3:3">
      <c r="C232" s="3"/>
    </row>
    <row r="233" spans="3:3">
      <c r="C233" s="3"/>
    </row>
    <row r="234" spans="3:3">
      <c r="C234" s="3"/>
    </row>
    <row r="235" spans="3:3">
      <c r="C235" s="3"/>
    </row>
    <row r="236" spans="3:3">
      <c r="C236" s="3"/>
    </row>
    <row r="237" spans="3:3">
      <c r="C237" s="3"/>
    </row>
    <row r="238" spans="3:3">
      <c r="C238" s="3"/>
    </row>
    <row r="239" spans="3:3">
      <c r="C239" s="3"/>
    </row>
    <row r="240" spans="3:3">
      <c r="C240" s="3"/>
    </row>
    <row r="241" spans="3:3">
      <c r="C241" s="3"/>
    </row>
    <row r="242" spans="3:3">
      <c r="C242" s="3"/>
    </row>
    <row r="243" spans="3:3">
      <c r="C243" s="3"/>
    </row>
    <row r="244" spans="3:3">
      <c r="C244" s="3"/>
    </row>
    <row r="245" spans="3:3">
      <c r="C245" s="3"/>
    </row>
    <row r="246" spans="3:3">
      <c r="C246" s="3"/>
    </row>
    <row r="247" spans="3:3">
      <c r="C247" s="3"/>
    </row>
    <row r="248" spans="3:3">
      <c r="C248" s="3"/>
    </row>
    <row r="249" spans="3:3">
      <c r="C249" s="3"/>
    </row>
  </sheetData>
  <sheetProtection algorithmName="SHA-512" hashValue="RebMi3QOdxNegqWaEXGMIeS+GOaiiZULPXSMcxpvMWgBZEp7HuummdjuVIXrv4/lULyujrtLRaM8e/9rWB1WLA==" saltValue="kaDMWS/Jh3PZCPV+mR17Jw==" spinCount="100000" sheet="1" objects="1" scenarios="1"/>
  <mergeCells count="6">
    <mergeCell ref="A168:G168"/>
    <mergeCell ref="A169:G169"/>
    <mergeCell ref="A162:G162"/>
    <mergeCell ref="A163:G163"/>
    <mergeCell ref="A161:G161"/>
    <mergeCell ref="A164:G164"/>
  </mergeCells>
  <phoneticPr fontId="0" type="noConversion"/>
  <printOptions horizontalCentered="1"/>
  <pageMargins left="0.17" right="0.16" top="0.53" bottom="1" header="0.5" footer="0.5"/>
  <pageSetup scale="84" fitToHeight="4" orientation="landscape" r:id="rId1"/>
  <headerFooter alignWithMargins="0">
    <oddFooter>&amp;LHawai'i DOH
Spring 2024&amp;C&amp;8Page &amp;P of &amp;N&amp;R&amp;A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29"/>
  </sheetPr>
  <dimension ref="A1:Q398"/>
  <sheetViews>
    <sheetView zoomScaleNormal="100" workbookViewId="0">
      <pane ySplit="3195" topLeftCell="A5" activePane="bottomLeft"/>
      <selection activeCell="B7" sqref="B7"/>
      <selection pane="bottomLeft" activeCell="B7" sqref="B7"/>
    </sheetView>
  </sheetViews>
  <sheetFormatPr defaultColWidth="9.1328125" defaultRowHeight="10.15"/>
  <cols>
    <col min="1" max="1" width="40.73046875" style="518" customWidth="1"/>
    <col min="2" max="3" width="4.265625" style="518" customWidth="1"/>
    <col min="4" max="4" width="7.86328125" style="518" customWidth="1"/>
    <col min="5" max="8" width="5.73046875" style="518" customWidth="1"/>
    <col min="9" max="9" width="6.59765625" style="518" customWidth="1"/>
    <col min="10" max="10" width="5.73046875" style="518" customWidth="1"/>
    <col min="11" max="11" width="8" style="518" customWidth="1"/>
    <col min="12" max="12" width="7.59765625" style="606" customWidth="1"/>
    <col min="13" max="13" width="6.59765625" style="475" customWidth="1"/>
    <col min="14" max="14" width="7.73046875" style="475" customWidth="1"/>
    <col min="15" max="15" width="5.73046875" style="475" customWidth="1"/>
    <col min="16" max="16" width="19.265625" style="632" customWidth="1"/>
    <col min="17" max="16384" width="9.1328125" style="3"/>
  </cols>
  <sheetData>
    <row r="1" spans="1:16" ht="45">
      <c r="A1" s="6" t="s">
        <v>703</v>
      </c>
      <c r="B1" s="614"/>
      <c r="C1" s="614"/>
      <c r="D1" s="531"/>
      <c r="E1" s="531"/>
      <c r="F1" s="531"/>
      <c r="G1" s="531"/>
      <c r="H1" s="531"/>
      <c r="I1" s="531"/>
      <c r="J1" s="531"/>
      <c r="K1" s="531"/>
      <c r="L1" s="694"/>
      <c r="M1" s="639"/>
      <c r="N1" s="639"/>
      <c r="O1" s="639"/>
      <c r="P1" s="1120"/>
    </row>
    <row r="2" spans="1:16" ht="10.5" thickBot="1"/>
    <row r="3" spans="1:16" ht="12" customHeight="1" thickTop="1">
      <c r="A3" s="1432" t="s">
        <v>232</v>
      </c>
      <c r="B3" s="1121" t="s">
        <v>80</v>
      </c>
      <c r="C3" s="1122"/>
      <c r="D3" s="1123"/>
      <c r="E3" s="1124"/>
      <c r="F3" s="1124"/>
      <c r="G3" s="1124"/>
      <c r="H3" s="1124"/>
      <c r="I3" s="1124"/>
      <c r="J3" s="1124"/>
      <c r="K3" s="1124"/>
      <c r="L3" s="1125"/>
      <c r="M3" s="669"/>
      <c r="N3" s="669"/>
      <c r="O3" s="669"/>
      <c r="P3" s="1126"/>
    </row>
    <row r="4" spans="1:16" s="1134" customFormat="1" ht="78" customHeight="1" thickBot="1">
      <c r="A4" s="1492"/>
      <c r="B4" s="1127" t="s">
        <v>700</v>
      </c>
      <c r="C4" s="1127" t="s">
        <v>196</v>
      </c>
      <c r="D4" s="1128" t="s">
        <v>197</v>
      </c>
      <c r="E4" s="1129" t="s">
        <v>443</v>
      </c>
      <c r="F4" s="1129" t="s">
        <v>444</v>
      </c>
      <c r="G4" s="1129" t="s">
        <v>445</v>
      </c>
      <c r="H4" s="1129" t="s">
        <v>446</v>
      </c>
      <c r="I4" s="1129" t="s">
        <v>447</v>
      </c>
      <c r="J4" s="1129" t="s">
        <v>448</v>
      </c>
      <c r="K4" s="1129" t="s">
        <v>449</v>
      </c>
      <c r="L4" s="1130" t="s">
        <v>450</v>
      </c>
      <c r="M4" s="1131" t="s">
        <v>451</v>
      </c>
      <c r="N4" s="1131" t="s">
        <v>452</v>
      </c>
      <c r="O4" s="1132" t="s">
        <v>198</v>
      </c>
      <c r="P4" s="1133" t="s">
        <v>29</v>
      </c>
    </row>
    <row r="5" spans="1:16" s="1134" customFormat="1">
      <c r="A5" s="454" t="s">
        <v>548</v>
      </c>
      <c r="B5" s="1135" t="s">
        <v>783</v>
      </c>
      <c r="C5" s="995"/>
      <c r="D5" s="1136" t="s">
        <v>411</v>
      </c>
      <c r="E5" s="997"/>
      <c r="F5" s="997"/>
      <c r="G5" s="997"/>
      <c r="H5" s="997"/>
      <c r="I5" s="997"/>
      <c r="J5" s="997">
        <v>3</v>
      </c>
      <c r="K5" s="997"/>
      <c r="L5" s="997"/>
      <c r="M5" s="997"/>
      <c r="N5" s="997"/>
      <c r="O5" s="997">
        <v>3</v>
      </c>
      <c r="P5" s="1137"/>
    </row>
    <row r="6" spans="1:16" s="1134" customFormat="1">
      <c r="A6" s="458" t="s">
        <v>549</v>
      </c>
      <c r="B6" s="1138" t="s">
        <v>783</v>
      </c>
      <c r="C6" s="1019"/>
      <c r="D6" s="1139"/>
      <c r="E6" s="1007"/>
      <c r="F6" s="1007"/>
      <c r="G6" s="1007"/>
      <c r="H6" s="1007"/>
      <c r="I6" s="1007" t="s">
        <v>411</v>
      </c>
      <c r="J6" s="1007">
        <v>3</v>
      </c>
      <c r="K6" s="1007"/>
      <c r="L6" s="1007"/>
      <c r="M6" s="1007"/>
      <c r="N6" s="1007"/>
      <c r="O6" s="1007">
        <v>3</v>
      </c>
      <c r="P6" s="1140" t="s">
        <v>246</v>
      </c>
    </row>
    <row r="7" spans="1:16" s="1134" customFormat="1">
      <c r="A7" s="458" t="s">
        <v>550</v>
      </c>
      <c r="B7" s="1138" t="s">
        <v>783</v>
      </c>
      <c r="C7" s="1019"/>
      <c r="D7" s="1139" t="s">
        <v>411</v>
      </c>
      <c r="E7" s="1007"/>
      <c r="F7" s="1007"/>
      <c r="G7" s="1007"/>
      <c r="H7" s="1007"/>
      <c r="I7" s="1007">
        <v>2</v>
      </c>
      <c r="J7" s="1007"/>
      <c r="K7" s="1007" t="s">
        <v>411</v>
      </c>
      <c r="L7" s="1007"/>
      <c r="M7" s="1007"/>
      <c r="N7" s="1007"/>
      <c r="O7" s="1007"/>
      <c r="P7" s="1140"/>
    </row>
    <row r="8" spans="1:16" s="1134" customFormat="1">
      <c r="A8" s="458" t="s">
        <v>551</v>
      </c>
      <c r="B8" s="1138" t="s">
        <v>784</v>
      </c>
      <c r="C8" s="1019"/>
      <c r="D8" s="1139">
        <v>5</v>
      </c>
      <c r="E8" s="1007"/>
      <c r="F8" s="1007"/>
      <c r="G8" s="1007"/>
      <c r="H8" s="1007"/>
      <c r="I8" s="1007"/>
      <c r="J8" s="1007"/>
      <c r="K8" s="1007"/>
      <c r="L8" s="1007">
        <v>2</v>
      </c>
      <c r="M8" s="1007"/>
      <c r="N8" s="1007"/>
      <c r="O8" s="1007"/>
      <c r="P8" s="1140"/>
    </row>
    <row r="9" spans="1:16" s="1134" customFormat="1">
      <c r="A9" s="458" t="s">
        <v>161</v>
      </c>
      <c r="B9" s="1138" t="s">
        <v>783</v>
      </c>
      <c r="C9" s="1141"/>
      <c r="D9" s="1139">
        <v>5</v>
      </c>
      <c r="E9" s="1007"/>
      <c r="F9" s="1007"/>
      <c r="G9" s="1007"/>
      <c r="H9" s="1007"/>
      <c r="I9" s="1007"/>
      <c r="J9" s="1007"/>
      <c r="K9" s="1007"/>
      <c r="L9" s="1007"/>
      <c r="M9" s="1007"/>
      <c r="N9" s="1007"/>
      <c r="O9" s="1007"/>
      <c r="P9" s="1140"/>
    </row>
    <row r="10" spans="1:16" s="1134" customFormat="1">
      <c r="A10" s="458" t="s">
        <v>162</v>
      </c>
      <c r="B10" s="1138" t="s">
        <v>783</v>
      </c>
      <c r="C10" s="1141"/>
      <c r="D10" s="1139" t="s">
        <v>412</v>
      </c>
      <c r="E10" s="1007"/>
      <c r="F10" s="1007"/>
      <c r="G10" s="1007"/>
      <c r="H10" s="1007" t="s">
        <v>413</v>
      </c>
      <c r="I10" s="1007" t="s">
        <v>412</v>
      </c>
      <c r="J10" s="1007"/>
      <c r="K10" s="1007"/>
      <c r="L10" s="1007"/>
      <c r="M10" s="1007">
        <v>6</v>
      </c>
      <c r="N10" s="1007"/>
      <c r="O10" s="1007" t="s">
        <v>413</v>
      </c>
      <c r="P10" s="1140" t="s">
        <v>414</v>
      </c>
    </row>
    <row r="11" spans="1:16" s="1134" customFormat="1">
      <c r="A11" s="458" t="s">
        <v>94</v>
      </c>
      <c r="B11" s="1138" t="s">
        <v>783</v>
      </c>
      <c r="C11" s="1141"/>
      <c r="D11" s="1139" t="s">
        <v>412</v>
      </c>
      <c r="E11" s="1007"/>
      <c r="F11" s="1007"/>
      <c r="G11" s="1007"/>
      <c r="H11" s="1007" t="s">
        <v>413</v>
      </c>
      <c r="I11" s="1007" t="s">
        <v>412</v>
      </c>
      <c r="J11" s="1007"/>
      <c r="K11" s="1007"/>
      <c r="L11" s="1007"/>
      <c r="M11" s="1007">
        <v>6</v>
      </c>
      <c r="N11" s="1007"/>
      <c r="O11" s="1007" t="s">
        <v>413</v>
      </c>
      <c r="P11" s="1140" t="s">
        <v>414</v>
      </c>
    </row>
    <row r="12" spans="1:16" s="1134" customFormat="1">
      <c r="A12" s="458" t="s">
        <v>552</v>
      </c>
      <c r="B12" s="1138" t="s">
        <v>783</v>
      </c>
      <c r="C12" s="1019"/>
      <c r="D12" s="1139"/>
      <c r="E12" s="1007"/>
      <c r="F12" s="1007"/>
      <c r="G12" s="1007"/>
      <c r="H12" s="1007"/>
      <c r="I12" s="1007"/>
      <c r="J12" s="1007">
        <v>3</v>
      </c>
      <c r="K12" s="1007"/>
      <c r="L12" s="1007"/>
      <c r="M12" s="1007"/>
      <c r="N12" s="1007"/>
      <c r="O12" s="1007">
        <v>3</v>
      </c>
      <c r="P12" s="1140"/>
    </row>
    <row r="13" spans="1:16" s="1134" customFormat="1">
      <c r="A13" s="458" t="s">
        <v>553</v>
      </c>
      <c r="B13" s="1138" t="s">
        <v>783</v>
      </c>
      <c r="C13" s="1019"/>
      <c r="D13" s="1139"/>
      <c r="E13" s="1007">
        <v>3</v>
      </c>
      <c r="F13" s="1007"/>
      <c r="G13" s="1007"/>
      <c r="H13" s="1007" t="s">
        <v>413</v>
      </c>
      <c r="I13" s="1007" t="s">
        <v>84</v>
      </c>
      <c r="J13" s="1007"/>
      <c r="K13" s="1007"/>
      <c r="L13" s="1007"/>
      <c r="M13" s="1007">
        <v>3</v>
      </c>
      <c r="N13" s="1007" t="s">
        <v>935</v>
      </c>
      <c r="O13" s="1007"/>
      <c r="P13" s="1140"/>
    </row>
    <row r="14" spans="1:16" s="1134" customFormat="1">
      <c r="A14" s="458" t="s">
        <v>686</v>
      </c>
      <c r="B14" s="1138" t="s">
        <v>785</v>
      </c>
      <c r="C14" s="1019"/>
      <c r="D14" s="1139" t="s">
        <v>415</v>
      </c>
      <c r="E14" s="1007" t="s">
        <v>93</v>
      </c>
      <c r="F14" s="1007" t="s">
        <v>935</v>
      </c>
      <c r="G14" s="1007"/>
      <c r="H14" s="1007"/>
      <c r="I14" s="1007" t="s">
        <v>415</v>
      </c>
      <c r="J14" s="1007"/>
      <c r="K14" s="1007"/>
      <c r="L14" s="1007" t="s">
        <v>935</v>
      </c>
      <c r="M14" s="1007"/>
      <c r="N14" s="1007"/>
      <c r="O14" s="1007" t="s">
        <v>416</v>
      </c>
      <c r="P14" s="1140"/>
    </row>
    <row r="15" spans="1:16" s="1134" customFormat="1">
      <c r="A15" s="458" t="s">
        <v>95</v>
      </c>
      <c r="B15" s="1138" t="s">
        <v>17</v>
      </c>
      <c r="C15" s="1141"/>
      <c r="D15" s="1139">
        <v>2</v>
      </c>
      <c r="E15" s="1007" t="s">
        <v>454</v>
      </c>
      <c r="F15" s="1007" t="s">
        <v>417</v>
      </c>
      <c r="G15" s="1007"/>
      <c r="H15" s="1007"/>
      <c r="I15" s="1007"/>
      <c r="J15" s="1007"/>
      <c r="K15" s="1007">
        <v>2</v>
      </c>
      <c r="L15" s="1007"/>
      <c r="M15" s="1007">
        <v>7</v>
      </c>
      <c r="N15" s="1007"/>
      <c r="O15" s="1007">
        <v>2</v>
      </c>
      <c r="P15" s="1140"/>
    </row>
    <row r="16" spans="1:16" s="1134" customFormat="1">
      <c r="A16" s="458" t="s">
        <v>687</v>
      </c>
      <c r="B16" s="1138" t="s">
        <v>783</v>
      </c>
      <c r="C16" s="1019"/>
      <c r="D16" s="1139"/>
      <c r="E16" s="1007">
        <v>3</v>
      </c>
      <c r="F16" s="1007"/>
      <c r="G16" s="1007"/>
      <c r="H16" s="1007"/>
      <c r="I16" s="1007">
        <v>4</v>
      </c>
      <c r="J16" s="1007"/>
      <c r="K16" s="1007">
        <v>5</v>
      </c>
      <c r="L16" s="1007"/>
      <c r="M16" s="1007">
        <v>4</v>
      </c>
      <c r="N16" s="1007"/>
      <c r="O16" s="1007"/>
      <c r="P16" s="1140"/>
    </row>
    <row r="17" spans="1:16" s="1134" customFormat="1">
      <c r="A17" s="458" t="s">
        <v>1156</v>
      </c>
      <c r="B17" s="1138" t="s">
        <v>17</v>
      </c>
      <c r="C17" s="1019"/>
      <c r="D17" s="1139"/>
      <c r="E17" s="1007"/>
      <c r="F17" s="1007">
        <v>5</v>
      </c>
      <c r="G17" s="1007"/>
      <c r="H17" s="1007"/>
      <c r="I17" s="1007"/>
      <c r="J17" s="1007"/>
      <c r="K17" s="1007"/>
      <c r="L17" s="1007"/>
      <c r="M17" s="1007"/>
      <c r="N17" s="1007"/>
      <c r="O17" s="1007"/>
      <c r="P17" s="1140"/>
    </row>
    <row r="18" spans="1:16" s="1134" customFormat="1">
      <c r="A18" s="458" t="s">
        <v>688</v>
      </c>
      <c r="B18" s="1138" t="s">
        <v>785</v>
      </c>
      <c r="C18" s="1019"/>
      <c r="D18" s="1139">
        <v>2</v>
      </c>
      <c r="E18" s="1007"/>
      <c r="F18" s="1007" t="s">
        <v>93</v>
      </c>
      <c r="G18" s="1007"/>
      <c r="H18" s="1007"/>
      <c r="I18" s="1007" t="s">
        <v>935</v>
      </c>
      <c r="J18" s="1007">
        <v>2</v>
      </c>
      <c r="K18" s="1007"/>
      <c r="L18" s="1007">
        <v>1</v>
      </c>
      <c r="M18" s="1007"/>
      <c r="N18" s="1007"/>
      <c r="O18" s="1007"/>
      <c r="P18" s="1140"/>
    </row>
    <row r="19" spans="1:16" s="1134" customFormat="1">
      <c r="A19" s="458" t="s">
        <v>689</v>
      </c>
      <c r="B19" s="1138" t="s">
        <v>784</v>
      </c>
      <c r="C19" s="1019" t="s">
        <v>328</v>
      </c>
      <c r="D19" s="1139"/>
      <c r="E19" s="1007"/>
      <c r="F19" s="1007"/>
      <c r="G19" s="1007"/>
      <c r="H19" s="1007"/>
      <c r="I19" s="1007"/>
      <c r="J19" s="1007">
        <v>3</v>
      </c>
      <c r="K19" s="1007"/>
      <c r="L19" s="1007"/>
      <c r="M19" s="1007"/>
      <c r="N19" s="1007"/>
      <c r="O19" s="1007">
        <v>3</v>
      </c>
      <c r="P19" s="1140" t="s">
        <v>774</v>
      </c>
    </row>
    <row r="20" spans="1:16" s="1134" customFormat="1">
      <c r="A20" s="458" t="s">
        <v>690</v>
      </c>
      <c r="B20" s="1138" t="s">
        <v>784</v>
      </c>
      <c r="C20" s="1019" t="s">
        <v>328</v>
      </c>
      <c r="D20" s="1139"/>
      <c r="E20" s="1007"/>
      <c r="F20" s="1007"/>
      <c r="G20" s="1007"/>
      <c r="H20" s="1007"/>
      <c r="I20" s="1007"/>
      <c r="J20" s="1007">
        <v>3</v>
      </c>
      <c r="K20" s="1007"/>
      <c r="L20" s="1007"/>
      <c r="M20" s="1007">
        <v>2</v>
      </c>
      <c r="N20" s="1007"/>
      <c r="O20" s="1007">
        <v>3</v>
      </c>
      <c r="P20" s="1140" t="s">
        <v>774</v>
      </c>
    </row>
    <row r="21" spans="1:16" s="1134" customFormat="1">
      <c r="A21" s="458" t="s">
        <v>691</v>
      </c>
      <c r="B21" s="1138" t="s">
        <v>784</v>
      </c>
      <c r="C21" s="1019" t="s">
        <v>328</v>
      </c>
      <c r="D21" s="1139"/>
      <c r="E21" s="1007"/>
      <c r="F21" s="1007"/>
      <c r="G21" s="1007"/>
      <c r="H21" s="1007"/>
      <c r="I21" s="1007"/>
      <c r="J21" s="1007">
        <v>3</v>
      </c>
      <c r="K21" s="1007"/>
      <c r="L21" s="1007"/>
      <c r="M21" s="1007"/>
      <c r="N21" s="1007"/>
      <c r="O21" s="1007">
        <v>3</v>
      </c>
      <c r="P21" s="1140" t="s">
        <v>774</v>
      </c>
    </row>
    <row r="22" spans="1:16" s="1134" customFormat="1">
      <c r="A22" s="458" t="s">
        <v>692</v>
      </c>
      <c r="B22" s="1138" t="s">
        <v>783</v>
      </c>
      <c r="C22" s="1019"/>
      <c r="D22" s="1139" t="s">
        <v>411</v>
      </c>
      <c r="E22" s="1007"/>
      <c r="F22" s="1007"/>
      <c r="G22" s="1007"/>
      <c r="H22" s="1007"/>
      <c r="I22" s="1007" t="s">
        <v>411</v>
      </c>
      <c r="J22" s="1007">
        <v>3</v>
      </c>
      <c r="K22" s="1007" t="s">
        <v>411</v>
      </c>
      <c r="L22" s="1007"/>
      <c r="M22" s="1007"/>
      <c r="N22" s="1007"/>
      <c r="O22" s="1007">
        <v>3</v>
      </c>
      <c r="P22" s="1140" t="s">
        <v>245</v>
      </c>
    </row>
    <row r="23" spans="1:16" s="1134" customFormat="1">
      <c r="A23" s="458" t="s">
        <v>693</v>
      </c>
      <c r="B23" s="1138" t="s">
        <v>784</v>
      </c>
      <c r="C23" s="1019" t="s">
        <v>328</v>
      </c>
      <c r="D23" s="1139"/>
      <c r="E23" s="1007"/>
      <c r="F23" s="1007"/>
      <c r="G23" s="1007"/>
      <c r="H23" s="1007"/>
      <c r="I23" s="1007"/>
      <c r="J23" s="1007">
        <v>3</v>
      </c>
      <c r="K23" s="1007"/>
      <c r="L23" s="1007"/>
      <c r="M23" s="1007"/>
      <c r="N23" s="1007"/>
      <c r="O23" s="1007">
        <v>3</v>
      </c>
      <c r="P23" s="1140" t="s">
        <v>774</v>
      </c>
    </row>
    <row r="24" spans="1:16" s="1134" customFormat="1">
      <c r="A24" s="458" t="s">
        <v>126</v>
      </c>
      <c r="B24" s="1138" t="s">
        <v>15</v>
      </c>
      <c r="C24" s="1019"/>
      <c r="D24" s="1139" t="s">
        <v>418</v>
      </c>
      <c r="E24" s="1007"/>
      <c r="F24" s="1007"/>
      <c r="G24" s="1007"/>
      <c r="H24" s="1007"/>
      <c r="I24" s="1007"/>
      <c r="J24" s="1007">
        <v>1</v>
      </c>
      <c r="K24" s="1007"/>
      <c r="L24" s="1007"/>
      <c r="M24" s="1007"/>
      <c r="N24" s="1007" t="s">
        <v>416</v>
      </c>
      <c r="O24" s="1007">
        <v>2</v>
      </c>
      <c r="P24" s="1140"/>
    </row>
    <row r="25" spans="1:16" s="1134" customFormat="1">
      <c r="A25" s="458" t="s">
        <v>233</v>
      </c>
      <c r="B25" s="1138" t="s">
        <v>783</v>
      </c>
      <c r="C25" s="1019"/>
      <c r="D25" s="1139">
        <v>2</v>
      </c>
      <c r="E25" s="1007"/>
      <c r="F25" s="1007"/>
      <c r="G25" s="1007"/>
      <c r="H25" s="1007"/>
      <c r="I25" s="1007"/>
      <c r="J25" s="1007"/>
      <c r="K25" s="1007">
        <v>5</v>
      </c>
      <c r="L25" s="1007">
        <v>2</v>
      </c>
      <c r="M25" s="1007"/>
      <c r="N25" s="1007"/>
      <c r="O25" s="1007"/>
      <c r="P25" s="1140"/>
    </row>
    <row r="26" spans="1:16" s="1134" customFormat="1">
      <c r="A26" s="458" t="s">
        <v>127</v>
      </c>
      <c r="B26" s="1138" t="s">
        <v>784</v>
      </c>
      <c r="C26" s="1019"/>
      <c r="D26" s="1139"/>
      <c r="E26" s="1007"/>
      <c r="F26" s="1007"/>
      <c r="G26" s="1007"/>
      <c r="H26" s="1007"/>
      <c r="I26" s="1007"/>
      <c r="J26" s="1007"/>
      <c r="K26" s="1007"/>
      <c r="L26" s="1007">
        <v>3</v>
      </c>
      <c r="M26" s="1007">
        <v>3</v>
      </c>
      <c r="N26" s="1007"/>
      <c r="O26" s="1007"/>
      <c r="P26" s="1140" t="s">
        <v>774</v>
      </c>
    </row>
    <row r="27" spans="1:16" s="1134" customFormat="1">
      <c r="A27" s="503" t="s">
        <v>1103</v>
      </c>
      <c r="B27" s="1138" t="s">
        <v>784</v>
      </c>
      <c r="C27" s="1019"/>
      <c r="D27" s="1139"/>
      <c r="E27" s="1007"/>
      <c r="F27" s="1007"/>
      <c r="G27" s="1007"/>
      <c r="H27" s="1007"/>
      <c r="I27" s="1007">
        <v>5</v>
      </c>
      <c r="J27" s="1007"/>
      <c r="K27" s="1007"/>
      <c r="L27" s="1007"/>
      <c r="M27" s="1007"/>
      <c r="N27" s="1007"/>
      <c r="O27" s="1007"/>
      <c r="P27" s="1140"/>
    </row>
    <row r="28" spans="1:16" s="1134" customFormat="1">
      <c r="A28" s="458" t="s">
        <v>128</v>
      </c>
      <c r="B28" s="1138" t="s">
        <v>419</v>
      </c>
      <c r="C28" s="1019"/>
      <c r="D28" s="1139" t="s">
        <v>420</v>
      </c>
      <c r="E28" s="1007"/>
      <c r="F28" s="1007"/>
      <c r="G28" s="1007"/>
      <c r="H28" s="1007"/>
      <c r="I28" s="1007"/>
      <c r="J28" s="1007"/>
      <c r="K28" s="1007"/>
      <c r="L28" s="1007"/>
      <c r="M28" s="1007">
        <v>7</v>
      </c>
      <c r="N28" s="1007"/>
      <c r="O28" s="1007"/>
      <c r="P28" s="1140" t="s">
        <v>774</v>
      </c>
    </row>
    <row r="29" spans="1:16" s="1134" customFormat="1">
      <c r="A29" s="458" t="s">
        <v>129</v>
      </c>
      <c r="B29" s="1138" t="s">
        <v>783</v>
      </c>
      <c r="C29" s="1019"/>
      <c r="D29" s="1139"/>
      <c r="E29" s="1007"/>
      <c r="F29" s="1007"/>
      <c r="G29" s="1007"/>
      <c r="H29" s="1007"/>
      <c r="I29" s="1007"/>
      <c r="J29" s="1007"/>
      <c r="K29" s="1007"/>
      <c r="L29" s="1007"/>
      <c r="M29" s="1007" t="s">
        <v>88</v>
      </c>
      <c r="N29" s="1007">
        <v>4</v>
      </c>
      <c r="O29" s="1007"/>
      <c r="P29" s="1140"/>
    </row>
    <row r="30" spans="1:16" s="1134" customFormat="1">
      <c r="A30" s="458" t="s">
        <v>130</v>
      </c>
      <c r="B30" s="1138" t="s">
        <v>784</v>
      </c>
      <c r="C30" s="1019"/>
      <c r="D30" s="1139">
        <v>3</v>
      </c>
      <c r="E30" s="1007"/>
      <c r="F30" s="1007"/>
      <c r="G30" s="1007"/>
      <c r="H30" s="1007"/>
      <c r="I30" s="1007"/>
      <c r="J30" s="1007"/>
      <c r="K30" s="1007" t="s">
        <v>88</v>
      </c>
      <c r="L30" s="1007"/>
      <c r="M30" s="1007"/>
      <c r="N30" s="1007"/>
      <c r="O30" s="1007"/>
      <c r="P30" s="1140"/>
    </row>
    <row r="31" spans="1:16" s="1134" customFormat="1">
      <c r="A31" s="458" t="s">
        <v>131</v>
      </c>
      <c r="B31" s="1138" t="s">
        <v>784</v>
      </c>
      <c r="C31" s="1019"/>
      <c r="D31" s="1139" t="s">
        <v>415</v>
      </c>
      <c r="E31" s="1007"/>
      <c r="F31" s="1007"/>
      <c r="G31" s="1007"/>
      <c r="H31" s="1007"/>
      <c r="I31" s="1007"/>
      <c r="J31" s="1007"/>
      <c r="K31" s="1007">
        <v>3</v>
      </c>
      <c r="L31" s="1007" t="s">
        <v>413</v>
      </c>
      <c r="M31" s="1007"/>
      <c r="N31" s="1007"/>
      <c r="O31" s="1007"/>
      <c r="P31" s="1140"/>
    </row>
    <row r="32" spans="1:16" s="1134" customFormat="1">
      <c r="A32" s="458" t="s">
        <v>132</v>
      </c>
      <c r="B32" s="1138" t="s">
        <v>783</v>
      </c>
      <c r="C32" s="1019"/>
      <c r="D32" s="1139" t="s">
        <v>421</v>
      </c>
      <c r="E32" s="1007">
        <v>2</v>
      </c>
      <c r="F32" s="1007"/>
      <c r="G32" s="1007"/>
      <c r="H32" s="1007">
        <v>1</v>
      </c>
      <c r="I32" s="1007"/>
      <c r="J32" s="1007"/>
      <c r="K32" s="1007" t="s">
        <v>935</v>
      </c>
      <c r="L32" s="1007" t="s">
        <v>413</v>
      </c>
      <c r="M32" s="1007"/>
      <c r="N32" s="1007" t="s">
        <v>422</v>
      </c>
      <c r="O32" s="1007"/>
      <c r="P32" s="1140"/>
    </row>
    <row r="33" spans="1:16" s="1134" customFormat="1">
      <c r="A33" s="458" t="s">
        <v>133</v>
      </c>
      <c r="B33" s="1138" t="s">
        <v>87</v>
      </c>
      <c r="C33" s="1019"/>
      <c r="D33" s="1139"/>
      <c r="E33" s="1007"/>
      <c r="F33" s="1007"/>
      <c r="G33" s="1007"/>
      <c r="H33" s="1007"/>
      <c r="I33" s="1007"/>
      <c r="J33" s="1007"/>
      <c r="K33" s="1007" t="s">
        <v>90</v>
      </c>
      <c r="L33" s="1007"/>
      <c r="M33" s="1007"/>
      <c r="N33" s="1007" t="s">
        <v>935</v>
      </c>
      <c r="O33" s="1007"/>
      <c r="P33" s="1140" t="s">
        <v>423</v>
      </c>
    </row>
    <row r="34" spans="1:16" s="1134" customFormat="1">
      <c r="A34" s="458" t="s">
        <v>134</v>
      </c>
      <c r="B34" s="1138" t="s">
        <v>784</v>
      </c>
      <c r="C34" s="1019"/>
      <c r="D34" s="1139" t="s">
        <v>424</v>
      </c>
      <c r="E34" s="1007"/>
      <c r="F34" s="1007">
        <v>1</v>
      </c>
      <c r="G34" s="1007"/>
      <c r="H34" s="1007"/>
      <c r="I34" s="1007"/>
      <c r="J34" s="1007"/>
      <c r="K34" s="1007">
        <v>3</v>
      </c>
      <c r="L34" s="1007">
        <v>1</v>
      </c>
      <c r="M34" s="1007"/>
      <c r="N34" s="1007"/>
      <c r="O34" s="1007"/>
      <c r="P34" s="1140"/>
    </row>
    <row r="35" spans="1:16" s="1134" customFormat="1">
      <c r="A35" s="458" t="s">
        <v>614</v>
      </c>
      <c r="B35" s="1138" t="s">
        <v>784</v>
      </c>
      <c r="C35" s="1019"/>
      <c r="D35" s="1139" t="s">
        <v>415</v>
      </c>
      <c r="E35" s="1007"/>
      <c r="F35" s="1007"/>
      <c r="G35" s="1007"/>
      <c r="H35" s="1007"/>
      <c r="I35" s="1007"/>
      <c r="J35" s="1007" t="s">
        <v>425</v>
      </c>
      <c r="K35" s="1007"/>
      <c r="L35" s="1007">
        <v>3</v>
      </c>
      <c r="M35" s="1007"/>
      <c r="N35" s="1007"/>
      <c r="O35" s="1007"/>
      <c r="P35" s="1140"/>
    </row>
    <row r="36" spans="1:16" s="1134" customFormat="1">
      <c r="A36" s="458" t="s">
        <v>135</v>
      </c>
      <c r="B36" s="1138" t="s">
        <v>419</v>
      </c>
      <c r="C36" s="1019"/>
      <c r="D36" s="1139" t="s">
        <v>426</v>
      </c>
      <c r="E36" s="1007"/>
      <c r="F36" s="1007"/>
      <c r="G36" s="1007"/>
      <c r="H36" s="1007"/>
      <c r="I36" s="1007"/>
      <c r="J36" s="1007">
        <v>4</v>
      </c>
      <c r="K36" s="1007">
        <v>2</v>
      </c>
      <c r="L36" s="1007"/>
      <c r="M36" s="1007"/>
      <c r="N36" s="1007"/>
      <c r="O36" s="1007">
        <v>2</v>
      </c>
      <c r="P36" s="1140"/>
    </row>
    <row r="37" spans="1:16" s="1134" customFormat="1">
      <c r="A37" s="458" t="s">
        <v>136</v>
      </c>
      <c r="B37" s="1138" t="s">
        <v>783</v>
      </c>
      <c r="C37" s="1019"/>
      <c r="D37" s="1139" t="s">
        <v>421</v>
      </c>
      <c r="E37" s="1007"/>
      <c r="F37" s="1007"/>
      <c r="G37" s="1007"/>
      <c r="H37" s="1007"/>
      <c r="I37" s="1007">
        <v>2</v>
      </c>
      <c r="J37" s="1007"/>
      <c r="K37" s="1007" t="s">
        <v>456</v>
      </c>
      <c r="L37" s="1007">
        <v>2</v>
      </c>
      <c r="M37" s="1007">
        <v>1</v>
      </c>
      <c r="N37" s="1007"/>
      <c r="O37" s="1007"/>
      <c r="P37" s="1140"/>
    </row>
    <row r="38" spans="1:16" ht="11.25" customHeight="1">
      <c r="A38" s="458" t="s">
        <v>781</v>
      </c>
      <c r="B38" s="1138" t="s">
        <v>16</v>
      </c>
      <c r="C38" s="1019"/>
      <c r="D38" s="1139">
        <v>1</v>
      </c>
      <c r="E38" s="1007"/>
      <c r="F38" s="1007" t="s">
        <v>93</v>
      </c>
      <c r="G38" s="1007"/>
      <c r="H38" s="1007"/>
      <c r="I38" s="1007"/>
      <c r="J38" s="1007"/>
      <c r="K38" s="1007"/>
      <c r="L38" s="1007"/>
      <c r="M38" s="1007"/>
      <c r="N38" s="1007"/>
      <c r="O38" s="1007"/>
      <c r="P38" s="1140"/>
    </row>
    <row r="39" spans="1:16" ht="11.25" customHeight="1">
      <c r="A39" s="458" t="s">
        <v>137</v>
      </c>
      <c r="B39" s="1138" t="s">
        <v>784</v>
      </c>
      <c r="C39" s="1006"/>
      <c r="D39" s="1139" t="s">
        <v>416</v>
      </c>
      <c r="E39" s="1007"/>
      <c r="F39" s="1007">
        <v>1</v>
      </c>
      <c r="G39" s="1007"/>
      <c r="H39" s="1007"/>
      <c r="I39" s="1007"/>
      <c r="J39" s="1007"/>
      <c r="K39" s="1007" t="s">
        <v>935</v>
      </c>
      <c r="L39" s="1007"/>
      <c r="M39" s="1007"/>
      <c r="N39" s="1007"/>
      <c r="O39" s="1007"/>
      <c r="P39" s="1140"/>
    </row>
    <row r="40" spans="1:16" ht="11.25" customHeight="1">
      <c r="A40" s="458" t="s">
        <v>782</v>
      </c>
      <c r="B40" s="1138" t="s">
        <v>91</v>
      </c>
      <c r="C40" s="1019"/>
      <c r="D40" s="1139"/>
      <c r="E40" s="1007"/>
      <c r="F40" s="1007">
        <v>3</v>
      </c>
      <c r="G40" s="1007"/>
      <c r="H40" s="1007"/>
      <c r="I40" s="1007"/>
      <c r="J40" s="1007"/>
      <c r="K40" s="1007"/>
      <c r="L40" s="1007">
        <v>2</v>
      </c>
      <c r="M40" s="1007" t="s">
        <v>413</v>
      </c>
      <c r="N40" s="1007"/>
      <c r="O40" s="1007"/>
      <c r="P40" s="1140"/>
    </row>
    <row r="41" spans="1:16" ht="11.25" customHeight="1">
      <c r="A41" s="458" t="s">
        <v>138</v>
      </c>
      <c r="B41" s="1138" t="s">
        <v>783</v>
      </c>
      <c r="C41" s="1019"/>
      <c r="D41" s="1139" t="s">
        <v>93</v>
      </c>
      <c r="E41" s="1007"/>
      <c r="F41" s="1007">
        <v>1</v>
      </c>
      <c r="G41" s="1007"/>
      <c r="H41" s="1007"/>
      <c r="I41" s="1007"/>
      <c r="J41" s="1007"/>
      <c r="K41" s="1007"/>
      <c r="L41" s="1007"/>
      <c r="M41" s="1007" t="s">
        <v>427</v>
      </c>
      <c r="N41" s="1007"/>
      <c r="O41" s="1007"/>
      <c r="P41" s="1140"/>
    </row>
    <row r="42" spans="1:16" ht="11.25" customHeight="1">
      <c r="A42" s="458" t="s">
        <v>612</v>
      </c>
      <c r="B42" s="1138" t="s">
        <v>367</v>
      </c>
      <c r="C42" s="1019"/>
      <c r="D42" s="1139"/>
      <c r="E42" s="1007"/>
      <c r="F42" s="1007"/>
      <c r="G42" s="1007"/>
      <c r="H42" s="1007"/>
      <c r="I42" s="1007"/>
      <c r="J42" s="1007"/>
      <c r="K42" s="1007"/>
      <c r="L42" s="1007"/>
      <c r="M42" s="1007"/>
      <c r="N42" s="1007"/>
      <c r="O42" s="1007"/>
      <c r="P42" s="1140"/>
    </row>
    <row r="43" spans="1:16" ht="11.25" customHeight="1">
      <c r="A43" s="458" t="s">
        <v>779</v>
      </c>
      <c r="B43" s="1138" t="s">
        <v>783</v>
      </c>
      <c r="C43" s="1019"/>
      <c r="D43" s="1139"/>
      <c r="E43" s="1007"/>
      <c r="F43" s="1007"/>
      <c r="G43" s="1007"/>
      <c r="H43" s="1007"/>
      <c r="I43" s="1007">
        <v>1</v>
      </c>
      <c r="J43" s="1007"/>
      <c r="K43" s="1007"/>
      <c r="L43" s="1007"/>
      <c r="M43" s="1007"/>
      <c r="N43" s="1007">
        <v>1</v>
      </c>
      <c r="O43" s="1007">
        <v>2</v>
      </c>
      <c r="P43" s="1140"/>
    </row>
    <row r="44" spans="1:16" ht="11.25" customHeight="1">
      <c r="A44" s="458" t="s">
        <v>780</v>
      </c>
      <c r="B44" s="1138" t="s">
        <v>785</v>
      </c>
      <c r="C44" s="1019" t="s">
        <v>328</v>
      </c>
      <c r="D44" s="1139"/>
      <c r="E44" s="1007"/>
      <c r="F44" s="1007"/>
      <c r="G44" s="1007"/>
      <c r="H44" s="1007"/>
      <c r="I44" s="1007">
        <v>1</v>
      </c>
      <c r="J44" s="1007"/>
      <c r="K44" s="1007"/>
      <c r="L44" s="1007"/>
      <c r="M44" s="1007">
        <v>1</v>
      </c>
      <c r="N44" s="1007" t="s">
        <v>418</v>
      </c>
      <c r="O44" s="1007"/>
      <c r="P44" s="1140"/>
    </row>
    <row r="45" spans="1:16" ht="11.25" customHeight="1">
      <c r="A45" s="458" t="s">
        <v>139</v>
      </c>
      <c r="B45" s="1138" t="s">
        <v>784</v>
      </c>
      <c r="C45" s="1019" t="s">
        <v>328</v>
      </c>
      <c r="D45" s="1139"/>
      <c r="E45" s="1007"/>
      <c r="F45" s="1007"/>
      <c r="G45" s="1007"/>
      <c r="H45" s="1007"/>
      <c r="I45" s="1007"/>
      <c r="J45" s="1007">
        <v>3</v>
      </c>
      <c r="K45" s="1007"/>
      <c r="L45" s="1007"/>
      <c r="M45" s="1007"/>
      <c r="N45" s="1007"/>
      <c r="O45" s="1007">
        <v>3</v>
      </c>
      <c r="P45" s="1140" t="s">
        <v>774</v>
      </c>
    </row>
    <row r="46" spans="1:16" ht="11.25" customHeight="1">
      <c r="A46" s="458" t="s">
        <v>140</v>
      </c>
      <c r="B46" s="1138" t="s">
        <v>419</v>
      </c>
      <c r="C46" s="1019"/>
      <c r="D46" s="1139"/>
      <c r="E46" s="1007">
        <v>2</v>
      </c>
      <c r="F46" s="1007"/>
      <c r="G46" s="1007"/>
      <c r="H46" s="1007"/>
      <c r="I46" s="1007"/>
      <c r="J46" s="1007"/>
      <c r="K46" s="1007"/>
      <c r="L46" s="1007"/>
      <c r="M46" s="1007"/>
      <c r="N46" s="1007">
        <v>2</v>
      </c>
      <c r="O46" s="1007">
        <v>2</v>
      </c>
      <c r="P46" s="1140" t="s">
        <v>428</v>
      </c>
    </row>
    <row r="47" spans="1:16" ht="11.25" customHeight="1">
      <c r="A47" s="458" t="s">
        <v>141</v>
      </c>
      <c r="B47" s="1138" t="s">
        <v>783</v>
      </c>
      <c r="C47" s="1019"/>
      <c r="D47" s="1139">
        <v>7</v>
      </c>
      <c r="E47" s="1007"/>
      <c r="F47" s="1007"/>
      <c r="G47" s="1007"/>
      <c r="H47" s="1007"/>
      <c r="I47" s="1007"/>
      <c r="J47" s="1007"/>
      <c r="K47" s="1007"/>
      <c r="L47" s="1007"/>
      <c r="M47" s="1007"/>
      <c r="N47" s="1007" t="s">
        <v>93</v>
      </c>
      <c r="O47" s="1007">
        <v>2</v>
      </c>
      <c r="P47" s="1140"/>
    </row>
    <row r="48" spans="1:16" ht="11.25" customHeight="1">
      <c r="A48" s="458" t="s">
        <v>142</v>
      </c>
      <c r="B48" s="1138" t="s">
        <v>783</v>
      </c>
      <c r="C48" s="1019"/>
      <c r="D48" s="1139"/>
      <c r="E48" s="1007" t="s">
        <v>93</v>
      </c>
      <c r="F48" s="1007"/>
      <c r="G48" s="1007" t="s">
        <v>424</v>
      </c>
      <c r="H48" s="1007"/>
      <c r="I48" s="1007">
        <v>3</v>
      </c>
      <c r="J48" s="1007"/>
      <c r="K48" s="1007"/>
      <c r="L48" s="1007" t="s">
        <v>427</v>
      </c>
      <c r="M48" s="1007"/>
      <c r="N48" s="1007">
        <v>3</v>
      </c>
      <c r="O48" s="1007"/>
      <c r="P48" s="1140"/>
    </row>
    <row r="49" spans="1:16" ht="11.25" customHeight="1">
      <c r="A49" s="458" t="s">
        <v>96</v>
      </c>
      <c r="B49" s="1138" t="s">
        <v>17</v>
      </c>
      <c r="C49" s="1141"/>
      <c r="D49" s="1139">
        <v>3</v>
      </c>
      <c r="E49" s="1007"/>
      <c r="F49" s="1007">
        <v>3</v>
      </c>
      <c r="G49" s="1007"/>
      <c r="H49" s="1007"/>
      <c r="I49" s="1007"/>
      <c r="J49" s="1007"/>
      <c r="K49" s="1007">
        <v>3</v>
      </c>
      <c r="L49" s="1007"/>
      <c r="M49" s="1007"/>
      <c r="N49" s="1007"/>
      <c r="O49" s="1007"/>
      <c r="P49" s="1140"/>
    </row>
    <row r="50" spans="1:16" ht="11.25" customHeight="1">
      <c r="A50" s="458" t="s">
        <v>97</v>
      </c>
      <c r="B50" s="1138" t="s">
        <v>783</v>
      </c>
      <c r="C50" s="1141"/>
      <c r="D50" s="1139"/>
      <c r="E50" s="1007"/>
      <c r="F50" s="1007"/>
      <c r="G50" s="1007"/>
      <c r="H50" s="1007"/>
      <c r="I50" s="1007"/>
      <c r="J50" s="1007"/>
      <c r="K50" s="1007" t="s">
        <v>429</v>
      </c>
      <c r="L50" s="1007"/>
      <c r="M50" s="1007"/>
      <c r="N50" s="1007"/>
      <c r="O50" s="1007"/>
      <c r="P50" s="1140"/>
    </row>
    <row r="51" spans="1:16" ht="11.25" customHeight="1">
      <c r="A51" s="458" t="s">
        <v>143</v>
      </c>
      <c r="B51" s="1138" t="s">
        <v>784</v>
      </c>
      <c r="C51" s="1019" t="s">
        <v>328</v>
      </c>
      <c r="D51" s="1139"/>
      <c r="E51" s="1007"/>
      <c r="F51" s="1007"/>
      <c r="G51" s="1007"/>
      <c r="H51" s="1007"/>
      <c r="I51" s="1007"/>
      <c r="J51" s="1007">
        <v>3</v>
      </c>
      <c r="K51" s="1007"/>
      <c r="L51" s="1007"/>
      <c r="M51" s="1007"/>
      <c r="N51" s="1007"/>
      <c r="O51" s="1007" t="s">
        <v>413</v>
      </c>
      <c r="P51" s="1140"/>
    </row>
    <row r="52" spans="1:16" ht="11.25" customHeight="1">
      <c r="A52" s="458" t="s">
        <v>77</v>
      </c>
      <c r="B52" s="1138" t="s">
        <v>784</v>
      </c>
      <c r="C52" s="1019" t="s">
        <v>328</v>
      </c>
      <c r="D52" s="1139">
        <v>1</v>
      </c>
      <c r="E52" s="1007"/>
      <c r="F52" s="1007">
        <v>1</v>
      </c>
      <c r="G52" s="1007"/>
      <c r="H52" s="1007"/>
      <c r="I52" s="1007"/>
      <c r="J52" s="1007"/>
      <c r="K52" s="1007">
        <v>2</v>
      </c>
      <c r="L52" s="1007"/>
      <c r="M52" s="1007" t="s">
        <v>90</v>
      </c>
      <c r="N52" s="1007">
        <v>1</v>
      </c>
      <c r="O52" s="1007"/>
      <c r="P52" s="1140"/>
    </row>
    <row r="53" spans="1:16" ht="11.25" customHeight="1">
      <c r="A53" s="458" t="s">
        <v>144</v>
      </c>
      <c r="B53" s="1138" t="s">
        <v>17</v>
      </c>
      <c r="C53" s="1019"/>
      <c r="D53" s="1139">
        <v>5</v>
      </c>
      <c r="E53" s="1007"/>
      <c r="F53" s="1007"/>
      <c r="G53" s="1007"/>
      <c r="H53" s="1007"/>
      <c r="I53" s="1007"/>
      <c r="J53" s="1007"/>
      <c r="K53" s="1007"/>
      <c r="L53" s="1007"/>
      <c r="M53" s="1007"/>
      <c r="N53" s="1007"/>
      <c r="O53" s="1007"/>
      <c r="P53" s="1140"/>
    </row>
    <row r="54" spans="1:16" ht="11.25" customHeight="1">
      <c r="A54" s="458" t="s">
        <v>487</v>
      </c>
      <c r="B54" s="1138" t="s">
        <v>784</v>
      </c>
      <c r="C54" s="1019"/>
      <c r="D54" s="1139"/>
      <c r="E54" s="1007"/>
      <c r="F54" s="1007">
        <v>3</v>
      </c>
      <c r="G54" s="1007"/>
      <c r="H54" s="1007"/>
      <c r="I54" s="1007"/>
      <c r="J54" s="1007"/>
      <c r="K54" s="1007"/>
      <c r="L54" s="1007"/>
      <c r="M54" s="1007">
        <v>3</v>
      </c>
      <c r="N54" s="1007" t="s">
        <v>457</v>
      </c>
      <c r="O54" s="1007"/>
      <c r="P54" s="1140"/>
    </row>
    <row r="55" spans="1:16" ht="11.25" customHeight="1">
      <c r="A55" s="458" t="s">
        <v>145</v>
      </c>
      <c r="B55" s="1138" t="s">
        <v>783</v>
      </c>
      <c r="C55" s="1019"/>
      <c r="D55" s="1139">
        <v>2</v>
      </c>
      <c r="E55" s="1007"/>
      <c r="F55" s="1007"/>
      <c r="G55" s="1007"/>
      <c r="H55" s="1007"/>
      <c r="I55" s="1007"/>
      <c r="J55" s="1007"/>
      <c r="K55" s="1007">
        <v>2</v>
      </c>
      <c r="L55" s="1007"/>
      <c r="M55" s="1007"/>
      <c r="N55" s="1007"/>
      <c r="O55" s="1007">
        <v>2</v>
      </c>
      <c r="P55" s="1140"/>
    </row>
    <row r="56" spans="1:16" ht="11.25" customHeight="1">
      <c r="A56" s="458" t="s">
        <v>225</v>
      </c>
      <c r="B56" s="1138" t="s">
        <v>783</v>
      </c>
      <c r="C56" s="1019"/>
      <c r="D56" s="1139">
        <v>2</v>
      </c>
      <c r="E56" s="1007"/>
      <c r="F56" s="1007"/>
      <c r="G56" s="1007"/>
      <c r="H56" s="1007"/>
      <c r="I56" s="1007"/>
      <c r="J56" s="1007"/>
      <c r="K56" s="1007">
        <v>2</v>
      </c>
      <c r="L56" s="1007"/>
      <c r="M56" s="1007"/>
      <c r="N56" s="1007"/>
      <c r="O56" s="1007"/>
      <c r="P56" s="1140"/>
    </row>
    <row r="57" spans="1:16" ht="11.25" customHeight="1">
      <c r="A57" s="458" t="s">
        <v>226</v>
      </c>
      <c r="B57" s="1138" t="s">
        <v>17</v>
      </c>
      <c r="C57" s="1019"/>
      <c r="D57" s="1139" t="s">
        <v>430</v>
      </c>
      <c r="E57" s="1007"/>
      <c r="F57" s="1007"/>
      <c r="G57" s="1007"/>
      <c r="H57" s="1007"/>
      <c r="I57" s="1007">
        <v>2</v>
      </c>
      <c r="J57" s="1007"/>
      <c r="K57" s="1007" t="s">
        <v>457</v>
      </c>
      <c r="L57" s="1007" t="s">
        <v>431</v>
      </c>
      <c r="M57" s="1007">
        <v>5</v>
      </c>
      <c r="N57" s="1007">
        <v>1</v>
      </c>
      <c r="O57" s="1007"/>
      <c r="P57" s="1140"/>
    </row>
    <row r="58" spans="1:16" ht="11.25" customHeight="1">
      <c r="A58" s="458" t="s">
        <v>227</v>
      </c>
      <c r="B58" s="1138" t="s">
        <v>784</v>
      </c>
      <c r="C58" s="1019"/>
      <c r="D58" s="1139">
        <v>2</v>
      </c>
      <c r="E58" s="1007"/>
      <c r="F58" s="1007"/>
      <c r="G58" s="1007"/>
      <c r="H58" s="1007"/>
      <c r="I58" s="1007"/>
      <c r="J58" s="1007"/>
      <c r="K58" s="1007"/>
      <c r="L58" s="1007"/>
      <c r="M58" s="1007"/>
      <c r="N58" s="1007"/>
      <c r="O58" s="1007"/>
      <c r="P58" s="1140" t="s">
        <v>774</v>
      </c>
    </row>
    <row r="59" spans="1:16" ht="11.25" customHeight="1">
      <c r="A59" s="458" t="s">
        <v>361</v>
      </c>
      <c r="B59" s="1138" t="s">
        <v>784</v>
      </c>
      <c r="C59" s="1019"/>
      <c r="D59" s="1139"/>
      <c r="E59" s="1007"/>
      <c r="F59" s="1007"/>
      <c r="G59" s="1007"/>
      <c r="H59" s="1007"/>
      <c r="I59" s="1007"/>
      <c r="J59" s="1007"/>
      <c r="K59" s="1007"/>
      <c r="L59" s="1007"/>
      <c r="M59" s="1007"/>
      <c r="N59" s="1007"/>
      <c r="O59" s="1007"/>
      <c r="P59" s="1140" t="s">
        <v>774</v>
      </c>
    </row>
    <row r="60" spans="1:16" ht="11.25" customHeight="1">
      <c r="A60" s="458" t="s">
        <v>362</v>
      </c>
      <c r="B60" s="1138" t="s">
        <v>784</v>
      </c>
      <c r="C60" s="1019"/>
      <c r="D60" s="1139"/>
      <c r="E60" s="1007"/>
      <c r="F60" s="1007"/>
      <c r="G60" s="1007"/>
      <c r="H60" s="1007"/>
      <c r="I60" s="1007"/>
      <c r="J60" s="1007"/>
      <c r="K60" s="1007"/>
      <c r="L60" s="1007"/>
      <c r="M60" s="1007"/>
      <c r="N60" s="1007"/>
      <c r="O60" s="1007"/>
      <c r="P60" s="1140" t="s">
        <v>774</v>
      </c>
    </row>
    <row r="61" spans="1:16" ht="11.25" customHeight="1">
      <c r="A61" s="458" t="s">
        <v>363</v>
      </c>
      <c r="B61" s="1138" t="s">
        <v>784</v>
      </c>
      <c r="C61" s="1019"/>
      <c r="D61" s="1139" t="s">
        <v>415</v>
      </c>
      <c r="E61" s="1007"/>
      <c r="F61" s="1007"/>
      <c r="G61" s="1007"/>
      <c r="H61" s="1007"/>
      <c r="I61" s="1007"/>
      <c r="J61" s="1007"/>
      <c r="K61" s="1007"/>
      <c r="L61" s="1007">
        <v>2</v>
      </c>
      <c r="M61" s="1007">
        <v>2</v>
      </c>
      <c r="N61" s="1007"/>
      <c r="O61" s="1007"/>
      <c r="P61" s="1140"/>
    </row>
    <row r="62" spans="1:16" ht="11.25" customHeight="1">
      <c r="A62" s="458" t="s">
        <v>234</v>
      </c>
      <c r="B62" s="1138" t="s">
        <v>17</v>
      </c>
      <c r="C62" s="1019"/>
      <c r="D62" s="1139">
        <v>2</v>
      </c>
      <c r="E62" s="1007"/>
      <c r="F62" s="1007"/>
      <c r="G62" s="1007"/>
      <c r="H62" s="1007"/>
      <c r="I62" s="1007"/>
      <c r="J62" s="1007"/>
      <c r="K62" s="1007" t="s">
        <v>432</v>
      </c>
      <c r="L62" s="1007"/>
      <c r="M62" s="1007"/>
      <c r="N62" s="1007"/>
      <c r="O62" s="1007"/>
      <c r="P62" s="1140"/>
    </row>
    <row r="63" spans="1:16" ht="11.25" customHeight="1">
      <c r="A63" s="458" t="s">
        <v>235</v>
      </c>
      <c r="B63" s="1138" t="s">
        <v>784</v>
      </c>
      <c r="C63" s="1019"/>
      <c r="D63" s="1139" t="s">
        <v>431</v>
      </c>
      <c r="E63" s="1007"/>
      <c r="F63" s="1007"/>
      <c r="G63" s="1007"/>
      <c r="H63" s="1007"/>
      <c r="I63" s="1007"/>
      <c r="J63" s="1007"/>
      <c r="K63" s="1007"/>
      <c r="L63" s="1007"/>
      <c r="M63" s="1007"/>
      <c r="N63" s="1007"/>
      <c r="O63" s="1007"/>
      <c r="P63" s="1140"/>
    </row>
    <row r="64" spans="1:16" ht="11.25" customHeight="1">
      <c r="A64" s="458" t="s">
        <v>294</v>
      </c>
      <c r="B64" s="1138" t="s">
        <v>91</v>
      </c>
      <c r="C64" s="1019"/>
      <c r="D64" s="1139" t="s">
        <v>90</v>
      </c>
      <c r="E64" s="1007"/>
      <c r="F64" s="1007"/>
      <c r="G64" s="1007"/>
      <c r="H64" s="1007"/>
      <c r="I64" s="1007"/>
      <c r="J64" s="1007"/>
      <c r="K64" s="1007">
        <v>2</v>
      </c>
      <c r="L64" s="1007">
        <v>3</v>
      </c>
      <c r="M64" s="1007"/>
      <c r="N64" s="1007">
        <v>3</v>
      </c>
      <c r="O64" s="1007"/>
      <c r="P64" s="1140"/>
    </row>
    <row r="65" spans="1:16" ht="11.25" customHeight="1">
      <c r="A65" s="458" t="s">
        <v>295</v>
      </c>
      <c r="B65" s="1138" t="s">
        <v>783</v>
      </c>
      <c r="C65" s="1019"/>
      <c r="D65" s="1139">
        <v>3</v>
      </c>
      <c r="E65" s="1007"/>
      <c r="F65" s="1007"/>
      <c r="G65" s="1007"/>
      <c r="H65" s="1007"/>
      <c r="I65" s="1007" t="s">
        <v>455</v>
      </c>
      <c r="J65" s="1007"/>
      <c r="K65" s="1007"/>
      <c r="L65" s="1007"/>
      <c r="M65" s="1007"/>
      <c r="N65" s="1007"/>
      <c r="O65" s="1007"/>
      <c r="P65" s="1140"/>
    </row>
    <row r="66" spans="1:16" ht="11.25" customHeight="1">
      <c r="A66" s="458" t="s">
        <v>228</v>
      </c>
      <c r="B66" s="1138" t="s">
        <v>783</v>
      </c>
      <c r="C66" s="1019"/>
      <c r="D66" s="1139">
        <v>3</v>
      </c>
      <c r="E66" s="1007"/>
      <c r="F66" s="1007"/>
      <c r="G66" s="1007"/>
      <c r="H66" s="1007"/>
      <c r="I66" s="1007" t="s">
        <v>411</v>
      </c>
      <c r="J66" s="1007"/>
      <c r="K66" s="1007"/>
      <c r="L66" s="1007"/>
      <c r="M66" s="1007"/>
      <c r="N66" s="1007">
        <v>3</v>
      </c>
      <c r="O66" s="1007"/>
      <c r="P66" s="1140"/>
    </row>
    <row r="67" spans="1:16" ht="11.25" customHeight="1">
      <c r="A67" s="458" t="s">
        <v>942</v>
      </c>
      <c r="B67" s="1138" t="s">
        <v>18</v>
      </c>
      <c r="C67" s="1019"/>
      <c r="D67" s="1139"/>
      <c r="E67" s="1007"/>
      <c r="F67" s="1007"/>
      <c r="G67" s="1007"/>
      <c r="H67" s="1007"/>
      <c r="I67" s="1007"/>
      <c r="J67" s="1007">
        <v>4</v>
      </c>
      <c r="K67" s="1007"/>
      <c r="L67" s="1007"/>
      <c r="M67" s="1007"/>
      <c r="N67" s="1007"/>
      <c r="O67" s="1007"/>
      <c r="P67" s="1142"/>
    </row>
    <row r="68" spans="1:16" ht="11.25" customHeight="1">
      <c r="A68" s="458" t="s">
        <v>98</v>
      </c>
      <c r="B68" s="1138" t="s">
        <v>783</v>
      </c>
      <c r="C68" s="1141"/>
      <c r="D68" s="1139" t="s">
        <v>454</v>
      </c>
      <c r="E68" s="1007"/>
      <c r="F68" s="1007"/>
      <c r="G68" s="1007">
        <v>7</v>
      </c>
      <c r="H68" s="1007"/>
      <c r="I68" s="1007">
        <v>5</v>
      </c>
      <c r="J68" s="1007"/>
      <c r="K68" s="1007" t="s">
        <v>454</v>
      </c>
      <c r="L68" s="1007"/>
      <c r="M68" s="1007"/>
      <c r="N68" s="1007"/>
      <c r="O68" s="1007"/>
      <c r="P68" s="1140"/>
    </row>
    <row r="69" spans="1:16" ht="11.25" customHeight="1">
      <c r="A69" s="458" t="s">
        <v>943</v>
      </c>
      <c r="B69" s="1138" t="s">
        <v>784</v>
      </c>
      <c r="C69" s="1019"/>
      <c r="D69" s="1139">
        <v>2</v>
      </c>
      <c r="E69" s="1007"/>
      <c r="F69" s="1007"/>
      <c r="G69" s="1007"/>
      <c r="H69" s="1007"/>
      <c r="I69" s="1007">
        <v>2</v>
      </c>
      <c r="J69" s="1007"/>
      <c r="K69" s="1007"/>
      <c r="L69" s="1007"/>
      <c r="M69" s="1007"/>
      <c r="N69" s="1007">
        <v>4</v>
      </c>
      <c r="O69" s="1007"/>
      <c r="P69" s="1140"/>
    </row>
    <row r="70" spans="1:16" ht="11.25" customHeight="1">
      <c r="A70" s="458" t="s">
        <v>296</v>
      </c>
      <c r="B70" s="1138" t="s">
        <v>784</v>
      </c>
      <c r="C70" s="1019"/>
      <c r="D70" s="1139">
        <v>5</v>
      </c>
      <c r="E70" s="1007"/>
      <c r="F70" s="1007"/>
      <c r="G70" s="1007"/>
      <c r="H70" s="1007"/>
      <c r="I70" s="1007"/>
      <c r="J70" s="1007"/>
      <c r="K70" s="1007"/>
      <c r="L70" s="1007"/>
      <c r="M70" s="1007"/>
      <c r="N70" s="1007">
        <v>3</v>
      </c>
      <c r="O70" s="1007"/>
      <c r="P70" s="1140"/>
    </row>
    <row r="71" spans="1:16" ht="11.25" customHeight="1">
      <c r="A71" s="458" t="s">
        <v>944</v>
      </c>
      <c r="B71" s="1138" t="s">
        <v>784</v>
      </c>
      <c r="C71" s="1019"/>
      <c r="D71" s="1139">
        <v>5</v>
      </c>
      <c r="E71" s="1007"/>
      <c r="F71" s="1007"/>
      <c r="G71" s="1007"/>
      <c r="H71" s="1007"/>
      <c r="I71" s="1007"/>
      <c r="J71" s="1007"/>
      <c r="K71" s="1007"/>
      <c r="L71" s="1007">
        <v>2</v>
      </c>
      <c r="M71" s="1007"/>
      <c r="N71" s="1007"/>
      <c r="O71" s="1007"/>
      <c r="P71" s="1140"/>
    </row>
    <row r="72" spans="1:16" ht="11.25" customHeight="1">
      <c r="A72" s="458" t="s">
        <v>945</v>
      </c>
      <c r="B72" s="1138" t="s">
        <v>783</v>
      </c>
      <c r="C72" s="1019"/>
      <c r="D72" s="1139"/>
      <c r="E72" s="1007"/>
      <c r="F72" s="1007">
        <v>5</v>
      </c>
      <c r="G72" s="1007"/>
      <c r="H72" s="1007"/>
      <c r="I72" s="1007"/>
      <c r="J72" s="1007"/>
      <c r="K72" s="1007"/>
      <c r="L72" s="1007"/>
      <c r="M72" s="1007">
        <v>3</v>
      </c>
      <c r="N72" s="1007"/>
      <c r="O72" s="1007"/>
      <c r="P72" s="1140"/>
    </row>
    <row r="73" spans="1:16" ht="11.25" customHeight="1">
      <c r="A73" s="458" t="s">
        <v>947</v>
      </c>
      <c r="B73" s="1138" t="s">
        <v>419</v>
      </c>
      <c r="C73" s="1019"/>
      <c r="D73" s="1139"/>
      <c r="E73" s="1007"/>
      <c r="F73" s="1007"/>
      <c r="G73" s="1007"/>
      <c r="H73" s="1007"/>
      <c r="I73" s="1007" t="s">
        <v>411</v>
      </c>
      <c r="J73" s="1007"/>
      <c r="K73" s="1007"/>
      <c r="L73" s="1007" t="s">
        <v>411</v>
      </c>
      <c r="M73" s="1007"/>
      <c r="N73" s="1007"/>
      <c r="O73" s="1007"/>
      <c r="P73" s="1140"/>
    </row>
    <row r="74" spans="1:16" ht="11.25" customHeight="1">
      <c r="A74" s="458" t="s">
        <v>946</v>
      </c>
      <c r="B74" s="1138" t="s">
        <v>783</v>
      </c>
      <c r="C74" s="1019"/>
      <c r="D74" s="1139"/>
      <c r="E74" s="1007"/>
      <c r="F74" s="1007"/>
      <c r="G74" s="1007"/>
      <c r="H74" s="1007"/>
      <c r="I74" s="1007"/>
      <c r="J74" s="1007"/>
      <c r="K74" s="1007"/>
      <c r="L74" s="1007"/>
      <c r="M74" s="1007"/>
      <c r="N74" s="1007"/>
      <c r="O74" s="1007"/>
      <c r="P74" s="1140" t="s">
        <v>433</v>
      </c>
    </row>
    <row r="75" spans="1:16" ht="11.25" customHeight="1">
      <c r="A75" s="458" t="s">
        <v>99</v>
      </c>
      <c r="B75" s="1138" t="s">
        <v>783</v>
      </c>
      <c r="C75" s="1141"/>
      <c r="D75" s="1139">
        <v>2</v>
      </c>
      <c r="E75" s="1007"/>
      <c r="F75" s="1007">
        <v>2</v>
      </c>
      <c r="G75" s="1007"/>
      <c r="H75" s="1007">
        <v>2</v>
      </c>
      <c r="I75" s="1007">
        <v>2</v>
      </c>
      <c r="J75" s="1007">
        <v>5</v>
      </c>
      <c r="K75" s="1007"/>
      <c r="L75" s="1007">
        <v>2</v>
      </c>
      <c r="M75" s="1007">
        <v>2</v>
      </c>
      <c r="N75" s="1007"/>
      <c r="O75" s="1007"/>
      <c r="P75" s="1140"/>
    </row>
    <row r="76" spans="1:16" ht="11.25" customHeight="1">
      <c r="A76" s="458" t="s">
        <v>297</v>
      </c>
      <c r="B76" s="1138" t="s">
        <v>419</v>
      </c>
      <c r="C76" s="1019"/>
      <c r="D76" s="1139"/>
      <c r="E76" s="1007"/>
      <c r="F76" s="1007"/>
      <c r="G76" s="1007"/>
      <c r="H76" s="1007" t="s">
        <v>426</v>
      </c>
      <c r="I76" s="1007"/>
      <c r="J76" s="1007"/>
      <c r="K76" s="1007"/>
      <c r="L76" s="1007">
        <v>2</v>
      </c>
      <c r="M76" s="1007"/>
      <c r="N76" s="1007"/>
      <c r="O76" s="1007"/>
      <c r="P76" s="1140"/>
    </row>
    <row r="77" spans="1:16" ht="11.25" customHeight="1">
      <c r="A77" s="458" t="s">
        <v>100</v>
      </c>
      <c r="B77" s="1138" t="s">
        <v>783</v>
      </c>
      <c r="C77" s="1141"/>
      <c r="D77" s="1139" t="s">
        <v>453</v>
      </c>
      <c r="E77" s="1007">
        <v>3</v>
      </c>
      <c r="F77" s="1007"/>
      <c r="G77" s="1007"/>
      <c r="H77" s="1007"/>
      <c r="I77" s="1007" t="s">
        <v>434</v>
      </c>
      <c r="J77" s="1007"/>
      <c r="K77" s="1007"/>
      <c r="L77" s="1007" t="s">
        <v>85</v>
      </c>
      <c r="M77" s="1007" t="s">
        <v>84</v>
      </c>
      <c r="N77" s="1007"/>
      <c r="O77" s="1007"/>
      <c r="P77" s="1140"/>
    </row>
    <row r="78" spans="1:16" ht="11.25" customHeight="1">
      <c r="A78" s="458" t="s">
        <v>101</v>
      </c>
      <c r="B78" s="1138" t="s">
        <v>783</v>
      </c>
      <c r="C78" s="1019"/>
      <c r="D78" s="1139">
        <v>6</v>
      </c>
      <c r="E78" s="1007">
        <v>3</v>
      </c>
      <c r="F78" s="1007">
        <v>2</v>
      </c>
      <c r="G78" s="1007"/>
      <c r="H78" s="1007"/>
      <c r="I78" s="1007" t="s">
        <v>435</v>
      </c>
      <c r="J78" s="1007"/>
      <c r="K78" s="1007"/>
      <c r="L78" s="1007">
        <v>3</v>
      </c>
      <c r="M78" s="1007" t="s">
        <v>412</v>
      </c>
      <c r="N78" s="1007"/>
      <c r="O78" s="1007"/>
      <c r="P78" s="1140"/>
    </row>
    <row r="79" spans="1:16" ht="11.25" customHeight="1">
      <c r="A79" s="458" t="s">
        <v>382</v>
      </c>
      <c r="B79" s="1138" t="s">
        <v>784</v>
      </c>
      <c r="C79" s="1019"/>
      <c r="D79" s="1139">
        <v>1</v>
      </c>
      <c r="E79" s="1007">
        <v>1</v>
      </c>
      <c r="F79" s="1007"/>
      <c r="G79" s="1007"/>
      <c r="H79" s="1007"/>
      <c r="I79" s="1007"/>
      <c r="J79" s="1007"/>
      <c r="K79" s="1007">
        <v>1</v>
      </c>
      <c r="L79" s="1007"/>
      <c r="M79" s="1007"/>
      <c r="N79" s="1007"/>
      <c r="O79" s="1007"/>
      <c r="P79" s="1140"/>
    </row>
    <row r="80" spans="1:16" ht="11.25" customHeight="1">
      <c r="A80" s="458" t="s">
        <v>298</v>
      </c>
      <c r="B80" s="1138" t="s">
        <v>436</v>
      </c>
      <c r="C80" s="1141"/>
      <c r="D80" s="1139" t="s">
        <v>93</v>
      </c>
      <c r="E80" s="1007"/>
      <c r="F80" s="1007" t="s">
        <v>93</v>
      </c>
      <c r="G80" s="1007" t="s">
        <v>93</v>
      </c>
      <c r="H80" s="1007"/>
      <c r="I80" s="1007">
        <v>1</v>
      </c>
      <c r="J80" s="1007">
        <v>3</v>
      </c>
      <c r="K80" s="1007"/>
      <c r="L80" s="1007"/>
      <c r="M80" s="1007" t="s">
        <v>93</v>
      </c>
      <c r="N80" s="1007" t="s">
        <v>93</v>
      </c>
      <c r="O80" s="1007">
        <v>3</v>
      </c>
      <c r="P80" s="1140" t="s">
        <v>774</v>
      </c>
    </row>
    <row r="81" spans="1:16" ht="11.25" customHeight="1">
      <c r="A81" s="458" t="s">
        <v>102</v>
      </c>
      <c r="B81" s="1138" t="s">
        <v>783</v>
      </c>
      <c r="C81" s="1019"/>
      <c r="D81" s="1139"/>
      <c r="E81" s="1007"/>
      <c r="F81" s="1007"/>
      <c r="G81" s="1007"/>
      <c r="H81" s="1007"/>
      <c r="I81" s="1007">
        <v>5</v>
      </c>
      <c r="J81" s="1007"/>
      <c r="K81" s="1007"/>
      <c r="L81" s="1007"/>
      <c r="M81" s="1007"/>
      <c r="N81" s="1007"/>
      <c r="O81" s="1007"/>
      <c r="P81" s="1140"/>
    </row>
    <row r="82" spans="1:16" ht="11.25" customHeight="1">
      <c r="A82" s="458" t="s">
        <v>370</v>
      </c>
      <c r="B82" s="1138" t="s">
        <v>419</v>
      </c>
      <c r="C82" s="1019"/>
      <c r="D82" s="1139">
        <v>3</v>
      </c>
      <c r="E82" s="1007"/>
      <c r="F82" s="1007" t="s">
        <v>88</v>
      </c>
      <c r="G82" s="1007"/>
      <c r="H82" s="1007"/>
      <c r="I82" s="1007">
        <v>5</v>
      </c>
      <c r="J82" s="1007">
        <v>3</v>
      </c>
      <c r="K82" s="1007" t="s">
        <v>417</v>
      </c>
      <c r="L82" s="1007" t="s">
        <v>88</v>
      </c>
      <c r="M82" s="1007">
        <v>3</v>
      </c>
      <c r="N82" s="1007"/>
      <c r="O82" s="1007"/>
      <c r="P82" s="1140"/>
    </row>
    <row r="83" spans="1:16" ht="11.25" customHeight="1">
      <c r="A83" s="458" t="s">
        <v>337</v>
      </c>
      <c r="B83" s="1138" t="s">
        <v>783</v>
      </c>
      <c r="C83" s="1019"/>
      <c r="D83" s="1139" t="s">
        <v>411</v>
      </c>
      <c r="E83" s="1007"/>
      <c r="F83" s="1007">
        <v>3</v>
      </c>
      <c r="G83" s="1007"/>
      <c r="H83" s="1007"/>
      <c r="I83" s="1007"/>
      <c r="J83" s="1007"/>
      <c r="K83" s="1007">
        <v>5</v>
      </c>
      <c r="L83" s="1007">
        <v>4</v>
      </c>
      <c r="M83" s="1007"/>
      <c r="N83" s="1007"/>
      <c r="O83" s="1007"/>
      <c r="P83" s="1140"/>
    </row>
    <row r="84" spans="1:16" ht="11.25" customHeight="1">
      <c r="A84" s="458" t="s">
        <v>28</v>
      </c>
      <c r="B84" s="1138" t="s">
        <v>783</v>
      </c>
      <c r="C84" s="1019"/>
      <c r="D84" s="1139"/>
      <c r="E84" s="1007"/>
      <c r="F84" s="1007"/>
      <c r="G84" s="1007"/>
      <c r="H84" s="1007"/>
      <c r="I84" s="1007"/>
      <c r="J84" s="1007"/>
      <c r="K84" s="1007"/>
      <c r="L84" s="1007"/>
      <c r="M84" s="1007"/>
      <c r="N84" s="1007"/>
      <c r="O84" s="1007"/>
      <c r="P84" s="1140"/>
    </row>
    <row r="85" spans="1:16" ht="11.25" customHeight="1">
      <c r="A85" s="458" t="s">
        <v>338</v>
      </c>
      <c r="B85" s="1138" t="s">
        <v>783</v>
      </c>
      <c r="C85" s="1019"/>
      <c r="D85" s="1139" t="s">
        <v>427</v>
      </c>
      <c r="E85" s="1007"/>
      <c r="F85" s="1007" t="s">
        <v>424</v>
      </c>
      <c r="G85" s="1007">
        <v>1</v>
      </c>
      <c r="H85" s="1007"/>
      <c r="I85" s="1007"/>
      <c r="J85" s="1007"/>
      <c r="K85" s="1007" t="s">
        <v>427</v>
      </c>
      <c r="L85" s="1007">
        <v>2</v>
      </c>
      <c r="M85" s="1007">
        <v>2</v>
      </c>
      <c r="N85" s="1007"/>
      <c r="O85" s="1007">
        <v>2</v>
      </c>
      <c r="P85" s="1140"/>
    </row>
    <row r="86" spans="1:16" ht="11.25" customHeight="1">
      <c r="A86" s="458" t="s">
        <v>339</v>
      </c>
      <c r="B86" s="1138" t="s">
        <v>783</v>
      </c>
      <c r="C86" s="1019"/>
      <c r="D86" s="1139" t="s">
        <v>411</v>
      </c>
      <c r="E86" s="1007"/>
      <c r="F86" s="1007"/>
      <c r="G86" s="1007"/>
      <c r="H86" s="1007"/>
      <c r="I86" s="1007" t="s">
        <v>411</v>
      </c>
      <c r="J86" s="1007">
        <v>3</v>
      </c>
      <c r="K86" s="1007" t="s">
        <v>411</v>
      </c>
      <c r="L86" s="1007"/>
      <c r="M86" s="1007"/>
      <c r="N86" s="1007"/>
      <c r="O86" s="1007">
        <v>3</v>
      </c>
      <c r="P86" s="1140"/>
    </row>
    <row r="87" spans="1:16" ht="11.25" customHeight="1">
      <c r="A87" s="458" t="s">
        <v>340</v>
      </c>
      <c r="B87" s="1138" t="s">
        <v>783</v>
      </c>
      <c r="C87" s="1141"/>
      <c r="D87" s="1139"/>
      <c r="E87" s="1007"/>
      <c r="F87" s="1007"/>
      <c r="G87" s="1007"/>
      <c r="H87" s="1007"/>
      <c r="I87" s="1007" t="s">
        <v>411</v>
      </c>
      <c r="J87" s="1007">
        <v>3</v>
      </c>
      <c r="K87" s="1007"/>
      <c r="L87" s="1007"/>
      <c r="M87" s="1007"/>
      <c r="N87" s="1007"/>
      <c r="O87" s="1007">
        <v>3</v>
      </c>
      <c r="P87" s="1140"/>
    </row>
    <row r="88" spans="1:16" ht="11.25" customHeight="1">
      <c r="A88" s="458" t="s">
        <v>103</v>
      </c>
      <c r="B88" s="1138" t="s">
        <v>783</v>
      </c>
      <c r="C88" s="1019"/>
      <c r="D88" s="1139"/>
      <c r="E88" s="1007"/>
      <c r="F88" s="1007"/>
      <c r="G88" s="1007"/>
      <c r="H88" s="1007"/>
      <c r="I88" s="1007"/>
      <c r="J88" s="1007"/>
      <c r="K88" s="1007" t="s">
        <v>454</v>
      </c>
      <c r="L88" s="1007"/>
      <c r="M88" s="1007">
        <v>7</v>
      </c>
      <c r="N88" s="1007"/>
      <c r="O88" s="1007"/>
      <c r="P88" s="1140"/>
    </row>
    <row r="89" spans="1:16" ht="11.25" customHeight="1">
      <c r="A89" s="458" t="s">
        <v>341</v>
      </c>
      <c r="B89" s="1138" t="s">
        <v>784</v>
      </c>
      <c r="C89" s="1019"/>
      <c r="D89" s="1139">
        <v>5</v>
      </c>
      <c r="E89" s="1007"/>
      <c r="F89" s="1007"/>
      <c r="G89" s="1007"/>
      <c r="H89" s="1007"/>
      <c r="I89" s="1007"/>
      <c r="J89" s="1007"/>
      <c r="K89" s="1007"/>
      <c r="L89" s="1007">
        <v>6</v>
      </c>
      <c r="M89" s="1007"/>
      <c r="N89" s="1007"/>
      <c r="O89" s="1007"/>
      <c r="P89" s="1140"/>
    </row>
    <row r="90" spans="1:16" ht="11.25" customHeight="1">
      <c r="A90" s="458" t="s">
        <v>342</v>
      </c>
      <c r="B90" s="1138" t="s">
        <v>784</v>
      </c>
      <c r="C90" s="1019"/>
      <c r="D90" s="1139">
        <v>5</v>
      </c>
      <c r="E90" s="1007"/>
      <c r="F90" s="1007"/>
      <c r="G90" s="1007"/>
      <c r="H90" s="1007"/>
      <c r="I90" s="1007"/>
      <c r="J90" s="1007"/>
      <c r="K90" s="1007"/>
      <c r="L90" s="1007">
        <v>6</v>
      </c>
      <c r="M90" s="1007"/>
      <c r="N90" s="1007"/>
      <c r="O90" s="1007"/>
      <c r="P90" s="1140"/>
    </row>
    <row r="91" spans="1:16" ht="11.25" customHeight="1">
      <c r="A91" s="458" t="s">
        <v>371</v>
      </c>
      <c r="B91" s="1138" t="s">
        <v>784</v>
      </c>
      <c r="C91" s="1019"/>
      <c r="D91" s="1139" t="s">
        <v>416</v>
      </c>
      <c r="E91" s="1007"/>
      <c r="F91" s="1007"/>
      <c r="G91" s="1007">
        <v>3</v>
      </c>
      <c r="H91" s="1007"/>
      <c r="I91" s="1007">
        <v>3</v>
      </c>
      <c r="J91" s="1007">
        <v>3</v>
      </c>
      <c r="K91" s="1007">
        <v>3</v>
      </c>
      <c r="L91" s="1007" t="s">
        <v>413</v>
      </c>
      <c r="M91" s="1007">
        <v>2</v>
      </c>
      <c r="N91" s="1007"/>
      <c r="O91" s="1007"/>
      <c r="P91" s="1140" t="s">
        <v>850</v>
      </c>
    </row>
    <row r="92" spans="1:16" ht="11.25" customHeight="1">
      <c r="A92" s="458" t="s">
        <v>343</v>
      </c>
      <c r="B92" s="1138" t="s">
        <v>17</v>
      </c>
      <c r="C92" s="1019"/>
      <c r="D92" s="1139">
        <v>3</v>
      </c>
      <c r="E92" s="1007"/>
      <c r="F92" s="1007"/>
      <c r="G92" s="1007"/>
      <c r="H92" s="1007"/>
      <c r="I92" s="1007"/>
      <c r="J92" s="1007"/>
      <c r="K92" s="1007">
        <v>3</v>
      </c>
      <c r="L92" s="1007"/>
      <c r="M92" s="1007"/>
      <c r="N92" s="1007"/>
      <c r="O92" s="1007">
        <v>2</v>
      </c>
      <c r="P92" s="1140"/>
    </row>
    <row r="93" spans="1:16" ht="11.25" customHeight="1">
      <c r="A93" s="458" t="s">
        <v>364</v>
      </c>
      <c r="B93" s="1138" t="s">
        <v>784</v>
      </c>
      <c r="C93" s="1019"/>
      <c r="D93" s="1139">
        <v>1</v>
      </c>
      <c r="E93" s="1007"/>
      <c r="F93" s="1007"/>
      <c r="G93" s="1007"/>
      <c r="H93" s="1007"/>
      <c r="I93" s="1007"/>
      <c r="J93" s="1007"/>
      <c r="K93" s="1007" t="s">
        <v>430</v>
      </c>
      <c r="L93" s="1007"/>
      <c r="M93" s="1007"/>
      <c r="N93" s="1007"/>
      <c r="O93" s="1007"/>
      <c r="P93" s="1140"/>
    </row>
    <row r="94" spans="1:16" ht="11.25" customHeight="1">
      <c r="A94" s="458" t="s">
        <v>344</v>
      </c>
      <c r="B94" s="1138" t="s">
        <v>17</v>
      </c>
      <c r="C94" s="1141"/>
      <c r="D94" s="1139" t="s">
        <v>413</v>
      </c>
      <c r="E94" s="1007"/>
      <c r="F94" s="1007"/>
      <c r="G94" s="1007"/>
      <c r="H94" s="1007"/>
      <c r="I94" s="1007"/>
      <c r="J94" s="1007"/>
      <c r="K94" s="1007" t="s">
        <v>415</v>
      </c>
      <c r="L94" s="1007"/>
      <c r="M94" s="1007"/>
      <c r="N94" s="1007"/>
      <c r="O94" s="1007"/>
      <c r="P94" s="1140"/>
    </row>
    <row r="95" spans="1:16" ht="11.25" customHeight="1">
      <c r="A95" s="458" t="s">
        <v>104</v>
      </c>
      <c r="B95" s="1138" t="s">
        <v>783</v>
      </c>
      <c r="C95" s="1019"/>
      <c r="D95" s="1139"/>
      <c r="E95" s="1007"/>
      <c r="F95" s="1007">
        <v>5</v>
      </c>
      <c r="G95" s="1007"/>
      <c r="H95" s="1007"/>
      <c r="I95" s="1007"/>
      <c r="J95" s="1007"/>
      <c r="K95" s="1007"/>
      <c r="L95" s="1007"/>
      <c r="M95" s="1007"/>
      <c r="N95" s="1007"/>
      <c r="O95" s="1007"/>
      <c r="P95" s="1140"/>
    </row>
    <row r="96" spans="1:16" ht="11.25" customHeight="1">
      <c r="A96" s="458" t="s">
        <v>345</v>
      </c>
      <c r="B96" s="1138" t="s">
        <v>784</v>
      </c>
      <c r="C96" s="1019" t="s">
        <v>328</v>
      </c>
      <c r="D96" s="1139"/>
      <c r="E96" s="1007"/>
      <c r="F96" s="1007"/>
      <c r="G96" s="1007"/>
      <c r="H96" s="1007"/>
      <c r="I96" s="1007"/>
      <c r="J96" s="1007">
        <v>3</v>
      </c>
      <c r="K96" s="1007"/>
      <c r="L96" s="1007"/>
      <c r="M96" s="1007"/>
      <c r="N96" s="1007"/>
      <c r="O96" s="1007">
        <v>3</v>
      </c>
      <c r="P96" s="1140" t="s">
        <v>774</v>
      </c>
    </row>
    <row r="97" spans="1:16" ht="11.25" customHeight="1">
      <c r="A97" s="458" t="s">
        <v>105</v>
      </c>
      <c r="B97" s="1138" t="s">
        <v>17</v>
      </c>
      <c r="C97" s="1141"/>
      <c r="D97" s="1139">
        <v>1</v>
      </c>
      <c r="E97" s="1007"/>
      <c r="F97" s="1007">
        <v>1</v>
      </c>
      <c r="G97" s="1007"/>
      <c r="H97" s="1007"/>
      <c r="I97" s="1007"/>
      <c r="J97" s="1007"/>
      <c r="K97" s="1007"/>
      <c r="L97" s="1007"/>
      <c r="M97" s="1007"/>
      <c r="N97" s="1007"/>
      <c r="O97" s="1007"/>
      <c r="P97" s="1140"/>
    </row>
    <row r="98" spans="1:16" ht="11.25" customHeight="1">
      <c r="A98" s="458" t="s">
        <v>346</v>
      </c>
      <c r="B98" s="1138" t="s">
        <v>784</v>
      </c>
      <c r="C98" s="1019"/>
      <c r="D98" s="1139" t="s">
        <v>412</v>
      </c>
      <c r="E98" s="1007">
        <v>6</v>
      </c>
      <c r="F98" s="1007" t="s">
        <v>412</v>
      </c>
      <c r="G98" s="1007"/>
      <c r="H98" s="1007"/>
      <c r="I98" s="1007" t="s">
        <v>412</v>
      </c>
      <c r="J98" s="1007" t="s">
        <v>412</v>
      </c>
      <c r="K98" s="1007" t="s">
        <v>412</v>
      </c>
      <c r="L98" s="1007" t="s">
        <v>412</v>
      </c>
      <c r="M98" s="1007">
        <v>6</v>
      </c>
      <c r="N98" s="1007"/>
      <c r="O98" s="1007"/>
      <c r="P98" s="1140"/>
    </row>
    <row r="99" spans="1:16" ht="11.25" customHeight="1">
      <c r="A99" s="458" t="s">
        <v>347</v>
      </c>
      <c r="B99" s="1138" t="s">
        <v>783</v>
      </c>
      <c r="C99" s="1019"/>
      <c r="D99" s="1139"/>
      <c r="E99" s="1007"/>
      <c r="F99" s="1007">
        <v>3</v>
      </c>
      <c r="G99" s="1007"/>
      <c r="H99" s="1007"/>
      <c r="I99" s="1007"/>
      <c r="J99" s="1007">
        <v>1</v>
      </c>
      <c r="K99" s="1007" t="s">
        <v>457</v>
      </c>
      <c r="L99" s="1007" t="s">
        <v>421</v>
      </c>
      <c r="M99" s="1007"/>
      <c r="N99" s="1007"/>
      <c r="O99" s="1007"/>
      <c r="P99" s="1140"/>
    </row>
    <row r="100" spans="1:16" ht="11.25" customHeight="1">
      <c r="A100" s="458" t="s">
        <v>348</v>
      </c>
      <c r="B100" s="1138" t="s">
        <v>783</v>
      </c>
      <c r="C100" s="1019"/>
      <c r="D100" s="1139">
        <v>2</v>
      </c>
      <c r="E100" s="1007"/>
      <c r="F100" s="1007">
        <v>5</v>
      </c>
      <c r="G100" s="1007"/>
      <c r="H100" s="1007"/>
      <c r="I100" s="1007"/>
      <c r="J100" s="1007"/>
      <c r="K100" s="1007">
        <v>2</v>
      </c>
      <c r="L100" s="1007">
        <v>2</v>
      </c>
      <c r="M100" s="1007" t="s">
        <v>851</v>
      </c>
      <c r="N100" s="1007"/>
      <c r="O100" s="1007"/>
      <c r="P100" s="1140"/>
    </row>
    <row r="101" spans="1:16" ht="11.25" customHeight="1">
      <c r="A101" s="458" t="s">
        <v>350</v>
      </c>
      <c r="B101" s="1138" t="s">
        <v>783</v>
      </c>
      <c r="C101" s="1019"/>
      <c r="D101" s="1139"/>
      <c r="E101" s="1007"/>
      <c r="F101" s="1007">
        <v>5</v>
      </c>
      <c r="G101" s="1007"/>
      <c r="H101" s="1007"/>
      <c r="I101" s="1007"/>
      <c r="J101" s="1007"/>
      <c r="K101" s="1007"/>
      <c r="L101" s="1007"/>
      <c r="M101" s="1007" t="s">
        <v>457</v>
      </c>
      <c r="N101" s="1007"/>
      <c r="O101" s="1007"/>
      <c r="P101" s="1140"/>
    </row>
    <row r="102" spans="1:16" ht="11.25" customHeight="1">
      <c r="A102" s="458" t="s">
        <v>351</v>
      </c>
      <c r="B102" s="1138" t="s">
        <v>783</v>
      </c>
      <c r="C102" s="1019"/>
      <c r="D102" s="1139"/>
      <c r="E102" s="1007"/>
      <c r="F102" s="1007"/>
      <c r="G102" s="1007"/>
      <c r="H102" s="1007"/>
      <c r="I102" s="1007"/>
      <c r="J102" s="1007"/>
      <c r="K102" s="1007"/>
      <c r="L102" s="1007">
        <v>6</v>
      </c>
      <c r="M102" s="1007"/>
      <c r="N102" s="1007"/>
      <c r="O102" s="1007"/>
      <c r="P102" s="1140"/>
    </row>
    <row r="103" spans="1:16" ht="11.25" customHeight="1">
      <c r="A103" s="458" t="s">
        <v>352</v>
      </c>
      <c r="B103" s="1138" t="s">
        <v>17</v>
      </c>
      <c r="C103" s="1019"/>
      <c r="D103" s="1139"/>
      <c r="E103" s="1007"/>
      <c r="F103" s="1007">
        <v>5</v>
      </c>
      <c r="G103" s="1007"/>
      <c r="H103" s="1007"/>
      <c r="I103" s="1007"/>
      <c r="J103" s="1007"/>
      <c r="K103" s="1007"/>
      <c r="L103" s="1007" t="s">
        <v>418</v>
      </c>
      <c r="M103" s="1007"/>
      <c r="N103" s="1007"/>
      <c r="O103" s="1007"/>
      <c r="P103" s="1140"/>
    </row>
    <row r="104" spans="1:16" ht="11.25" customHeight="1">
      <c r="A104" s="458" t="s">
        <v>353</v>
      </c>
      <c r="B104" s="1138" t="s">
        <v>419</v>
      </c>
      <c r="C104" s="1019"/>
      <c r="D104" s="1139" t="s">
        <v>418</v>
      </c>
      <c r="E104" s="1007"/>
      <c r="F104" s="1007"/>
      <c r="G104" s="1007"/>
      <c r="H104" s="1007">
        <v>1</v>
      </c>
      <c r="I104" s="1007"/>
      <c r="J104" s="1007"/>
      <c r="K104" s="1007" t="s">
        <v>418</v>
      </c>
      <c r="L104" s="1007"/>
      <c r="M104" s="1007"/>
      <c r="N104" s="1007"/>
      <c r="O104" s="1007"/>
      <c r="P104" s="1143"/>
    </row>
    <row r="105" spans="1:16" ht="11.25" customHeight="1">
      <c r="A105" s="458" t="s">
        <v>349</v>
      </c>
      <c r="B105" s="1138" t="s">
        <v>784</v>
      </c>
      <c r="C105" s="1019" t="s">
        <v>328</v>
      </c>
      <c r="D105" s="1139" t="s">
        <v>426</v>
      </c>
      <c r="E105" s="1007">
        <v>1</v>
      </c>
      <c r="F105" s="1007"/>
      <c r="G105" s="1007"/>
      <c r="H105" s="1007"/>
      <c r="I105" s="1007"/>
      <c r="J105" s="1007"/>
      <c r="K105" s="1007">
        <v>2</v>
      </c>
      <c r="L105" s="1007">
        <v>1</v>
      </c>
      <c r="M105" s="1007"/>
      <c r="N105" s="1007"/>
      <c r="O105" s="1007"/>
      <c r="P105" s="1140"/>
    </row>
    <row r="106" spans="1:16" ht="11.25" customHeight="1">
      <c r="A106" s="458" t="s">
        <v>590</v>
      </c>
      <c r="B106" s="1138" t="s">
        <v>17</v>
      </c>
      <c r="C106" s="1019"/>
      <c r="D106" s="1139"/>
      <c r="E106" s="1007"/>
      <c r="F106" s="1007"/>
      <c r="G106" s="1007"/>
      <c r="H106" s="1007"/>
      <c r="I106" s="1007" t="s">
        <v>411</v>
      </c>
      <c r="J106" s="1007">
        <v>3</v>
      </c>
      <c r="K106" s="1007"/>
      <c r="L106" s="1007"/>
      <c r="M106" s="1007"/>
      <c r="N106" s="1007"/>
      <c r="O106" s="1007">
        <v>3</v>
      </c>
      <c r="P106" s="1140" t="s">
        <v>246</v>
      </c>
    </row>
    <row r="107" spans="1:16" ht="11.25" customHeight="1">
      <c r="A107" s="458" t="s">
        <v>591</v>
      </c>
      <c r="B107" s="1138" t="s">
        <v>783</v>
      </c>
      <c r="C107" s="1019"/>
      <c r="D107" s="1139"/>
      <c r="E107" s="1007"/>
      <c r="F107" s="1007"/>
      <c r="G107" s="1007"/>
      <c r="H107" s="1007"/>
      <c r="I107" s="1007" t="s">
        <v>411</v>
      </c>
      <c r="J107" s="1007">
        <v>3</v>
      </c>
      <c r="K107" s="1007"/>
      <c r="L107" s="1007"/>
      <c r="M107" s="1007"/>
      <c r="N107" s="1007"/>
      <c r="O107" s="1007">
        <v>3</v>
      </c>
      <c r="P107" s="1140" t="s">
        <v>246</v>
      </c>
    </row>
    <row r="108" spans="1:16" ht="11.25" customHeight="1">
      <c r="A108" s="458" t="s">
        <v>465</v>
      </c>
      <c r="B108" s="1138" t="s">
        <v>783</v>
      </c>
      <c r="C108" s="1019"/>
      <c r="D108" s="1139"/>
      <c r="E108" s="1007"/>
      <c r="F108" s="1007"/>
      <c r="G108" s="1007"/>
      <c r="H108" s="1007"/>
      <c r="I108" s="1007">
        <v>5</v>
      </c>
      <c r="J108" s="1007"/>
      <c r="K108" s="1007"/>
      <c r="L108" s="1007"/>
      <c r="M108" s="1007"/>
      <c r="N108" s="1007"/>
      <c r="O108" s="1007"/>
      <c r="P108" s="1140"/>
    </row>
    <row r="109" spans="1:16" ht="11.25" customHeight="1">
      <c r="A109" s="458" t="s">
        <v>466</v>
      </c>
      <c r="B109" s="1138" t="s">
        <v>17</v>
      </c>
      <c r="C109" s="1019"/>
      <c r="D109" s="1139"/>
      <c r="E109" s="1007"/>
      <c r="F109" s="1007"/>
      <c r="G109" s="1007"/>
      <c r="H109" s="1007">
        <v>2</v>
      </c>
      <c r="I109" s="1007">
        <v>2</v>
      </c>
      <c r="J109" s="1007">
        <v>3</v>
      </c>
      <c r="K109" s="1007"/>
      <c r="L109" s="1007"/>
      <c r="M109" s="1007"/>
      <c r="N109" s="1007" t="s">
        <v>418</v>
      </c>
      <c r="O109" s="1007">
        <v>3</v>
      </c>
      <c r="P109" s="1140"/>
    </row>
    <row r="110" spans="1:16" ht="11.25" customHeight="1">
      <c r="A110" s="458" t="s">
        <v>812</v>
      </c>
      <c r="B110" s="1138" t="s">
        <v>92</v>
      </c>
      <c r="C110" s="1019"/>
      <c r="D110" s="1139" t="s">
        <v>418</v>
      </c>
      <c r="E110" s="1007"/>
      <c r="F110" s="1007"/>
      <c r="G110" s="1007"/>
      <c r="H110" s="1007"/>
      <c r="I110" s="1007">
        <v>1</v>
      </c>
      <c r="J110" s="1007"/>
      <c r="K110" s="1007">
        <v>5</v>
      </c>
      <c r="L110" s="1007"/>
      <c r="M110" s="1007"/>
      <c r="N110" s="1007" t="s">
        <v>457</v>
      </c>
      <c r="O110" s="1007">
        <v>2</v>
      </c>
      <c r="P110" s="1140"/>
    </row>
    <row r="111" spans="1:16" ht="11.25" customHeight="1">
      <c r="A111" s="458" t="s">
        <v>106</v>
      </c>
      <c r="B111" s="1138" t="s">
        <v>783</v>
      </c>
      <c r="C111" s="1141"/>
      <c r="D111" s="1139" t="s">
        <v>86</v>
      </c>
      <c r="E111" s="1007"/>
      <c r="F111" s="1007">
        <v>2</v>
      </c>
      <c r="G111" s="1007" t="s">
        <v>937</v>
      </c>
      <c r="H111" s="1007"/>
      <c r="I111" s="1007" t="s">
        <v>852</v>
      </c>
      <c r="J111" s="1007"/>
      <c r="K111" s="1007" t="s">
        <v>937</v>
      </c>
      <c r="L111" s="1007" t="s">
        <v>775</v>
      </c>
      <c r="M111" s="1007"/>
      <c r="N111" s="1007">
        <v>2</v>
      </c>
      <c r="O111" s="1007">
        <v>6</v>
      </c>
      <c r="P111" s="1140"/>
    </row>
    <row r="112" spans="1:16" ht="11.25" customHeight="1">
      <c r="A112" s="458" t="s">
        <v>107</v>
      </c>
      <c r="B112" s="1138" t="s">
        <v>419</v>
      </c>
      <c r="C112" s="1141"/>
      <c r="D112" s="1139"/>
      <c r="E112" s="1007"/>
      <c r="F112" s="1007"/>
      <c r="G112" s="1007"/>
      <c r="H112" s="1007"/>
      <c r="I112" s="1007"/>
      <c r="J112" s="1007"/>
      <c r="K112" s="1007"/>
      <c r="L112" s="1007"/>
      <c r="M112" s="1007"/>
      <c r="N112" s="1007"/>
      <c r="O112" s="1007"/>
      <c r="P112" s="1140" t="s">
        <v>433</v>
      </c>
    </row>
    <row r="113" spans="1:16" ht="11.25" customHeight="1">
      <c r="A113" s="458" t="s">
        <v>108</v>
      </c>
      <c r="B113" s="1138" t="s">
        <v>419</v>
      </c>
      <c r="C113" s="1141"/>
      <c r="D113" s="1139">
        <v>2</v>
      </c>
      <c r="E113" s="1007"/>
      <c r="F113" s="1007"/>
      <c r="G113" s="1007"/>
      <c r="H113" s="1007"/>
      <c r="I113" s="1007">
        <v>2</v>
      </c>
      <c r="J113" s="1007"/>
      <c r="K113" s="1007"/>
      <c r="L113" s="1007"/>
      <c r="M113" s="1007">
        <v>2</v>
      </c>
      <c r="N113" s="1007"/>
      <c r="O113" s="1007"/>
      <c r="P113" s="1140"/>
    </row>
    <row r="114" spans="1:16" ht="11.25" customHeight="1">
      <c r="A114" s="458" t="s">
        <v>109</v>
      </c>
      <c r="B114" s="1138" t="s">
        <v>783</v>
      </c>
      <c r="C114" s="1141"/>
      <c r="D114" s="1139"/>
      <c r="E114" s="1007"/>
      <c r="F114" s="1007"/>
      <c r="G114" s="1007"/>
      <c r="H114" s="1007"/>
      <c r="I114" s="1007">
        <v>2</v>
      </c>
      <c r="J114" s="1007"/>
      <c r="K114" s="1007"/>
      <c r="L114" s="1007"/>
      <c r="M114" s="1007"/>
      <c r="N114" s="1007"/>
      <c r="O114" s="1007"/>
      <c r="P114" s="1140"/>
    </row>
    <row r="115" spans="1:16" ht="11.25" customHeight="1">
      <c r="A115" s="458" t="s">
        <v>110</v>
      </c>
      <c r="B115" s="1138" t="s">
        <v>419</v>
      </c>
      <c r="C115" s="1141"/>
      <c r="D115" s="1139">
        <v>2</v>
      </c>
      <c r="E115" s="1007"/>
      <c r="F115" s="1007"/>
      <c r="G115" s="1007"/>
      <c r="H115" s="1007"/>
      <c r="I115" s="1007">
        <v>2</v>
      </c>
      <c r="J115" s="1007"/>
      <c r="K115" s="1007"/>
      <c r="L115" s="1007"/>
      <c r="M115" s="1007">
        <v>2</v>
      </c>
      <c r="N115" s="1007"/>
      <c r="O115" s="1007"/>
      <c r="P115" s="1140"/>
    </row>
    <row r="116" spans="1:16" ht="11.25" customHeight="1">
      <c r="A116" s="458" t="s">
        <v>467</v>
      </c>
      <c r="B116" s="1138" t="s">
        <v>784</v>
      </c>
      <c r="C116" s="1019"/>
      <c r="D116" s="1139" t="s">
        <v>416</v>
      </c>
      <c r="E116" s="1007"/>
      <c r="F116" s="1007" t="s">
        <v>93</v>
      </c>
      <c r="G116" s="1007"/>
      <c r="H116" s="1007"/>
      <c r="I116" s="1007">
        <v>3</v>
      </c>
      <c r="J116" s="1007">
        <v>3</v>
      </c>
      <c r="K116" s="1007" t="s">
        <v>426</v>
      </c>
      <c r="L116" s="1007" t="s">
        <v>413</v>
      </c>
      <c r="M116" s="1007">
        <v>1</v>
      </c>
      <c r="N116" s="1007" t="s">
        <v>413</v>
      </c>
      <c r="O116" s="1007"/>
      <c r="P116" s="1140"/>
    </row>
    <row r="117" spans="1:16" ht="11.25" customHeight="1">
      <c r="A117" s="458" t="s">
        <v>111</v>
      </c>
      <c r="B117" s="1138" t="s">
        <v>419</v>
      </c>
      <c r="C117" s="1141"/>
      <c r="D117" s="1139"/>
      <c r="E117" s="1007"/>
      <c r="F117" s="1007"/>
      <c r="G117" s="1007"/>
      <c r="H117" s="1007"/>
      <c r="I117" s="1007"/>
      <c r="J117" s="1007"/>
      <c r="K117" s="1007"/>
      <c r="L117" s="1007"/>
      <c r="M117" s="1007"/>
      <c r="N117" s="1007"/>
      <c r="O117" s="1007"/>
      <c r="P117" s="1140" t="s">
        <v>433</v>
      </c>
    </row>
    <row r="118" spans="1:16" ht="11.25" customHeight="1">
      <c r="A118" s="458" t="s">
        <v>231</v>
      </c>
      <c r="B118" s="1138" t="s">
        <v>783</v>
      </c>
      <c r="C118" s="1019"/>
      <c r="D118" s="1139"/>
      <c r="E118" s="1007"/>
      <c r="F118" s="1007"/>
      <c r="G118" s="1007">
        <v>7</v>
      </c>
      <c r="H118" s="1007"/>
      <c r="I118" s="1007">
        <v>2</v>
      </c>
      <c r="J118" s="1007"/>
      <c r="K118" s="1007"/>
      <c r="L118" s="1007"/>
      <c r="M118" s="1007"/>
      <c r="N118" s="1007"/>
      <c r="O118" s="1007"/>
      <c r="P118" s="1140"/>
    </row>
    <row r="119" spans="1:16" ht="11.25" customHeight="1">
      <c r="A119" s="458" t="s">
        <v>468</v>
      </c>
      <c r="B119" s="1138" t="s">
        <v>783</v>
      </c>
      <c r="C119" s="1019"/>
      <c r="D119" s="1139"/>
      <c r="E119" s="1007"/>
      <c r="F119" s="1007"/>
      <c r="G119" s="1007"/>
      <c r="H119" s="1007"/>
      <c r="I119" s="1007" t="s">
        <v>411</v>
      </c>
      <c r="J119" s="1007">
        <v>3</v>
      </c>
      <c r="K119" s="1007"/>
      <c r="L119" s="1007"/>
      <c r="M119" s="1007"/>
      <c r="N119" s="1007"/>
      <c r="O119" s="1007">
        <v>3</v>
      </c>
      <c r="P119" s="1140" t="s">
        <v>246</v>
      </c>
    </row>
    <row r="120" spans="1:16" ht="11.25" customHeight="1">
      <c r="A120" s="458" t="s">
        <v>469</v>
      </c>
      <c r="B120" s="1138" t="s">
        <v>783</v>
      </c>
      <c r="C120" s="1019"/>
      <c r="D120" s="1139" t="s">
        <v>457</v>
      </c>
      <c r="E120" s="1007"/>
      <c r="F120" s="1007" t="s">
        <v>88</v>
      </c>
      <c r="G120" s="1007"/>
      <c r="H120" s="1007"/>
      <c r="I120" s="1007">
        <v>1</v>
      </c>
      <c r="J120" s="1007"/>
      <c r="K120" s="1007" t="s">
        <v>457</v>
      </c>
      <c r="L120" s="1007">
        <v>1</v>
      </c>
      <c r="M120" s="1007">
        <v>4</v>
      </c>
      <c r="N120" s="1007">
        <v>1</v>
      </c>
      <c r="O120" s="1007"/>
      <c r="P120" s="1140"/>
    </row>
    <row r="121" spans="1:16" ht="11.25" customHeight="1">
      <c r="A121" s="458" t="s">
        <v>365</v>
      </c>
      <c r="B121" s="1138" t="s">
        <v>784</v>
      </c>
      <c r="C121" s="1019"/>
      <c r="D121" s="1139" t="s">
        <v>935</v>
      </c>
      <c r="E121" s="1007"/>
      <c r="F121" s="1007" t="s">
        <v>93</v>
      </c>
      <c r="G121" s="1007">
        <v>3</v>
      </c>
      <c r="H121" s="1007">
        <v>5</v>
      </c>
      <c r="I121" s="1007">
        <v>3</v>
      </c>
      <c r="J121" s="1007" t="s">
        <v>424</v>
      </c>
      <c r="K121" s="1007"/>
      <c r="L121" s="1007"/>
      <c r="M121" s="1007" t="s">
        <v>935</v>
      </c>
      <c r="N121" s="1007"/>
      <c r="O121" s="1007">
        <v>3</v>
      </c>
      <c r="P121" s="1142"/>
    </row>
    <row r="122" spans="1:16" ht="11.25" customHeight="1">
      <c r="A122" s="458" t="s">
        <v>112</v>
      </c>
      <c r="B122" s="1138" t="s">
        <v>783</v>
      </c>
      <c r="C122" s="1141"/>
      <c r="D122" s="1139">
        <v>5</v>
      </c>
      <c r="E122" s="1007"/>
      <c r="F122" s="1007"/>
      <c r="G122" s="1007"/>
      <c r="H122" s="1007"/>
      <c r="I122" s="1007"/>
      <c r="J122" s="1007"/>
      <c r="K122" s="1007"/>
      <c r="L122" s="1007"/>
      <c r="M122" s="1007"/>
      <c r="N122" s="1007"/>
      <c r="O122" s="1007"/>
      <c r="P122" s="1140"/>
    </row>
    <row r="123" spans="1:16" ht="11.25" customHeight="1">
      <c r="A123" s="458" t="s">
        <v>470</v>
      </c>
      <c r="B123" s="1138" t="s">
        <v>783</v>
      </c>
      <c r="C123" s="1019"/>
      <c r="D123" s="1139"/>
      <c r="E123" s="1007"/>
      <c r="F123" s="1007"/>
      <c r="G123" s="1007"/>
      <c r="H123" s="1007"/>
      <c r="I123" s="1007"/>
      <c r="J123" s="1007">
        <v>3</v>
      </c>
      <c r="K123" s="1007" t="s">
        <v>411</v>
      </c>
      <c r="L123" s="1007"/>
      <c r="M123" s="1007"/>
      <c r="N123" s="1007"/>
      <c r="O123" s="1007"/>
      <c r="P123" s="1140"/>
    </row>
    <row r="124" spans="1:16" ht="11.25" customHeight="1">
      <c r="A124" s="458" t="s">
        <v>471</v>
      </c>
      <c r="B124" s="1138" t="s">
        <v>783</v>
      </c>
      <c r="C124" s="1019"/>
      <c r="D124" s="1139" t="s">
        <v>430</v>
      </c>
      <c r="E124" s="1007">
        <v>1</v>
      </c>
      <c r="F124" s="1007"/>
      <c r="G124" s="1007"/>
      <c r="H124" s="1007"/>
      <c r="I124" s="1007">
        <v>5</v>
      </c>
      <c r="J124" s="1007"/>
      <c r="K124" s="1007"/>
      <c r="L124" s="1007">
        <v>1</v>
      </c>
      <c r="M124" s="1007"/>
      <c r="N124" s="1007" t="s">
        <v>457</v>
      </c>
      <c r="O124" s="1007" t="s">
        <v>415</v>
      </c>
      <c r="P124" s="1140" t="s">
        <v>853</v>
      </c>
    </row>
    <row r="125" spans="1:16" ht="11.25" customHeight="1">
      <c r="A125" s="458" t="s">
        <v>813</v>
      </c>
      <c r="B125" s="1138" t="s">
        <v>783</v>
      </c>
      <c r="C125" s="1019"/>
      <c r="D125" s="1139"/>
      <c r="E125" s="1007"/>
      <c r="F125" s="1007"/>
      <c r="G125" s="1007"/>
      <c r="H125" s="1007"/>
      <c r="I125" s="1007"/>
      <c r="J125" s="1007"/>
      <c r="K125" s="1007"/>
      <c r="L125" s="1007"/>
      <c r="M125" s="1007"/>
      <c r="N125" s="1007"/>
      <c r="O125" s="1007" t="s">
        <v>415</v>
      </c>
      <c r="P125" s="1140"/>
    </row>
    <row r="126" spans="1:16" ht="11.25" customHeight="1">
      <c r="A126" s="458" t="s">
        <v>113</v>
      </c>
      <c r="B126" s="1138" t="s">
        <v>419</v>
      </c>
      <c r="C126" s="1141"/>
      <c r="D126" s="1139"/>
      <c r="E126" s="1007"/>
      <c r="F126" s="1007" t="s">
        <v>411</v>
      </c>
      <c r="G126" s="1007"/>
      <c r="H126" s="1007"/>
      <c r="I126" s="1007" t="s">
        <v>454</v>
      </c>
      <c r="J126" s="1007"/>
      <c r="K126" s="1007"/>
      <c r="L126" s="1007"/>
      <c r="M126" s="1007"/>
      <c r="N126" s="1007"/>
      <c r="O126" s="1007">
        <v>2</v>
      </c>
      <c r="P126" s="1140"/>
    </row>
    <row r="127" spans="1:16" ht="11.25" customHeight="1">
      <c r="A127" s="458" t="s">
        <v>472</v>
      </c>
      <c r="B127" s="1138" t="s">
        <v>17</v>
      </c>
      <c r="C127" s="1019"/>
      <c r="D127" s="1139" t="s">
        <v>417</v>
      </c>
      <c r="E127" s="1007"/>
      <c r="F127" s="1007"/>
      <c r="G127" s="1007"/>
      <c r="H127" s="1007"/>
      <c r="I127" s="1007" t="s">
        <v>411</v>
      </c>
      <c r="J127" s="1007"/>
      <c r="K127" s="1007"/>
      <c r="L127" s="1007" t="s">
        <v>421</v>
      </c>
      <c r="M127" s="1007"/>
      <c r="N127" s="1007">
        <v>2</v>
      </c>
      <c r="O127" s="1007">
        <v>2</v>
      </c>
      <c r="P127" s="1140"/>
    </row>
    <row r="128" spans="1:16" ht="11.25" customHeight="1">
      <c r="A128" s="458" t="s">
        <v>114</v>
      </c>
      <c r="B128" s="1138" t="s">
        <v>783</v>
      </c>
      <c r="C128" s="1141"/>
      <c r="D128" s="1139">
        <v>5</v>
      </c>
      <c r="E128" s="1007"/>
      <c r="F128" s="1007"/>
      <c r="G128" s="1007">
        <v>5</v>
      </c>
      <c r="H128" s="1007"/>
      <c r="I128" s="1007"/>
      <c r="J128" s="1007"/>
      <c r="K128" s="1007"/>
      <c r="L128" s="1007"/>
      <c r="M128" s="1007"/>
      <c r="N128" s="1007"/>
      <c r="O128" s="1007"/>
      <c r="P128" s="1140"/>
    </row>
    <row r="129" spans="1:16" ht="11.25" customHeight="1">
      <c r="A129" s="458" t="s">
        <v>19</v>
      </c>
      <c r="B129" s="1138" t="s">
        <v>419</v>
      </c>
      <c r="C129" s="1019"/>
      <c r="D129" s="1139"/>
      <c r="E129" s="1007"/>
      <c r="F129" s="1007"/>
      <c r="G129" s="1007"/>
      <c r="H129" s="1007"/>
      <c r="I129" s="1007"/>
      <c r="J129" s="1007"/>
      <c r="K129" s="1007"/>
      <c r="L129" s="1007"/>
      <c r="M129" s="1007"/>
      <c r="N129" s="1007"/>
      <c r="O129" s="1007"/>
      <c r="P129" s="1140" t="s">
        <v>774</v>
      </c>
    </row>
    <row r="130" spans="1:16" ht="11.25" customHeight="1">
      <c r="A130" s="458" t="s">
        <v>473</v>
      </c>
      <c r="B130" s="1138" t="s">
        <v>17</v>
      </c>
      <c r="C130" s="1019"/>
      <c r="D130" s="1139">
        <v>5</v>
      </c>
      <c r="E130" s="1007"/>
      <c r="F130" s="1007"/>
      <c r="G130" s="1007"/>
      <c r="H130" s="1007"/>
      <c r="I130" s="1007"/>
      <c r="J130" s="1007"/>
      <c r="K130" s="1007">
        <v>5</v>
      </c>
      <c r="L130" s="1007"/>
      <c r="M130" s="1007"/>
      <c r="N130" s="1007"/>
      <c r="O130" s="1007"/>
      <c r="P130" s="1140"/>
    </row>
    <row r="131" spans="1:16" ht="11.25" customHeight="1">
      <c r="A131" s="458" t="s">
        <v>474</v>
      </c>
      <c r="B131" s="1138" t="s">
        <v>17</v>
      </c>
      <c r="C131" s="1019"/>
      <c r="D131" s="1139" t="s">
        <v>413</v>
      </c>
      <c r="E131" s="1007"/>
      <c r="F131" s="1007"/>
      <c r="G131" s="1007"/>
      <c r="H131" s="1007"/>
      <c r="I131" s="1007"/>
      <c r="J131" s="1007"/>
      <c r="K131" s="1007"/>
      <c r="L131" s="1007" t="s">
        <v>413</v>
      </c>
      <c r="M131" s="1007"/>
      <c r="N131" s="1007"/>
      <c r="O131" s="1007"/>
      <c r="P131" s="1140"/>
    </row>
    <row r="132" spans="1:16" ht="11.25" customHeight="1">
      <c r="A132" s="458" t="s">
        <v>475</v>
      </c>
      <c r="B132" s="1138" t="s">
        <v>17</v>
      </c>
      <c r="C132" s="1019"/>
      <c r="D132" s="1139" t="s">
        <v>430</v>
      </c>
      <c r="E132" s="1007"/>
      <c r="F132" s="1007"/>
      <c r="G132" s="1007"/>
      <c r="H132" s="1007"/>
      <c r="I132" s="1007"/>
      <c r="J132" s="1007"/>
      <c r="K132" s="1007" t="s">
        <v>457</v>
      </c>
      <c r="L132" s="1007"/>
      <c r="M132" s="1007"/>
      <c r="N132" s="1007"/>
      <c r="O132" s="1007"/>
      <c r="P132" s="1140"/>
    </row>
    <row r="133" spans="1:16" ht="11.25" customHeight="1">
      <c r="A133" s="458" t="s">
        <v>115</v>
      </c>
      <c r="B133" s="1138" t="s">
        <v>783</v>
      </c>
      <c r="C133" s="1141"/>
      <c r="D133" s="1139">
        <v>1</v>
      </c>
      <c r="E133" s="1007"/>
      <c r="F133" s="1007">
        <v>1</v>
      </c>
      <c r="G133" s="1007"/>
      <c r="H133" s="1007"/>
      <c r="I133" s="1007"/>
      <c r="J133" s="1007"/>
      <c r="K133" s="1007"/>
      <c r="L133" s="1007"/>
      <c r="M133" s="1007">
        <v>1</v>
      </c>
      <c r="N133" s="1007"/>
      <c r="O133" s="1007"/>
      <c r="P133" s="1140"/>
    </row>
    <row r="134" spans="1:16" ht="11.25" customHeight="1">
      <c r="A134" s="458" t="s">
        <v>116</v>
      </c>
      <c r="B134" s="1138" t="s">
        <v>783</v>
      </c>
      <c r="C134" s="1141"/>
      <c r="D134" s="1139"/>
      <c r="E134" s="1007"/>
      <c r="F134" s="1007"/>
      <c r="G134" s="1007"/>
      <c r="H134" s="1007"/>
      <c r="I134" s="1007"/>
      <c r="J134" s="1007"/>
      <c r="K134" s="1007"/>
      <c r="L134" s="1007"/>
      <c r="M134" s="1007"/>
      <c r="N134" s="1007"/>
      <c r="O134" s="1007"/>
      <c r="P134" s="1140"/>
    </row>
    <row r="135" spans="1:16" ht="11.25" customHeight="1">
      <c r="A135" s="458" t="s">
        <v>476</v>
      </c>
      <c r="B135" s="1138" t="s">
        <v>783</v>
      </c>
      <c r="C135" s="1019"/>
      <c r="D135" s="1139">
        <v>2</v>
      </c>
      <c r="E135" s="1007">
        <v>2</v>
      </c>
      <c r="F135" s="1007"/>
      <c r="G135" s="1007"/>
      <c r="H135" s="1007">
        <v>2</v>
      </c>
      <c r="I135" s="1007">
        <v>5</v>
      </c>
      <c r="J135" s="1007"/>
      <c r="K135" s="1007"/>
      <c r="L135" s="1007" t="s">
        <v>413</v>
      </c>
      <c r="M135" s="1007" t="s">
        <v>413</v>
      </c>
      <c r="N135" s="1007"/>
      <c r="O135" s="1007">
        <v>2</v>
      </c>
      <c r="P135" s="1140"/>
    </row>
    <row r="136" spans="1:16" ht="11.25" customHeight="1">
      <c r="A136" s="458" t="s">
        <v>366</v>
      </c>
      <c r="B136" s="1138" t="s">
        <v>783</v>
      </c>
      <c r="C136" s="1019"/>
      <c r="D136" s="1139" t="s">
        <v>411</v>
      </c>
      <c r="E136" s="1007"/>
      <c r="F136" s="1007" t="s">
        <v>93</v>
      </c>
      <c r="G136" s="1007"/>
      <c r="H136" s="1007"/>
      <c r="I136" s="1007"/>
      <c r="J136" s="1007"/>
      <c r="K136" s="1007" t="s">
        <v>411</v>
      </c>
      <c r="L136" s="1007" t="s">
        <v>430</v>
      </c>
      <c r="M136" s="1007">
        <v>2</v>
      </c>
      <c r="N136" s="1007" t="s">
        <v>418</v>
      </c>
      <c r="O136" s="1007"/>
      <c r="P136" s="1140"/>
    </row>
    <row r="137" spans="1:16" ht="11.25" customHeight="1">
      <c r="A137" s="458" t="s">
        <v>20</v>
      </c>
      <c r="B137" s="1138" t="s">
        <v>784</v>
      </c>
      <c r="C137" s="1019"/>
      <c r="D137" s="1139">
        <v>3</v>
      </c>
      <c r="E137" s="1007"/>
      <c r="F137" s="1007"/>
      <c r="G137" s="1007">
        <v>3</v>
      </c>
      <c r="H137" s="1007"/>
      <c r="I137" s="1007"/>
      <c r="J137" s="1007">
        <v>3</v>
      </c>
      <c r="K137" s="1007">
        <v>3</v>
      </c>
      <c r="L137" s="1007"/>
      <c r="M137" s="1007"/>
      <c r="N137" s="1007"/>
      <c r="O137" s="1007"/>
      <c r="P137" s="1140"/>
    </row>
    <row r="138" spans="1:16" ht="11.25" customHeight="1">
      <c r="A138" s="458" t="s">
        <v>57</v>
      </c>
      <c r="B138" s="1138" t="s">
        <v>783</v>
      </c>
      <c r="C138" s="1019"/>
      <c r="D138" s="1144">
        <v>8</v>
      </c>
      <c r="E138" s="1007"/>
      <c r="F138" s="1144"/>
      <c r="G138" s="1144"/>
      <c r="H138" s="1007"/>
      <c r="I138" s="1007">
        <v>8</v>
      </c>
      <c r="J138" s="1007"/>
      <c r="K138" s="1007">
        <v>8</v>
      </c>
      <c r="L138" s="1007">
        <v>8</v>
      </c>
      <c r="M138" s="1007"/>
      <c r="N138" s="1007"/>
      <c r="O138" s="1145"/>
      <c r="P138" s="826" t="s">
        <v>410</v>
      </c>
    </row>
    <row r="139" spans="1:16" ht="11.25" customHeight="1">
      <c r="A139" s="458" t="s">
        <v>56</v>
      </c>
      <c r="B139" s="1138" t="s">
        <v>783</v>
      </c>
      <c r="C139" s="1019"/>
      <c r="D139" s="1144">
        <v>8</v>
      </c>
      <c r="E139" s="1007"/>
      <c r="F139" s="1144"/>
      <c r="G139" s="1144"/>
      <c r="H139" s="1007"/>
      <c r="I139" s="1007">
        <v>8</v>
      </c>
      <c r="J139" s="1007"/>
      <c r="K139" s="1007">
        <v>8</v>
      </c>
      <c r="L139" s="1007">
        <v>8</v>
      </c>
      <c r="M139" s="1007"/>
      <c r="N139" s="1007"/>
      <c r="O139" s="1145"/>
      <c r="P139" s="826" t="s">
        <v>410</v>
      </c>
    </row>
    <row r="140" spans="1:16" ht="11.25" customHeight="1">
      <c r="A140" s="458" t="s">
        <v>777</v>
      </c>
      <c r="B140" s="1138" t="s">
        <v>783</v>
      </c>
      <c r="C140" s="1019"/>
      <c r="D140" s="1144">
        <v>8</v>
      </c>
      <c r="E140" s="1007"/>
      <c r="F140" s="1144"/>
      <c r="G140" s="1144"/>
      <c r="H140" s="1007"/>
      <c r="I140" s="1007">
        <v>8</v>
      </c>
      <c r="J140" s="1007"/>
      <c r="K140" s="1007">
        <v>8</v>
      </c>
      <c r="L140" s="1007">
        <v>8</v>
      </c>
      <c r="M140" s="1007"/>
      <c r="N140" s="1007"/>
      <c r="O140" s="1145"/>
      <c r="P140" s="826" t="s">
        <v>410</v>
      </c>
    </row>
    <row r="141" spans="1:16" ht="11.25" customHeight="1">
      <c r="A141" s="458" t="s">
        <v>814</v>
      </c>
      <c r="B141" s="1138" t="s">
        <v>783</v>
      </c>
      <c r="C141" s="1019"/>
      <c r="D141" s="1139"/>
      <c r="E141" s="1007"/>
      <c r="F141" s="1007"/>
      <c r="G141" s="1007" t="s">
        <v>411</v>
      </c>
      <c r="H141" s="1007"/>
      <c r="I141" s="1007"/>
      <c r="J141" s="1007"/>
      <c r="K141" s="1007"/>
      <c r="L141" s="1007"/>
      <c r="M141" s="1007"/>
      <c r="N141" s="1007"/>
      <c r="O141" s="1007"/>
      <c r="P141" s="1140"/>
    </row>
    <row r="142" spans="1:16" ht="11.25" customHeight="1">
      <c r="A142" s="458" t="s">
        <v>815</v>
      </c>
      <c r="B142" s="1138" t="s">
        <v>783</v>
      </c>
      <c r="C142" s="1019"/>
      <c r="D142" s="1139" t="s">
        <v>412</v>
      </c>
      <c r="E142" s="1007">
        <v>7</v>
      </c>
      <c r="F142" s="1007"/>
      <c r="G142" s="1007"/>
      <c r="H142" s="1007"/>
      <c r="I142" s="1007"/>
      <c r="J142" s="1007"/>
      <c r="K142" s="1007"/>
      <c r="L142" s="1007">
        <v>1</v>
      </c>
      <c r="M142" s="1007"/>
      <c r="N142" s="1007"/>
      <c r="O142" s="1007"/>
      <c r="P142" s="1140"/>
    </row>
    <row r="143" spans="1:16" ht="11.25" customHeight="1">
      <c r="A143" s="458" t="s">
        <v>477</v>
      </c>
      <c r="B143" s="1138" t="s">
        <v>17</v>
      </c>
      <c r="C143" s="1019"/>
      <c r="D143" s="1139">
        <v>5</v>
      </c>
      <c r="E143" s="1007"/>
      <c r="F143" s="1007"/>
      <c r="G143" s="1007"/>
      <c r="H143" s="1007"/>
      <c r="I143" s="1007">
        <v>6</v>
      </c>
      <c r="J143" s="1007">
        <v>7</v>
      </c>
      <c r="K143" s="1007"/>
      <c r="L143" s="1007"/>
      <c r="M143" s="1007"/>
      <c r="N143" s="1007"/>
      <c r="O143" s="1007">
        <v>2</v>
      </c>
      <c r="P143" s="1140"/>
    </row>
    <row r="144" spans="1:16" ht="11.25" customHeight="1">
      <c r="A144" s="458" t="s">
        <v>478</v>
      </c>
      <c r="B144" s="1138" t="s">
        <v>784</v>
      </c>
      <c r="C144" s="1019" t="s">
        <v>328</v>
      </c>
      <c r="D144" s="1139" t="s">
        <v>435</v>
      </c>
      <c r="E144" s="1007"/>
      <c r="F144" s="1007" t="s">
        <v>89</v>
      </c>
      <c r="G144" s="1007"/>
      <c r="H144" s="1007">
        <v>1</v>
      </c>
      <c r="I144" s="1007">
        <v>3</v>
      </c>
      <c r="J144" s="1007">
        <v>6</v>
      </c>
      <c r="K144" s="1007" t="s">
        <v>435</v>
      </c>
      <c r="L144" s="1007" t="s">
        <v>935</v>
      </c>
      <c r="M144" s="1007"/>
      <c r="N144" s="1007"/>
      <c r="O144" s="1007"/>
      <c r="P144" s="1140"/>
    </row>
    <row r="145" spans="1:16" ht="11.25" customHeight="1">
      <c r="A145" s="458" t="s">
        <v>479</v>
      </c>
      <c r="B145" s="1138" t="s">
        <v>783</v>
      </c>
      <c r="C145" s="1019"/>
      <c r="D145" s="1139" t="s">
        <v>421</v>
      </c>
      <c r="E145" s="1007"/>
      <c r="F145" s="1007">
        <v>1</v>
      </c>
      <c r="G145" s="1007"/>
      <c r="H145" s="1007"/>
      <c r="I145" s="1007"/>
      <c r="J145" s="1007"/>
      <c r="K145" s="1007" t="s">
        <v>851</v>
      </c>
      <c r="L145" s="1007"/>
      <c r="M145" s="1007">
        <v>1</v>
      </c>
      <c r="N145" s="1007"/>
      <c r="O145" s="1007"/>
      <c r="P145" s="1140"/>
    </row>
    <row r="146" spans="1:16" ht="11.25" customHeight="1">
      <c r="A146" s="458" t="s">
        <v>480</v>
      </c>
      <c r="B146" s="1138" t="s">
        <v>784</v>
      </c>
      <c r="C146" s="1019"/>
      <c r="D146" s="1139">
        <v>2</v>
      </c>
      <c r="E146" s="1007"/>
      <c r="F146" s="1007"/>
      <c r="G146" s="1007"/>
      <c r="H146" s="1007"/>
      <c r="I146" s="1007"/>
      <c r="J146" s="1007"/>
      <c r="K146" s="1007"/>
      <c r="L146" s="1007"/>
      <c r="M146" s="1007"/>
      <c r="N146" s="1007"/>
      <c r="O146" s="1007"/>
      <c r="P146" s="1140"/>
    </row>
    <row r="147" spans="1:16" ht="11.25" customHeight="1">
      <c r="A147" s="458" t="s">
        <v>117</v>
      </c>
      <c r="B147" s="1138" t="s">
        <v>783</v>
      </c>
      <c r="C147" s="1141"/>
      <c r="D147" s="1139"/>
      <c r="E147" s="1007"/>
      <c r="F147" s="1007">
        <v>2</v>
      </c>
      <c r="G147" s="1007"/>
      <c r="H147" s="1007"/>
      <c r="I147" s="1007"/>
      <c r="J147" s="1007"/>
      <c r="K147" s="1007">
        <v>5</v>
      </c>
      <c r="L147" s="1007"/>
      <c r="M147" s="1007" t="s">
        <v>426</v>
      </c>
      <c r="N147" s="1007"/>
      <c r="O147" s="1007"/>
      <c r="P147" s="1140"/>
    </row>
    <row r="148" spans="1:16" ht="11.25" customHeight="1">
      <c r="A148" s="458" t="s">
        <v>118</v>
      </c>
      <c r="B148" s="1138" t="s">
        <v>783</v>
      </c>
      <c r="C148" s="1141"/>
      <c r="D148" s="1139" t="s">
        <v>936</v>
      </c>
      <c r="E148" s="1007"/>
      <c r="F148" s="1007"/>
      <c r="G148" s="1007"/>
      <c r="H148" s="1007"/>
      <c r="I148" s="1007"/>
      <c r="J148" s="1007"/>
      <c r="K148" s="1007"/>
      <c r="L148" s="1007"/>
      <c r="M148" s="1007"/>
      <c r="N148" s="1007"/>
      <c r="O148" s="1007"/>
      <c r="P148" s="1140"/>
    </row>
    <row r="149" spans="1:16" ht="11.25" customHeight="1">
      <c r="A149" s="458" t="s">
        <v>119</v>
      </c>
      <c r="B149" s="1138" t="s">
        <v>1028</v>
      </c>
      <c r="C149" s="1019" t="s">
        <v>328</v>
      </c>
      <c r="D149" s="1139">
        <v>3</v>
      </c>
      <c r="E149" s="1007"/>
      <c r="F149" s="1007"/>
      <c r="G149" s="1007"/>
      <c r="H149" s="1007"/>
      <c r="I149" s="1007" t="s">
        <v>88</v>
      </c>
      <c r="J149" s="1007"/>
      <c r="K149" s="1007">
        <v>3</v>
      </c>
      <c r="L149" s="1007"/>
      <c r="M149" s="1007"/>
      <c r="N149" s="1007">
        <v>3</v>
      </c>
      <c r="O149" s="1007"/>
      <c r="P149" s="1140"/>
    </row>
    <row r="150" spans="1:16" ht="11.25" customHeight="1">
      <c r="A150" s="458" t="s">
        <v>120</v>
      </c>
      <c r="B150" s="1138" t="s">
        <v>783</v>
      </c>
      <c r="C150" s="1141"/>
      <c r="D150" s="1139"/>
      <c r="E150" s="1007"/>
      <c r="F150" s="1007"/>
      <c r="G150" s="1007"/>
      <c r="H150" s="1007"/>
      <c r="I150" s="1007"/>
      <c r="J150" s="1007"/>
      <c r="K150" s="1007"/>
      <c r="L150" s="1007"/>
      <c r="M150" s="1007"/>
      <c r="N150" s="1007"/>
      <c r="O150" s="1007"/>
      <c r="P150" s="1146" t="s">
        <v>433</v>
      </c>
    </row>
    <row r="151" spans="1:16" ht="11.25" customHeight="1">
      <c r="A151" s="458" t="s">
        <v>602</v>
      </c>
      <c r="B151" s="1138" t="s">
        <v>17</v>
      </c>
      <c r="C151" s="1141"/>
      <c r="D151" s="1139">
        <v>5</v>
      </c>
      <c r="E151" s="1007"/>
      <c r="F151" s="1007"/>
      <c r="G151" s="1007"/>
      <c r="H151" s="1007"/>
      <c r="I151" s="1007">
        <v>5</v>
      </c>
      <c r="J151" s="1007"/>
      <c r="K151" s="1007"/>
      <c r="L151" s="1007"/>
      <c r="M151" s="1007"/>
      <c r="N151" s="1007"/>
      <c r="O151" s="1007">
        <v>2</v>
      </c>
      <c r="P151" s="1140"/>
    </row>
    <row r="152" spans="1:16" ht="11.25" customHeight="1">
      <c r="A152" s="458" t="s">
        <v>603</v>
      </c>
      <c r="B152" s="1138" t="s">
        <v>783</v>
      </c>
      <c r="C152" s="1141"/>
      <c r="D152" s="1139">
        <v>2</v>
      </c>
      <c r="E152" s="1007"/>
      <c r="F152" s="1007"/>
      <c r="G152" s="1007"/>
      <c r="H152" s="1007"/>
      <c r="I152" s="1007">
        <v>2</v>
      </c>
      <c r="J152" s="1007"/>
      <c r="K152" s="1007">
        <v>2</v>
      </c>
      <c r="L152" s="1007"/>
      <c r="M152" s="1007"/>
      <c r="N152" s="1007">
        <v>2</v>
      </c>
      <c r="O152" s="1007">
        <v>2</v>
      </c>
      <c r="P152" s="1140"/>
    </row>
    <row r="153" spans="1:16" ht="11.25" customHeight="1">
      <c r="A153" s="458" t="s">
        <v>604</v>
      </c>
      <c r="B153" s="1138" t="s">
        <v>419</v>
      </c>
      <c r="C153" s="1141"/>
      <c r="D153" s="1139"/>
      <c r="E153" s="1007"/>
      <c r="F153" s="1007"/>
      <c r="G153" s="1007"/>
      <c r="H153" s="1007"/>
      <c r="I153" s="1007"/>
      <c r="J153" s="1007"/>
      <c r="K153" s="1007"/>
      <c r="L153" s="1007"/>
      <c r="M153" s="1007"/>
      <c r="N153" s="1007"/>
      <c r="O153" s="1007"/>
      <c r="P153" s="1146" t="s">
        <v>433</v>
      </c>
    </row>
    <row r="154" spans="1:16" ht="11.25" customHeight="1">
      <c r="A154" s="458" t="s">
        <v>605</v>
      </c>
      <c r="B154" s="1138" t="s">
        <v>17</v>
      </c>
      <c r="C154" s="1141"/>
      <c r="D154" s="1139" t="s">
        <v>854</v>
      </c>
      <c r="E154" s="1007"/>
      <c r="F154" s="1007"/>
      <c r="G154" s="1007"/>
      <c r="H154" s="1007" t="s">
        <v>413</v>
      </c>
      <c r="I154" s="1007" t="s">
        <v>412</v>
      </c>
      <c r="J154" s="1007"/>
      <c r="K154" s="1007"/>
      <c r="L154" s="1007"/>
      <c r="M154" s="1007">
        <v>6</v>
      </c>
      <c r="N154" s="1007"/>
      <c r="O154" s="1007" t="s">
        <v>413</v>
      </c>
      <c r="P154" s="1140"/>
    </row>
    <row r="155" spans="1:16" ht="11.25" customHeight="1">
      <c r="A155" s="458" t="s">
        <v>481</v>
      </c>
      <c r="B155" s="1138" t="s">
        <v>783</v>
      </c>
      <c r="C155" s="1019"/>
      <c r="D155" s="1139">
        <v>3</v>
      </c>
      <c r="E155" s="1007"/>
      <c r="F155" s="1007"/>
      <c r="G155" s="1007"/>
      <c r="H155" s="1007"/>
      <c r="I155" s="1007"/>
      <c r="J155" s="1007"/>
      <c r="K155" s="1007">
        <v>3</v>
      </c>
      <c r="L155" s="1007"/>
      <c r="M155" s="1007"/>
      <c r="N155" s="1007" t="s">
        <v>413</v>
      </c>
      <c r="O155" s="1007"/>
      <c r="P155" s="1140"/>
    </row>
    <row r="156" spans="1:16" ht="11.25" customHeight="1">
      <c r="A156" s="458" t="s">
        <v>482</v>
      </c>
      <c r="B156" s="1138" t="s">
        <v>785</v>
      </c>
      <c r="C156" s="1019" t="s">
        <v>328</v>
      </c>
      <c r="D156" s="1139" t="s">
        <v>416</v>
      </c>
      <c r="E156" s="1007"/>
      <c r="F156" s="1007" t="s">
        <v>93</v>
      </c>
      <c r="G156" s="1007"/>
      <c r="H156" s="1007"/>
      <c r="I156" s="1007" t="s">
        <v>413</v>
      </c>
      <c r="J156" s="1007">
        <v>3</v>
      </c>
      <c r="K156" s="1007"/>
      <c r="L156" s="1007">
        <v>3</v>
      </c>
      <c r="M156" s="1007" t="s">
        <v>93</v>
      </c>
      <c r="N156" s="1007"/>
      <c r="O156" s="1007">
        <v>2</v>
      </c>
      <c r="P156" s="1140" t="s">
        <v>774</v>
      </c>
    </row>
    <row r="157" spans="1:16" ht="11.25" customHeight="1">
      <c r="A157" s="458" t="s">
        <v>483</v>
      </c>
      <c r="B157" s="1138" t="s">
        <v>783</v>
      </c>
      <c r="C157" s="1019"/>
      <c r="D157" s="1139"/>
      <c r="E157" s="1007"/>
      <c r="F157" s="1007"/>
      <c r="G157" s="1007"/>
      <c r="H157" s="1007"/>
      <c r="I157" s="1007"/>
      <c r="J157" s="1007"/>
      <c r="K157" s="1007"/>
      <c r="L157" s="1007" t="s">
        <v>90</v>
      </c>
      <c r="M157" s="1007"/>
      <c r="N157" s="1007">
        <v>1</v>
      </c>
      <c r="O157" s="1007"/>
      <c r="P157" s="1140"/>
    </row>
    <row r="158" spans="1:16" ht="11.25" customHeight="1" thickBot="1">
      <c r="A158" s="516" t="s">
        <v>484</v>
      </c>
      <c r="B158" s="1147" t="s">
        <v>783</v>
      </c>
      <c r="C158" s="1028"/>
      <c r="D158" s="1148"/>
      <c r="E158" s="1030">
        <v>1</v>
      </c>
      <c r="F158" s="1030"/>
      <c r="G158" s="1030">
        <v>3</v>
      </c>
      <c r="H158" s="1030"/>
      <c r="I158" s="1030" t="s">
        <v>855</v>
      </c>
      <c r="J158" s="1030"/>
      <c r="K158" s="1030"/>
      <c r="L158" s="1030"/>
      <c r="M158" s="1030"/>
      <c r="N158" s="1030">
        <v>1</v>
      </c>
      <c r="O158" s="1030"/>
      <c r="P158" s="1149"/>
    </row>
    <row r="159" spans="1:16" ht="11.25" customHeight="1" thickTop="1">
      <c r="A159" s="1090" t="s">
        <v>488</v>
      </c>
      <c r="P159" s="1098"/>
    </row>
    <row r="160" spans="1:16" ht="11.25" customHeight="1">
      <c r="A160" s="482" t="s">
        <v>22</v>
      </c>
      <c r="P160" s="1098"/>
    </row>
    <row r="161" spans="1:16" ht="11.25" customHeight="1">
      <c r="A161" s="482" t="s">
        <v>1056</v>
      </c>
      <c r="P161" s="1098"/>
    </row>
    <row r="162" spans="1:16" ht="11.25" customHeight="1">
      <c r="A162" s="482" t="s">
        <v>199</v>
      </c>
      <c r="P162" s="1098"/>
    </row>
    <row r="163" spans="1:16" ht="11.25" customHeight="1">
      <c r="A163" s="482" t="s">
        <v>704</v>
      </c>
      <c r="P163" s="1098"/>
    </row>
    <row r="164" spans="1:16" ht="11.25" customHeight="1">
      <c r="A164" s="482"/>
      <c r="P164" s="1098"/>
    </row>
    <row r="165" spans="1:16" ht="11.25" customHeight="1">
      <c r="A165" s="474" t="s">
        <v>878</v>
      </c>
      <c r="P165" s="1098"/>
    </row>
    <row r="166" spans="1:16" ht="11.25" customHeight="1">
      <c r="A166" s="479" t="s">
        <v>879</v>
      </c>
      <c r="P166" s="1098"/>
    </row>
    <row r="167" spans="1:16" ht="11.25" customHeight="1">
      <c r="A167" s="479" t="s">
        <v>880</v>
      </c>
      <c r="P167" s="1098"/>
    </row>
    <row r="168" spans="1:16" ht="11.25" customHeight="1">
      <c r="A168" s="479" t="s">
        <v>881</v>
      </c>
      <c r="P168" s="1098"/>
    </row>
    <row r="169" spans="1:16" ht="11.25" customHeight="1">
      <c r="A169" s="479" t="s">
        <v>882</v>
      </c>
      <c r="P169" s="1098"/>
    </row>
    <row r="170" spans="1:16" ht="11.25" customHeight="1">
      <c r="A170" s="479" t="s">
        <v>883</v>
      </c>
      <c r="P170" s="1098"/>
    </row>
    <row r="171" spans="1:16" ht="11.25" customHeight="1">
      <c r="A171" s="479" t="s">
        <v>3</v>
      </c>
      <c r="P171" s="1098"/>
    </row>
    <row r="172" spans="1:16" ht="11.25" customHeight="1">
      <c r="A172" s="482"/>
      <c r="C172" s="510"/>
      <c r="P172" s="1098"/>
    </row>
    <row r="173" spans="1:16" s="2" customFormat="1" ht="11.25" customHeight="1">
      <c r="A173" s="474" t="s">
        <v>696</v>
      </c>
      <c r="B173" s="510"/>
      <c r="C173" s="1"/>
      <c r="M173" s="629"/>
      <c r="N173" s="629"/>
      <c r="O173" s="629"/>
      <c r="P173" s="1150"/>
    </row>
    <row r="174" spans="1:16" s="2" customFormat="1" ht="11.25" customHeight="1">
      <c r="A174" s="4" t="s">
        <v>524</v>
      </c>
      <c r="B174" s="1"/>
      <c r="C174" s="1"/>
      <c r="M174" s="629"/>
      <c r="N174" s="629"/>
      <c r="O174" s="629"/>
      <c r="P174" s="1150"/>
    </row>
    <row r="175" spans="1:16" s="2" customFormat="1" ht="11.25" customHeight="1">
      <c r="A175" s="4" t="s">
        <v>525</v>
      </c>
      <c r="B175" s="1"/>
      <c r="C175" s="1"/>
      <c r="M175" s="629"/>
      <c r="N175" s="629"/>
      <c r="O175" s="629"/>
      <c r="P175" s="1150"/>
    </row>
    <row r="176" spans="1:16" s="2" customFormat="1" ht="11.25" customHeight="1">
      <c r="A176" s="4" t="s">
        <v>526</v>
      </c>
      <c r="B176" s="1"/>
      <c r="C176" s="1"/>
      <c r="M176" s="629"/>
      <c r="N176" s="629"/>
      <c r="O176" s="629"/>
      <c r="P176" s="1150"/>
    </row>
    <row r="177" spans="1:17" s="2" customFormat="1" ht="11.25" customHeight="1">
      <c r="A177" s="4" t="s">
        <v>705</v>
      </c>
      <c r="B177" s="3"/>
      <c r="C177" s="1"/>
      <c r="M177" s="629"/>
      <c r="N177" s="629"/>
      <c r="O177" s="629"/>
      <c r="P177" s="1150"/>
    </row>
    <row r="178" spans="1:17" s="2" customFormat="1" ht="11.25" customHeight="1">
      <c r="A178" s="4" t="s">
        <v>683</v>
      </c>
      <c r="B178" s="3"/>
      <c r="C178" s="3"/>
      <c r="M178" s="629"/>
      <c r="N178" s="629"/>
      <c r="O178" s="629"/>
      <c r="P178" s="1150"/>
    </row>
    <row r="179" spans="1:17" s="2" customFormat="1" ht="11.25" customHeight="1">
      <c r="A179" s="4" t="s">
        <v>684</v>
      </c>
      <c r="B179" s="1"/>
      <c r="C179" s="3"/>
      <c r="M179" s="629"/>
      <c r="N179" s="629"/>
      <c r="O179" s="629"/>
      <c r="P179" s="1150"/>
    </row>
    <row r="180" spans="1:17" s="2" customFormat="1" ht="11.25" customHeight="1">
      <c r="A180" s="1386" t="s">
        <v>561</v>
      </c>
      <c r="B180" s="1181"/>
      <c r="C180" s="1181"/>
      <c r="D180" s="1181"/>
      <c r="E180" s="1181"/>
      <c r="F180" s="1181"/>
      <c r="G180" s="1181"/>
      <c r="H180" s="1181"/>
      <c r="I180" s="1181"/>
      <c r="J180" s="1181"/>
      <c r="K180" s="1181"/>
      <c r="L180" s="1181"/>
      <c r="M180" s="1181"/>
      <c r="N180" s="1181"/>
      <c r="O180" s="1181"/>
      <c r="P180" s="1387"/>
    </row>
    <row r="181" spans="1:17" s="2" customFormat="1" ht="11.25" customHeight="1">
      <c r="A181" s="1393"/>
      <c r="B181" s="1181"/>
      <c r="C181" s="1181"/>
      <c r="D181" s="1181"/>
      <c r="E181" s="1181"/>
      <c r="F181" s="1181"/>
      <c r="G181" s="1181"/>
      <c r="H181" s="1181"/>
      <c r="I181" s="1181"/>
      <c r="J181" s="1181"/>
      <c r="K181" s="1181"/>
      <c r="L181" s="1181"/>
      <c r="M181" s="1181"/>
      <c r="N181" s="1181"/>
      <c r="O181" s="1181"/>
      <c r="P181" s="1387"/>
    </row>
    <row r="182" spans="1:17" s="2" customFormat="1" ht="11.25" customHeight="1">
      <c r="A182" s="479" t="s">
        <v>562</v>
      </c>
      <c r="C182" s="1"/>
      <c r="M182" s="629"/>
      <c r="N182" s="629"/>
      <c r="O182" s="629"/>
      <c r="P182" s="1150"/>
    </row>
    <row r="183" spans="1:17" s="2" customFormat="1" ht="11.25" customHeight="1">
      <c r="A183" s="4" t="s">
        <v>163</v>
      </c>
      <c r="M183" s="629"/>
      <c r="N183" s="629"/>
      <c r="O183" s="629"/>
      <c r="P183" s="1150"/>
    </row>
    <row r="184" spans="1:17" s="2" customFormat="1" ht="11.25" customHeight="1">
      <c r="A184" s="479" t="s">
        <v>206</v>
      </c>
      <c r="M184" s="629"/>
      <c r="N184" s="629"/>
      <c r="O184" s="629"/>
      <c r="P184" s="1150"/>
    </row>
    <row r="185" spans="1:17" s="2" customFormat="1" ht="11.25" customHeight="1">
      <c r="A185" s="479" t="s">
        <v>164</v>
      </c>
      <c r="M185" s="629"/>
      <c r="N185" s="629"/>
      <c r="O185" s="629"/>
      <c r="P185" s="1150"/>
    </row>
    <row r="186" spans="1:17" s="2" customFormat="1" ht="11.25" customHeight="1">
      <c r="A186" s="1389" t="s">
        <v>701</v>
      </c>
      <c r="B186" s="1181"/>
      <c r="C186" s="1181"/>
      <c r="D186" s="1181"/>
      <c r="E186" s="1181"/>
      <c r="F186" s="1181"/>
      <c r="G186" s="1181"/>
      <c r="H186" s="1181"/>
      <c r="I186" s="1181"/>
      <c r="J186" s="1181"/>
      <c r="K186" s="1181"/>
      <c r="L186" s="1181"/>
      <c r="M186" s="1181"/>
      <c r="N186" s="1181"/>
      <c r="O186" s="1181"/>
      <c r="P186" s="1387"/>
    </row>
    <row r="187" spans="1:17" s="2" customFormat="1" ht="11.25" customHeight="1">
      <c r="A187" s="1393"/>
      <c r="B187" s="1181"/>
      <c r="C187" s="1181"/>
      <c r="D187" s="1181"/>
      <c r="E187" s="1181"/>
      <c r="F187" s="1181"/>
      <c r="G187" s="1181"/>
      <c r="H187" s="1181"/>
      <c r="I187" s="1181"/>
      <c r="J187" s="1181"/>
      <c r="K187" s="1181"/>
      <c r="L187" s="1181"/>
      <c r="M187" s="1181"/>
      <c r="N187" s="1181"/>
      <c r="O187" s="1181"/>
      <c r="P187" s="1387"/>
    </row>
    <row r="188" spans="1:17" s="2" customFormat="1" ht="11.25" customHeight="1">
      <c r="A188" s="482" t="s">
        <v>207</v>
      </c>
      <c r="N188" s="629"/>
      <c r="O188" s="629"/>
      <c r="P188" s="630"/>
      <c r="Q188" s="1151"/>
    </row>
    <row r="189" spans="1:17" s="2" customFormat="1" ht="11.25" customHeight="1" thickBot="1">
      <c r="A189" s="706" t="s">
        <v>702</v>
      </c>
      <c r="B189" s="633"/>
      <c r="C189" s="633"/>
      <c r="D189" s="633"/>
      <c r="E189" s="633"/>
      <c r="F189" s="633"/>
      <c r="G189" s="633"/>
      <c r="H189" s="633"/>
      <c r="I189" s="633"/>
      <c r="J189" s="633"/>
      <c r="K189" s="633"/>
      <c r="L189" s="633"/>
      <c r="M189" s="634"/>
      <c r="N189" s="634"/>
      <c r="O189" s="634"/>
      <c r="P189" s="1152"/>
    </row>
    <row r="190" spans="1:17" s="2" customFormat="1" ht="11.25" customHeight="1" thickTop="1">
      <c r="M190" s="629"/>
      <c r="N190" s="629"/>
      <c r="O190" s="629"/>
      <c r="P190" s="23"/>
    </row>
    <row r="191" spans="1:17" s="2" customFormat="1" ht="12.75">
      <c r="M191" s="629"/>
      <c r="N191" s="629"/>
      <c r="O191" s="629"/>
      <c r="P191" s="23"/>
    </row>
    <row r="192" spans="1:17" s="2" customFormat="1" ht="12.75">
      <c r="M192" s="629"/>
      <c r="N192" s="629"/>
      <c r="O192" s="629"/>
      <c r="P192" s="23"/>
    </row>
    <row r="193" spans="13:16" s="2" customFormat="1" ht="12.75">
      <c r="M193" s="629"/>
      <c r="N193" s="629"/>
      <c r="O193" s="629"/>
      <c r="P193" s="23"/>
    </row>
    <row r="194" spans="13:16" s="2" customFormat="1" ht="12.75">
      <c r="M194" s="629"/>
      <c r="N194" s="629"/>
      <c r="O194" s="629"/>
      <c r="P194" s="23"/>
    </row>
    <row r="195" spans="13:16" s="2" customFormat="1" ht="12.75">
      <c r="M195" s="629"/>
      <c r="N195" s="629"/>
      <c r="O195" s="629"/>
      <c r="P195" s="23"/>
    </row>
    <row r="196" spans="13:16" s="2" customFormat="1" ht="12.75">
      <c r="M196" s="629"/>
      <c r="N196" s="629"/>
      <c r="O196" s="629"/>
      <c r="P196" s="23"/>
    </row>
    <row r="197" spans="13:16" s="2" customFormat="1" ht="12.75">
      <c r="M197" s="629"/>
      <c r="N197" s="629"/>
      <c r="O197" s="629"/>
      <c r="P197" s="23"/>
    </row>
    <row r="198" spans="13:16" s="2" customFormat="1" ht="12.75">
      <c r="M198" s="629"/>
      <c r="N198" s="629"/>
      <c r="O198" s="629"/>
      <c r="P198" s="23"/>
    </row>
    <row r="199" spans="13:16" s="2" customFormat="1" ht="12.75">
      <c r="M199" s="629"/>
      <c r="N199" s="629"/>
      <c r="O199" s="629"/>
      <c r="P199" s="23"/>
    </row>
    <row r="200" spans="13:16" s="2" customFormat="1" ht="12.75">
      <c r="M200" s="629"/>
      <c r="N200" s="629"/>
      <c r="O200" s="629"/>
      <c r="P200" s="23"/>
    </row>
    <row r="201" spans="13:16" s="2" customFormat="1" ht="12.75">
      <c r="M201" s="629"/>
      <c r="N201" s="629"/>
      <c r="O201" s="629"/>
      <c r="P201" s="23"/>
    </row>
    <row r="202" spans="13:16" s="2" customFormat="1" ht="12.75">
      <c r="M202" s="629"/>
      <c r="N202" s="629"/>
      <c r="O202" s="629"/>
      <c r="P202" s="23"/>
    </row>
    <row r="203" spans="13:16" s="2" customFormat="1" ht="12.75">
      <c r="M203" s="629"/>
      <c r="N203" s="629"/>
      <c r="O203" s="629"/>
      <c r="P203" s="23"/>
    </row>
    <row r="204" spans="13:16" s="2" customFormat="1" ht="12.75">
      <c r="M204" s="629"/>
      <c r="N204" s="629"/>
      <c r="O204" s="629"/>
      <c r="P204" s="23"/>
    </row>
    <row r="205" spans="13:16" s="2" customFormat="1" ht="12.75">
      <c r="M205" s="629"/>
      <c r="N205" s="629"/>
      <c r="O205" s="629"/>
      <c r="P205" s="23"/>
    </row>
    <row r="206" spans="13:16" s="2" customFormat="1" ht="12.75">
      <c r="M206" s="629"/>
      <c r="N206" s="629"/>
      <c r="O206" s="629"/>
      <c r="P206" s="23"/>
    </row>
    <row r="207" spans="13:16" s="2" customFormat="1" ht="12.75">
      <c r="M207" s="629"/>
      <c r="N207" s="629"/>
      <c r="O207" s="629"/>
      <c r="P207" s="23"/>
    </row>
    <row r="208" spans="13:16" s="2" customFormat="1" ht="12.75">
      <c r="M208" s="629"/>
      <c r="N208" s="629"/>
      <c r="O208" s="629"/>
      <c r="P208" s="23"/>
    </row>
    <row r="209" spans="13:16" s="2" customFormat="1" ht="12.75">
      <c r="M209" s="629"/>
      <c r="N209" s="629"/>
      <c r="O209" s="629"/>
      <c r="P209" s="23"/>
    </row>
    <row r="210" spans="13:16" s="2" customFormat="1" ht="12.75">
      <c r="M210" s="629"/>
      <c r="N210" s="629"/>
      <c r="O210" s="629"/>
      <c r="P210" s="23"/>
    </row>
    <row r="211" spans="13:16" s="2" customFormat="1" ht="12.75">
      <c r="M211" s="629"/>
      <c r="N211" s="629"/>
      <c r="O211" s="629"/>
      <c r="P211" s="23"/>
    </row>
    <row r="212" spans="13:16" s="2" customFormat="1" ht="12.75">
      <c r="M212" s="629"/>
      <c r="N212" s="629"/>
      <c r="O212" s="629"/>
      <c r="P212" s="23"/>
    </row>
    <row r="213" spans="13:16" s="2" customFormat="1" ht="12.75">
      <c r="M213" s="629"/>
      <c r="N213" s="629"/>
      <c r="O213" s="629"/>
      <c r="P213" s="23"/>
    </row>
    <row r="214" spans="13:16" s="2" customFormat="1" ht="12.75">
      <c r="M214" s="629"/>
      <c r="N214" s="629"/>
      <c r="O214" s="629"/>
      <c r="P214" s="23"/>
    </row>
    <row r="215" spans="13:16" s="2" customFormat="1" ht="12.75">
      <c r="M215" s="629"/>
      <c r="N215" s="629"/>
      <c r="O215" s="629"/>
      <c r="P215" s="23"/>
    </row>
    <row r="216" spans="13:16" s="2" customFormat="1" ht="12.75">
      <c r="M216" s="629"/>
      <c r="N216" s="629"/>
      <c r="O216" s="629"/>
      <c r="P216" s="23"/>
    </row>
    <row r="217" spans="13:16" s="2" customFormat="1" ht="12.75">
      <c r="M217" s="629"/>
      <c r="N217" s="629"/>
      <c r="O217" s="629"/>
      <c r="P217" s="23"/>
    </row>
    <row r="218" spans="13:16" s="2" customFormat="1" ht="12.75">
      <c r="M218" s="629"/>
      <c r="N218" s="629"/>
      <c r="O218" s="629"/>
      <c r="P218" s="23"/>
    </row>
    <row r="219" spans="13:16" s="2" customFormat="1" ht="12.75">
      <c r="M219" s="629"/>
      <c r="N219" s="629"/>
      <c r="O219" s="629"/>
      <c r="P219" s="23"/>
    </row>
    <row r="220" spans="13:16" s="2" customFormat="1" ht="12.75">
      <c r="M220" s="629"/>
      <c r="N220" s="629"/>
      <c r="O220" s="629"/>
      <c r="P220" s="23"/>
    </row>
    <row r="221" spans="13:16" s="2" customFormat="1" ht="12.75">
      <c r="M221" s="629"/>
      <c r="N221" s="629"/>
      <c r="O221" s="629"/>
      <c r="P221" s="23"/>
    </row>
    <row r="222" spans="13:16" s="2" customFormat="1" ht="12.75">
      <c r="M222" s="629"/>
      <c r="N222" s="629"/>
      <c r="O222" s="629"/>
      <c r="P222" s="23"/>
    </row>
    <row r="223" spans="13:16" s="2" customFormat="1" ht="12.75">
      <c r="M223" s="629"/>
      <c r="N223" s="629"/>
      <c r="O223" s="629"/>
      <c r="P223" s="23"/>
    </row>
    <row r="224" spans="13:16" s="2" customFormat="1" ht="12.75">
      <c r="M224" s="629"/>
      <c r="N224" s="629"/>
      <c r="O224" s="629"/>
      <c r="P224" s="23"/>
    </row>
    <row r="225" spans="3:16" s="2" customFormat="1" ht="12.75">
      <c r="C225" s="518"/>
      <c r="M225" s="629"/>
      <c r="N225" s="629"/>
      <c r="O225" s="629"/>
      <c r="P225" s="23"/>
    </row>
    <row r="226" spans="3:16" s="2" customFormat="1" ht="12.75">
      <c r="C226" s="518"/>
      <c r="M226" s="629"/>
      <c r="N226" s="629"/>
      <c r="O226" s="629"/>
      <c r="P226" s="23"/>
    </row>
    <row r="227" spans="3:16">
      <c r="M227" s="481"/>
      <c r="N227" s="481"/>
      <c r="O227" s="481"/>
    </row>
    <row r="228" spans="3:16">
      <c r="M228" s="481"/>
      <c r="N228" s="481"/>
      <c r="O228" s="481"/>
    </row>
    <row r="229" spans="3:16">
      <c r="M229" s="481"/>
      <c r="N229" s="481"/>
      <c r="O229" s="481"/>
    </row>
    <row r="230" spans="3:16">
      <c r="M230" s="481"/>
      <c r="N230" s="481"/>
      <c r="O230" s="481"/>
    </row>
    <row r="231" spans="3:16">
      <c r="M231" s="481"/>
      <c r="N231" s="481"/>
      <c r="O231" s="481"/>
    </row>
    <row r="232" spans="3:16">
      <c r="M232" s="481"/>
      <c r="N232" s="481"/>
      <c r="O232" s="481"/>
    </row>
    <row r="233" spans="3:16">
      <c r="M233" s="481"/>
      <c r="N233" s="481"/>
      <c r="O233" s="481"/>
    </row>
    <row r="234" spans="3:16">
      <c r="M234" s="481"/>
      <c r="N234" s="481"/>
      <c r="O234" s="481"/>
    </row>
    <row r="235" spans="3:16">
      <c r="M235" s="481"/>
      <c r="N235" s="481"/>
      <c r="O235" s="481"/>
    </row>
    <row r="236" spans="3:16">
      <c r="M236" s="481"/>
      <c r="N236" s="481"/>
      <c r="O236" s="481"/>
    </row>
    <row r="237" spans="3:16">
      <c r="M237" s="481"/>
      <c r="N237" s="481"/>
      <c r="O237" s="481"/>
    </row>
    <row r="238" spans="3:16">
      <c r="M238" s="481"/>
      <c r="N238" s="481"/>
      <c r="O238" s="481"/>
    </row>
    <row r="239" spans="3:16">
      <c r="M239" s="481"/>
      <c r="N239" s="481"/>
      <c r="O239" s="481"/>
    </row>
    <row r="240" spans="3:16">
      <c r="M240" s="481"/>
      <c r="N240" s="481"/>
      <c r="O240" s="481"/>
    </row>
    <row r="241" spans="13:15">
      <c r="M241" s="481"/>
      <c r="N241" s="481"/>
      <c r="O241" s="481"/>
    </row>
    <row r="242" spans="13:15">
      <c r="M242" s="481"/>
      <c r="N242" s="481"/>
      <c r="O242" s="481"/>
    </row>
    <row r="243" spans="13:15">
      <c r="M243" s="481"/>
      <c r="N243" s="481"/>
      <c r="O243" s="481"/>
    </row>
    <row r="244" spans="13:15">
      <c r="M244" s="481"/>
      <c r="N244" s="481"/>
      <c r="O244" s="481"/>
    </row>
    <row r="245" spans="13:15">
      <c r="M245" s="481"/>
      <c r="N245" s="481"/>
      <c r="O245" s="481"/>
    </row>
    <row r="246" spans="13:15">
      <c r="M246" s="481"/>
      <c r="N246" s="481"/>
      <c r="O246" s="481"/>
    </row>
    <row r="247" spans="13:15">
      <c r="M247" s="481"/>
      <c r="N247" s="481"/>
      <c r="O247" s="481"/>
    </row>
    <row r="248" spans="13:15">
      <c r="M248" s="481"/>
      <c r="N248" s="481"/>
      <c r="O248" s="481"/>
    </row>
    <row r="249" spans="13:15">
      <c r="M249" s="481"/>
      <c r="N249" s="481"/>
      <c r="O249" s="481"/>
    </row>
    <row r="250" spans="13:15">
      <c r="M250" s="481"/>
      <c r="N250" s="481"/>
      <c r="O250" s="481"/>
    </row>
    <row r="251" spans="13:15">
      <c r="M251" s="481"/>
      <c r="N251" s="481"/>
      <c r="O251" s="481"/>
    </row>
    <row r="252" spans="13:15">
      <c r="M252" s="481"/>
      <c r="N252" s="481"/>
      <c r="O252" s="481"/>
    </row>
    <row r="253" spans="13:15">
      <c r="M253" s="481"/>
      <c r="N253" s="481"/>
      <c r="O253" s="481"/>
    </row>
    <row r="254" spans="13:15">
      <c r="M254" s="481"/>
      <c r="N254" s="481"/>
      <c r="O254" s="481"/>
    </row>
    <row r="255" spans="13:15">
      <c r="M255" s="481"/>
      <c r="N255" s="481"/>
      <c r="O255" s="481"/>
    </row>
    <row r="256" spans="13:15">
      <c r="M256" s="481"/>
      <c r="N256" s="481"/>
      <c r="O256" s="481"/>
    </row>
    <row r="257" spans="13:15">
      <c r="M257" s="481"/>
      <c r="N257" s="481"/>
      <c r="O257" s="481"/>
    </row>
    <row r="258" spans="13:15">
      <c r="M258" s="481"/>
      <c r="N258" s="481"/>
      <c r="O258" s="481"/>
    </row>
    <row r="259" spans="13:15">
      <c r="M259" s="481"/>
      <c r="N259" s="481"/>
      <c r="O259" s="481"/>
    </row>
    <row r="260" spans="13:15">
      <c r="M260" s="481"/>
      <c r="N260" s="481"/>
      <c r="O260" s="481"/>
    </row>
    <row r="261" spans="13:15">
      <c r="M261" s="481"/>
      <c r="N261" s="481"/>
      <c r="O261" s="481"/>
    </row>
    <row r="262" spans="13:15">
      <c r="M262" s="481"/>
      <c r="N262" s="481"/>
      <c r="O262" s="481"/>
    </row>
    <row r="263" spans="13:15">
      <c r="M263" s="481"/>
      <c r="N263" s="481"/>
      <c r="O263" s="481"/>
    </row>
    <row r="264" spans="13:15">
      <c r="M264" s="481"/>
      <c r="N264" s="481"/>
      <c r="O264" s="481"/>
    </row>
    <row r="265" spans="13:15">
      <c r="M265" s="481"/>
      <c r="N265" s="481"/>
      <c r="O265" s="481"/>
    </row>
    <row r="266" spans="13:15">
      <c r="M266" s="481"/>
      <c r="N266" s="481"/>
      <c r="O266" s="481"/>
    </row>
    <row r="267" spans="13:15">
      <c r="M267" s="481"/>
      <c r="N267" s="481"/>
      <c r="O267" s="481"/>
    </row>
    <row r="268" spans="13:15">
      <c r="M268" s="481"/>
      <c r="N268" s="481"/>
      <c r="O268" s="481"/>
    </row>
    <row r="269" spans="13:15">
      <c r="M269" s="481"/>
      <c r="N269" s="481"/>
      <c r="O269" s="481"/>
    </row>
    <row r="270" spans="13:15">
      <c r="M270" s="481"/>
      <c r="N270" s="481"/>
      <c r="O270" s="481"/>
    </row>
    <row r="271" spans="13:15">
      <c r="M271" s="481"/>
      <c r="N271" s="481"/>
      <c r="O271" s="481"/>
    </row>
    <row r="272" spans="13:15">
      <c r="M272" s="481"/>
      <c r="N272" s="481"/>
      <c r="O272" s="481"/>
    </row>
    <row r="273" spans="13:15">
      <c r="M273" s="481"/>
      <c r="N273" s="481"/>
      <c r="O273" s="481"/>
    </row>
    <row r="274" spans="13:15">
      <c r="M274" s="481"/>
      <c r="N274" s="481"/>
      <c r="O274" s="481"/>
    </row>
    <row r="275" spans="13:15">
      <c r="M275" s="481"/>
      <c r="N275" s="481"/>
      <c r="O275" s="481"/>
    </row>
    <row r="276" spans="13:15">
      <c r="M276" s="481"/>
      <c r="N276" s="481"/>
      <c r="O276" s="481"/>
    </row>
    <row r="277" spans="13:15">
      <c r="M277" s="481"/>
      <c r="N277" s="481"/>
      <c r="O277" s="481"/>
    </row>
    <row r="278" spans="13:15">
      <c r="M278" s="481"/>
      <c r="N278" s="481"/>
      <c r="O278" s="481"/>
    </row>
    <row r="279" spans="13:15">
      <c r="M279" s="481"/>
      <c r="N279" s="481"/>
      <c r="O279" s="481"/>
    </row>
    <row r="280" spans="13:15">
      <c r="M280" s="481"/>
      <c r="N280" s="481"/>
      <c r="O280" s="481"/>
    </row>
    <row r="281" spans="13:15">
      <c r="M281" s="481"/>
      <c r="N281" s="481"/>
      <c r="O281" s="481"/>
    </row>
    <row r="282" spans="13:15">
      <c r="M282" s="481"/>
      <c r="N282" s="481"/>
      <c r="O282" s="481"/>
    </row>
    <row r="283" spans="13:15">
      <c r="M283" s="481"/>
      <c r="N283" s="481"/>
      <c r="O283" s="481"/>
    </row>
    <row r="284" spans="13:15">
      <c r="M284" s="481"/>
      <c r="N284" s="481"/>
      <c r="O284" s="481"/>
    </row>
    <row r="285" spans="13:15">
      <c r="M285" s="481"/>
      <c r="N285" s="481"/>
      <c r="O285" s="481"/>
    </row>
    <row r="286" spans="13:15">
      <c r="M286" s="481"/>
      <c r="N286" s="481"/>
      <c r="O286" s="481"/>
    </row>
    <row r="287" spans="13:15">
      <c r="M287" s="481"/>
      <c r="N287" s="481"/>
      <c r="O287" s="481"/>
    </row>
    <row r="288" spans="13:15">
      <c r="M288" s="481"/>
      <c r="N288" s="481"/>
      <c r="O288" s="481"/>
    </row>
    <row r="289" spans="13:15">
      <c r="M289" s="481"/>
      <c r="N289" s="481"/>
      <c r="O289" s="481"/>
    </row>
    <row r="290" spans="13:15">
      <c r="M290" s="481"/>
      <c r="N290" s="481"/>
      <c r="O290" s="481"/>
    </row>
    <row r="291" spans="13:15">
      <c r="M291" s="481"/>
      <c r="N291" s="481"/>
      <c r="O291" s="481"/>
    </row>
    <row r="292" spans="13:15">
      <c r="M292" s="481"/>
      <c r="N292" s="481"/>
      <c r="O292" s="481"/>
    </row>
    <row r="293" spans="13:15">
      <c r="M293" s="481"/>
      <c r="N293" s="481"/>
      <c r="O293" s="481"/>
    </row>
    <row r="294" spans="13:15">
      <c r="M294" s="481"/>
      <c r="N294" s="481"/>
      <c r="O294" s="481"/>
    </row>
    <row r="295" spans="13:15">
      <c r="M295" s="481"/>
      <c r="N295" s="481"/>
      <c r="O295" s="481"/>
    </row>
    <row r="296" spans="13:15">
      <c r="M296" s="481"/>
      <c r="N296" s="481"/>
      <c r="O296" s="481"/>
    </row>
    <row r="297" spans="13:15">
      <c r="M297" s="481"/>
      <c r="N297" s="481"/>
      <c r="O297" s="481"/>
    </row>
    <row r="298" spans="13:15">
      <c r="M298" s="481"/>
      <c r="N298" s="481"/>
      <c r="O298" s="481"/>
    </row>
    <row r="299" spans="13:15">
      <c r="M299" s="481"/>
      <c r="N299" s="481"/>
      <c r="O299" s="481"/>
    </row>
    <row r="300" spans="13:15">
      <c r="M300" s="481"/>
      <c r="N300" s="481"/>
      <c r="O300" s="481"/>
    </row>
    <row r="301" spans="13:15">
      <c r="M301" s="481"/>
      <c r="N301" s="481"/>
      <c r="O301" s="481"/>
    </row>
    <row r="302" spans="13:15">
      <c r="M302" s="481"/>
      <c r="N302" s="481"/>
      <c r="O302" s="481"/>
    </row>
    <row r="303" spans="13:15">
      <c r="M303" s="481"/>
      <c r="N303" s="481"/>
      <c r="O303" s="481"/>
    </row>
    <row r="304" spans="13:15">
      <c r="M304" s="481"/>
      <c r="N304" s="481"/>
      <c r="O304" s="481"/>
    </row>
    <row r="305" spans="13:15">
      <c r="M305" s="481"/>
      <c r="N305" s="481"/>
      <c r="O305" s="481"/>
    </row>
    <row r="306" spans="13:15">
      <c r="M306" s="481"/>
      <c r="N306" s="481"/>
      <c r="O306" s="481"/>
    </row>
    <row r="307" spans="13:15">
      <c r="M307" s="481"/>
      <c r="N307" s="481"/>
      <c r="O307" s="481"/>
    </row>
    <row r="308" spans="13:15">
      <c r="M308" s="481"/>
      <c r="N308" s="481"/>
      <c r="O308" s="481"/>
    </row>
    <row r="309" spans="13:15">
      <c r="M309" s="481"/>
      <c r="N309" s="481"/>
      <c r="O309" s="481"/>
    </row>
    <row r="310" spans="13:15">
      <c r="M310" s="481"/>
      <c r="N310" s="481"/>
      <c r="O310" s="481"/>
    </row>
    <row r="311" spans="13:15">
      <c r="M311" s="481"/>
      <c r="N311" s="481"/>
      <c r="O311" s="481"/>
    </row>
    <row r="312" spans="13:15">
      <c r="M312" s="481"/>
      <c r="N312" s="481"/>
      <c r="O312" s="481"/>
    </row>
    <row r="313" spans="13:15">
      <c r="M313" s="481"/>
      <c r="N313" s="481"/>
      <c r="O313" s="481"/>
    </row>
    <row r="314" spans="13:15">
      <c r="M314" s="481"/>
      <c r="N314" s="481"/>
      <c r="O314" s="481"/>
    </row>
    <row r="315" spans="13:15">
      <c r="M315" s="481"/>
      <c r="N315" s="481"/>
      <c r="O315" s="481"/>
    </row>
    <row r="316" spans="13:15">
      <c r="M316" s="481"/>
      <c r="N316" s="481"/>
      <c r="O316" s="481"/>
    </row>
    <row r="317" spans="13:15">
      <c r="M317" s="481"/>
      <c r="N317" s="481"/>
      <c r="O317" s="481"/>
    </row>
    <row r="318" spans="13:15">
      <c r="M318" s="481"/>
      <c r="N318" s="481"/>
      <c r="O318" s="481"/>
    </row>
    <row r="319" spans="13:15">
      <c r="M319" s="481"/>
      <c r="N319" s="481"/>
      <c r="O319" s="481"/>
    </row>
    <row r="320" spans="13:15">
      <c r="M320" s="481"/>
      <c r="N320" s="481"/>
      <c r="O320" s="481"/>
    </row>
    <row r="321" spans="13:15">
      <c r="M321" s="481"/>
      <c r="N321" s="481"/>
      <c r="O321" s="481"/>
    </row>
    <row r="322" spans="13:15">
      <c r="M322" s="481"/>
      <c r="N322" s="481"/>
      <c r="O322" s="481"/>
    </row>
    <row r="323" spans="13:15">
      <c r="M323" s="481"/>
      <c r="N323" s="481"/>
      <c r="O323" s="481"/>
    </row>
    <row r="324" spans="13:15">
      <c r="M324" s="481"/>
      <c r="N324" s="481"/>
      <c r="O324" s="481"/>
    </row>
    <row r="325" spans="13:15">
      <c r="M325" s="481"/>
      <c r="N325" s="481"/>
      <c r="O325" s="481"/>
    </row>
    <row r="326" spans="13:15">
      <c r="M326" s="481"/>
      <c r="N326" s="481"/>
      <c r="O326" s="481"/>
    </row>
    <row r="327" spans="13:15">
      <c r="M327" s="481"/>
      <c r="N327" s="481"/>
      <c r="O327" s="481"/>
    </row>
    <row r="328" spans="13:15">
      <c r="M328" s="481"/>
      <c r="N328" s="481"/>
      <c r="O328" s="481"/>
    </row>
    <row r="329" spans="13:15">
      <c r="M329" s="481"/>
      <c r="N329" s="481"/>
      <c r="O329" s="481"/>
    </row>
    <row r="330" spans="13:15">
      <c r="M330" s="481"/>
      <c r="N330" s="481"/>
      <c r="O330" s="481"/>
    </row>
    <row r="331" spans="13:15">
      <c r="M331" s="481"/>
      <c r="N331" s="481"/>
      <c r="O331" s="481"/>
    </row>
    <row r="332" spans="13:15">
      <c r="M332" s="481"/>
      <c r="N332" s="481"/>
      <c r="O332" s="481"/>
    </row>
    <row r="333" spans="13:15">
      <c r="M333" s="481"/>
      <c r="N333" s="481"/>
      <c r="O333" s="481"/>
    </row>
    <row r="334" spans="13:15">
      <c r="M334" s="481"/>
      <c r="N334" s="481"/>
      <c r="O334" s="481"/>
    </row>
    <row r="335" spans="13:15">
      <c r="M335" s="481"/>
      <c r="N335" s="481"/>
      <c r="O335" s="481"/>
    </row>
    <row r="336" spans="13:15">
      <c r="M336" s="481"/>
      <c r="N336" s="481"/>
      <c r="O336" s="481"/>
    </row>
    <row r="337" spans="13:15">
      <c r="M337" s="481"/>
      <c r="N337" s="481"/>
      <c r="O337" s="481"/>
    </row>
    <row r="338" spans="13:15">
      <c r="M338" s="481"/>
      <c r="N338" s="481"/>
      <c r="O338" s="481"/>
    </row>
    <row r="339" spans="13:15">
      <c r="M339" s="481"/>
      <c r="N339" s="481"/>
      <c r="O339" s="481"/>
    </row>
    <row r="340" spans="13:15">
      <c r="M340" s="481"/>
      <c r="N340" s="481"/>
      <c r="O340" s="481"/>
    </row>
    <row r="341" spans="13:15">
      <c r="M341" s="481"/>
      <c r="N341" s="481"/>
      <c r="O341" s="481"/>
    </row>
    <row r="342" spans="13:15">
      <c r="M342" s="481"/>
      <c r="N342" s="481"/>
      <c r="O342" s="481"/>
    </row>
    <row r="343" spans="13:15">
      <c r="M343" s="481"/>
      <c r="N343" s="481"/>
      <c r="O343" s="481"/>
    </row>
    <row r="344" spans="13:15">
      <c r="M344" s="481"/>
      <c r="N344" s="481"/>
      <c r="O344" s="481"/>
    </row>
    <row r="345" spans="13:15">
      <c r="M345" s="481"/>
      <c r="N345" s="481"/>
      <c r="O345" s="481"/>
    </row>
    <row r="346" spans="13:15">
      <c r="M346" s="481"/>
      <c r="N346" s="481"/>
      <c r="O346" s="481"/>
    </row>
    <row r="347" spans="13:15">
      <c r="M347" s="481"/>
      <c r="N347" s="481"/>
      <c r="O347" s="481"/>
    </row>
    <row r="348" spans="13:15">
      <c r="M348" s="481"/>
      <c r="N348" s="481"/>
      <c r="O348" s="481"/>
    </row>
    <row r="349" spans="13:15">
      <c r="M349" s="481"/>
      <c r="N349" s="481"/>
      <c r="O349" s="481"/>
    </row>
    <row r="350" spans="13:15">
      <c r="M350" s="481"/>
      <c r="N350" s="481"/>
      <c r="O350" s="481"/>
    </row>
    <row r="351" spans="13:15">
      <c r="M351" s="481"/>
      <c r="N351" s="481"/>
      <c r="O351" s="481"/>
    </row>
    <row r="352" spans="13:15">
      <c r="M352" s="481"/>
      <c r="N352" s="481"/>
      <c r="O352" s="481"/>
    </row>
    <row r="353" spans="13:15">
      <c r="M353" s="481"/>
      <c r="N353" s="481"/>
      <c r="O353" s="481"/>
    </row>
    <row r="354" spans="13:15">
      <c r="M354" s="481"/>
      <c r="N354" s="481"/>
      <c r="O354" s="481"/>
    </row>
    <row r="355" spans="13:15">
      <c r="M355" s="481"/>
      <c r="N355" s="481"/>
      <c r="O355" s="481"/>
    </row>
    <row r="356" spans="13:15">
      <c r="M356" s="481"/>
      <c r="N356" s="481"/>
      <c r="O356" s="481"/>
    </row>
    <row r="357" spans="13:15">
      <c r="M357" s="481"/>
      <c r="N357" s="481"/>
      <c r="O357" s="481"/>
    </row>
    <row r="358" spans="13:15">
      <c r="M358" s="481"/>
      <c r="N358" s="481"/>
      <c r="O358" s="481"/>
    </row>
    <row r="359" spans="13:15">
      <c r="M359" s="481"/>
      <c r="N359" s="481"/>
      <c r="O359" s="481"/>
    </row>
    <row r="360" spans="13:15">
      <c r="M360" s="481"/>
      <c r="N360" s="481"/>
      <c r="O360" s="481"/>
    </row>
    <row r="361" spans="13:15">
      <c r="M361" s="481"/>
      <c r="N361" s="481"/>
      <c r="O361" s="481"/>
    </row>
    <row r="362" spans="13:15">
      <c r="M362" s="481"/>
      <c r="N362" s="481"/>
      <c r="O362" s="481"/>
    </row>
    <row r="363" spans="13:15">
      <c r="M363" s="481"/>
      <c r="N363" s="481"/>
      <c r="O363" s="481"/>
    </row>
    <row r="364" spans="13:15">
      <c r="M364" s="481"/>
      <c r="N364" s="481"/>
      <c r="O364" s="481"/>
    </row>
    <row r="365" spans="13:15">
      <c r="M365" s="481"/>
      <c r="N365" s="481"/>
      <c r="O365" s="481"/>
    </row>
    <row r="366" spans="13:15">
      <c r="M366" s="481"/>
      <c r="N366" s="481"/>
      <c r="O366" s="481"/>
    </row>
    <row r="367" spans="13:15">
      <c r="M367" s="481"/>
      <c r="N367" s="481"/>
      <c r="O367" s="481"/>
    </row>
    <row r="368" spans="13:15">
      <c r="M368" s="481"/>
      <c r="N368" s="481"/>
      <c r="O368" s="481"/>
    </row>
    <row r="369" spans="13:15">
      <c r="M369" s="481"/>
      <c r="N369" s="481"/>
      <c r="O369" s="481"/>
    </row>
    <row r="370" spans="13:15">
      <c r="M370" s="481"/>
      <c r="N370" s="481"/>
      <c r="O370" s="481"/>
    </row>
    <row r="371" spans="13:15">
      <c r="M371" s="481"/>
      <c r="N371" s="481"/>
      <c r="O371" s="481"/>
    </row>
    <row r="372" spans="13:15">
      <c r="M372" s="481"/>
      <c r="N372" s="481"/>
      <c r="O372" s="481"/>
    </row>
    <row r="373" spans="13:15">
      <c r="M373" s="481"/>
      <c r="N373" s="481"/>
      <c r="O373" s="481"/>
    </row>
    <row r="374" spans="13:15">
      <c r="M374" s="481"/>
      <c r="N374" s="481"/>
      <c r="O374" s="481"/>
    </row>
    <row r="375" spans="13:15">
      <c r="M375" s="481"/>
      <c r="N375" s="481"/>
      <c r="O375" s="481"/>
    </row>
    <row r="376" spans="13:15">
      <c r="M376" s="481"/>
      <c r="N376" s="481"/>
      <c r="O376" s="481"/>
    </row>
    <row r="377" spans="13:15">
      <c r="M377" s="481"/>
      <c r="N377" s="481"/>
      <c r="O377" s="481"/>
    </row>
    <row r="378" spans="13:15">
      <c r="M378" s="481"/>
      <c r="N378" s="481"/>
      <c r="O378" s="481"/>
    </row>
    <row r="379" spans="13:15">
      <c r="M379" s="481"/>
      <c r="N379" s="481"/>
      <c r="O379" s="481"/>
    </row>
    <row r="380" spans="13:15">
      <c r="M380" s="481"/>
      <c r="N380" s="481"/>
      <c r="O380" s="481"/>
    </row>
    <row r="381" spans="13:15">
      <c r="M381" s="481"/>
      <c r="N381" s="481"/>
      <c r="O381" s="481"/>
    </row>
    <row r="382" spans="13:15">
      <c r="M382" s="481"/>
      <c r="N382" s="481"/>
      <c r="O382" s="481"/>
    </row>
    <row r="383" spans="13:15">
      <c r="M383" s="481"/>
      <c r="N383" s="481"/>
      <c r="O383" s="481"/>
    </row>
    <row r="384" spans="13:15">
      <c r="M384" s="481"/>
      <c r="N384" s="481"/>
      <c r="O384" s="481"/>
    </row>
    <row r="385" spans="13:15">
      <c r="M385" s="481"/>
      <c r="N385" s="481"/>
      <c r="O385" s="481"/>
    </row>
    <row r="386" spans="13:15">
      <c r="M386" s="481"/>
      <c r="N386" s="481"/>
      <c r="O386" s="481"/>
    </row>
    <row r="387" spans="13:15">
      <c r="M387" s="481"/>
      <c r="N387" s="481"/>
      <c r="O387" s="481"/>
    </row>
    <row r="388" spans="13:15">
      <c r="M388" s="481"/>
      <c r="N388" s="481"/>
      <c r="O388" s="481"/>
    </row>
    <row r="389" spans="13:15">
      <c r="M389" s="481"/>
      <c r="N389" s="481"/>
      <c r="O389" s="481"/>
    </row>
    <row r="390" spans="13:15">
      <c r="M390" s="481"/>
      <c r="N390" s="481"/>
      <c r="O390" s="481"/>
    </row>
    <row r="391" spans="13:15">
      <c r="M391" s="481"/>
      <c r="N391" s="481"/>
      <c r="O391" s="481"/>
    </row>
    <row r="392" spans="13:15">
      <c r="M392" s="481"/>
      <c r="N392" s="481"/>
      <c r="O392" s="481"/>
    </row>
    <row r="393" spans="13:15">
      <c r="M393" s="481"/>
      <c r="N393" s="481"/>
      <c r="O393" s="481"/>
    </row>
    <row r="394" spans="13:15">
      <c r="M394" s="481"/>
      <c r="N394" s="481"/>
      <c r="O394" s="481"/>
    </row>
    <row r="395" spans="13:15">
      <c r="M395" s="481"/>
      <c r="N395" s="481"/>
      <c r="O395" s="481"/>
    </row>
    <row r="396" spans="13:15">
      <c r="M396" s="481"/>
      <c r="N396" s="481"/>
      <c r="O396" s="481"/>
    </row>
    <row r="397" spans="13:15">
      <c r="M397" s="481"/>
      <c r="N397" s="481"/>
      <c r="O397" s="481"/>
    </row>
    <row r="398" spans="13:15">
      <c r="M398" s="481"/>
      <c r="N398" s="481"/>
      <c r="O398" s="481"/>
    </row>
  </sheetData>
  <sheetProtection algorithmName="SHA-512" hashValue="m5UPW9kFbseRAve28FfncIwb3kSKtx7PDMyNshhWCgAcp35BYO5WI73Dx8Ow7WrYWe0vF5OBjQPbKeePR3rcng==" saltValue="ra0h8qLJjvzRQ18bEzY4yA==" spinCount="100000" sheet="1" objects="1" scenarios="1"/>
  <mergeCells count="3">
    <mergeCell ref="A3:A4"/>
    <mergeCell ref="A180:P181"/>
    <mergeCell ref="A186:P187"/>
  </mergeCells>
  <phoneticPr fontId="0" type="noConversion"/>
  <printOptions horizontalCentered="1"/>
  <pageMargins left="0.17" right="0.16" top="0.53" bottom="0.66" header="0.5" footer="0.37"/>
  <pageSetup scale="76" fitToHeight="4" orientation="landscape" r:id="rId1"/>
  <headerFooter alignWithMargins="0">
    <oddFooter>&amp;LHawai'i DOH
Spring 2024&amp;C&amp;8Page &amp;P of &amp;N&amp;R&amp;A</oddFooter>
  </headerFooter>
  <rowBreaks count="1" manualBreakCount="1">
    <brk id="154"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29"/>
    <pageSetUpPr fitToPage="1"/>
  </sheetPr>
  <dimension ref="A1:F170"/>
  <sheetViews>
    <sheetView zoomScaleNormal="100" workbookViewId="0">
      <pane ySplit="1545" topLeftCell="A4" activePane="bottomLeft"/>
      <selection activeCell="B7" sqref="B7"/>
      <selection pane="bottomLeft" activeCell="B7" sqref="B7"/>
    </sheetView>
  </sheetViews>
  <sheetFormatPr defaultColWidth="9.1328125" defaultRowHeight="12.75"/>
  <cols>
    <col min="1" max="1" width="40.73046875" style="3" customWidth="1"/>
    <col min="2" max="4" width="15.73046875" style="3" customWidth="1"/>
    <col min="5" max="5" width="15.73046875" style="481" customWidth="1"/>
    <col min="6" max="6" width="9.1328125" style="532"/>
    <col min="7" max="16384" width="9.1328125" style="3"/>
  </cols>
  <sheetData>
    <row r="1" spans="1:6" ht="16.899999999999999">
      <c r="A1" s="6" t="s">
        <v>998</v>
      </c>
      <c r="B1" s="6"/>
      <c r="C1" s="6"/>
      <c r="D1" s="6"/>
      <c r="E1" s="530"/>
    </row>
    <row r="2" spans="1:6" ht="14.1" customHeight="1" thickBot="1">
      <c r="A2" s="487"/>
      <c r="B2" s="487"/>
      <c r="C2" s="487"/>
      <c r="D2" s="487"/>
      <c r="E2" s="907"/>
      <c r="F2" s="3"/>
    </row>
    <row r="3" spans="1:6" ht="35.25" customHeight="1" thickTop="1" thickBot="1">
      <c r="A3" s="539" t="s">
        <v>232</v>
      </c>
      <c r="B3" s="519" t="s">
        <v>996</v>
      </c>
      <c r="C3" s="1105" t="s">
        <v>1000</v>
      </c>
      <c r="D3" s="1106" t="s">
        <v>1001</v>
      </c>
      <c r="E3" s="520" t="s">
        <v>1002</v>
      </c>
      <c r="F3" s="3"/>
    </row>
    <row r="4" spans="1:6" ht="12" customHeight="1">
      <c r="A4" s="454" t="s">
        <v>548</v>
      </c>
      <c r="B4" s="1107"/>
      <c r="C4" s="1108"/>
      <c r="D4" s="1109"/>
      <c r="E4" s="856" t="str">
        <f>IF(C4=0,"",C4)</f>
        <v/>
      </c>
      <c r="F4" s="3"/>
    </row>
    <row r="5" spans="1:6" ht="12" customHeight="1">
      <c r="A5" s="458" t="s">
        <v>549</v>
      </c>
      <c r="B5" s="1110"/>
      <c r="C5" s="831"/>
      <c r="D5" s="600"/>
      <c r="E5" s="856" t="str">
        <f t="shared" ref="E5:E69" si="0">IF(C5=0,"",C5)</f>
        <v/>
      </c>
      <c r="F5" s="3"/>
    </row>
    <row r="6" spans="1:6" ht="12" customHeight="1">
      <c r="A6" s="458" t="s">
        <v>550</v>
      </c>
      <c r="B6" s="1110"/>
      <c r="C6" s="831"/>
      <c r="D6" s="600"/>
      <c r="E6" s="856" t="str">
        <f t="shared" si="0"/>
        <v/>
      </c>
      <c r="F6" s="3"/>
    </row>
    <row r="7" spans="1:6" ht="12" customHeight="1">
      <c r="A7" s="458" t="s">
        <v>551</v>
      </c>
      <c r="B7" s="1110"/>
      <c r="C7" s="831"/>
      <c r="D7" s="600"/>
      <c r="E7" s="856" t="str">
        <f t="shared" si="0"/>
        <v/>
      </c>
      <c r="F7" s="3"/>
    </row>
    <row r="8" spans="1:6" ht="12" customHeight="1">
      <c r="A8" s="458" t="s">
        <v>161</v>
      </c>
      <c r="B8" s="1110"/>
      <c r="C8" s="831"/>
      <c r="D8" s="600"/>
      <c r="E8" s="856" t="str">
        <f t="shared" si="0"/>
        <v/>
      </c>
      <c r="F8" s="3"/>
    </row>
    <row r="9" spans="1:6" ht="12" customHeight="1">
      <c r="A9" s="462" t="s">
        <v>162</v>
      </c>
      <c r="B9" s="1111"/>
      <c r="C9" s="1112"/>
      <c r="D9" s="1113"/>
      <c r="E9" s="856" t="str">
        <f t="shared" si="0"/>
        <v/>
      </c>
      <c r="F9" s="3"/>
    </row>
    <row r="10" spans="1:6" ht="12" customHeight="1">
      <c r="A10" s="462" t="s">
        <v>94</v>
      </c>
      <c r="B10" s="1111"/>
      <c r="C10" s="1112"/>
      <c r="D10" s="1113"/>
      <c r="E10" s="856" t="str">
        <f t="shared" si="0"/>
        <v/>
      </c>
      <c r="F10" s="3"/>
    </row>
    <row r="11" spans="1:6" ht="12" customHeight="1">
      <c r="A11" s="458" t="s">
        <v>552</v>
      </c>
      <c r="B11" s="1110"/>
      <c r="C11" s="831"/>
      <c r="D11" s="600"/>
      <c r="E11" s="856" t="str">
        <f t="shared" si="0"/>
        <v/>
      </c>
      <c r="F11" s="3"/>
    </row>
    <row r="12" spans="1:6" ht="12" customHeight="1">
      <c r="A12" s="458" t="s">
        <v>553</v>
      </c>
      <c r="B12" s="1110" t="s">
        <v>997</v>
      </c>
      <c r="C12" s="831">
        <v>2.4</v>
      </c>
      <c r="D12" s="600">
        <v>2.4</v>
      </c>
      <c r="E12" s="856">
        <f t="shared" si="0"/>
        <v>2.4</v>
      </c>
      <c r="F12" s="3"/>
    </row>
    <row r="13" spans="1:6" ht="12" customHeight="1">
      <c r="A13" s="458" t="s">
        <v>686</v>
      </c>
      <c r="B13" s="1110" t="s">
        <v>999</v>
      </c>
      <c r="C13" s="831">
        <v>24</v>
      </c>
      <c r="D13" s="600">
        <v>50</v>
      </c>
      <c r="E13" s="856">
        <f t="shared" si="0"/>
        <v>24</v>
      </c>
      <c r="F13" s="3"/>
    </row>
    <row r="14" spans="1:6" ht="12" customHeight="1">
      <c r="A14" s="458" t="s">
        <v>95</v>
      </c>
      <c r="B14" s="1110"/>
      <c r="C14" s="831"/>
      <c r="D14" s="600"/>
      <c r="E14" s="856" t="str">
        <f t="shared" si="0"/>
        <v/>
      </c>
      <c r="F14" s="3"/>
    </row>
    <row r="15" spans="1:6" ht="12" customHeight="1">
      <c r="A15" s="458" t="s">
        <v>687</v>
      </c>
      <c r="B15" s="1110" t="s">
        <v>1009</v>
      </c>
      <c r="C15" s="831">
        <v>690</v>
      </c>
      <c r="D15" s="600">
        <v>926</v>
      </c>
      <c r="E15" s="856">
        <f t="shared" si="0"/>
        <v>690</v>
      </c>
      <c r="F15" s="3"/>
    </row>
    <row r="16" spans="1:6" ht="12" customHeight="1">
      <c r="A16" s="458" t="s">
        <v>1156</v>
      </c>
      <c r="B16" s="1110"/>
      <c r="C16" s="831"/>
      <c r="D16" s="600"/>
      <c r="E16" s="856"/>
      <c r="F16" s="3"/>
    </row>
    <row r="17" spans="1:5" s="3" customFormat="1" ht="12" customHeight="1">
      <c r="A17" s="458" t="s">
        <v>688</v>
      </c>
      <c r="B17" s="1110"/>
      <c r="C17" s="831"/>
      <c r="D17" s="600"/>
      <c r="E17" s="856" t="str">
        <f t="shared" si="0"/>
        <v/>
      </c>
    </row>
    <row r="18" spans="1:5" s="3" customFormat="1" ht="12" customHeight="1">
      <c r="A18" s="458" t="s">
        <v>689</v>
      </c>
      <c r="B18" s="1110"/>
      <c r="C18" s="831"/>
      <c r="D18" s="600"/>
      <c r="E18" s="856" t="str">
        <f t="shared" si="0"/>
        <v/>
      </c>
    </row>
    <row r="19" spans="1:5" s="3" customFormat="1" ht="12" customHeight="1">
      <c r="A19" s="458" t="s">
        <v>690</v>
      </c>
      <c r="B19" s="1110"/>
      <c r="C19" s="831"/>
      <c r="D19" s="600"/>
      <c r="E19" s="856" t="str">
        <f t="shared" si="0"/>
        <v/>
      </c>
    </row>
    <row r="20" spans="1:5" s="3" customFormat="1" ht="12" customHeight="1">
      <c r="A20" s="458" t="s">
        <v>691</v>
      </c>
      <c r="B20" s="1110"/>
      <c r="C20" s="831"/>
      <c r="D20" s="600"/>
      <c r="E20" s="856" t="str">
        <f t="shared" si="0"/>
        <v/>
      </c>
    </row>
    <row r="21" spans="1:5" s="3" customFormat="1" ht="12" customHeight="1">
      <c r="A21" s="458" t="s">
        <v>692</v>
      </c>
      <c r="B21" s="1110"/>
      <c r="C21" s="831"/>
      <c r="D21" s="600"/>
      <c r="E21" s="856" t="str">
        <f t="shared" si="0"/>
        <v/>
      </c>
    </row>
    <row r="22" spans="1:5" s="3" customFormat="1" ht="12" customHeight="1">
      <c r="A22" s="458" t="s">
        <v>693</v>
      </c>
      <c r="B22" s="1110"/>
      <c r="C22" s="831"/>
      <c r="D22" s="600"/>
      <c r="E22" s="856" t="str">
        <f t="shared" si="0"/>
        <v/>
      </c>
    </row>
    <row r="23" spans="1:5" s="3" customFormat="1" ht="12" customHeight="1">
      <c r="A23" s="458" t="s">
        <v>126</v>
      </c>
      <c r="B23" s="1110" t="s">
        <v>1010</v>
      </c>
      <c r="C23" s="831">
        <v>3</v>
      </c>
      <c r="D23" s="600">
        <v>3.8</v>
      </c>
      <c r="E23" s="856">
        <f t="shared" si="0"/>
        <v>3</v>
      </c>
    </row>
    <row r="24" spans="1:5" s="3" customFormat="1" ht="12" customHeight="1">
      <c r="A24" s="458" t="s">
        <v>233</v>
      </c>
      <c r="B24" s="1110"/>
      <c r="C24" s="831"/>
      <c r="D24" s="600"/>
      <c r="E24" s="856" t="str">
        <f t="shared" si="0"/>
        <v/>
      </c>
    </row>
    <row r="25" spans="1:5" s="3" customFormat="1" ht="12" customHeight="1">
      <c r="A25" s="458" t="s">
        <v>127</v>
      </c>
      <c r="B25" s="1110"/>
      <c r="C25" s="831"/>
      <c r="D25" s="600"/>
      <c r="E25" s="856" t="str">
        <f t="shared" si="0"/>
        <v/>
      </c>
    </row>
    <row r="26" spans="1:5" s="3" customFormat="1" ht="12" customHeight="1">
      <c r="A26" s="503" t="s">
        <v>1103</v>
      </c>
      <c r="B26" s="1110"/>
      <c r="C26" s="831"/>
      <c r="D26" s="600"/>
      <c r="E26" s="856" t="str">
        <f t="shared" si="0"/>
        <v/>
      </c>
    </row>
    <row r="27" spans="1:5" s="3" customFormat="1" ht="12" customHeight="1">
      <c r="A27" s="458" t="s">
        <v>128</v>
      </c>
      <c r="B27" s="1110"/>
      <c r="C27" s="831"/>
      <c r="D27" s="600"/>
      <c r="E27" s="856" t="str">
        <f t="shared" si="0"/>
        <v/>
      </c>
    </row>
    <row r="28" spans="1:5" s="3" customFormat="1" ht="12" customHeight="1">
      <c r="A28" s="458" t="s">
        <v>129</v>
      </c>
      <c r="B28" s="1110"/>
      <c r="C28" s="831"/>
      <c r="D28" s="600"/>
      <c r="E28" s="856" t="str">
        <f t="shared" si="0"/>
        <v/>
      </c>
    </row>
    <row r="29" spans="1:5" s="3" customFormat="1" ht="12" customHeight="1">
      <c r="A29" s="458" t="s">
        <v>130</v>
      </c>
      <c r="B29" s="1110"/>
      <c r="C29" s="831"/>
      <c r="D29" s="600"/>
      <c r="E29" s="856" t="str">
        <f t="shared" si="0"/>
        <v/>
      </c>
    </row>
    <row r="30" spans="1:5" s="3" customFormat="1" ht="12" customHeight="1">
      <c r="A30" s="458" t="s">
        <v>131</v>
      </c>
      <c r="B30" s="1110"/>
      <c r="C30" s="831"/>
      <c r="D30" s="600"/>
      <c r="E30" s="856" t="str">
        <f t="shared" si="0"/>
        <v/>
      </c>
    </row>
    <row r="31" spans="1:5" s="3" customFormat="1" ht="12" customHeight="1">
      <c r="A31" s="458" t="s">
        <v>132</v>
      </c>
      <c r="B31" s="1110"/>
      <c r="C31" s="831"/>
      <c r="D31" s="600"/>
      <c r="E31" s="856" t="str">
        <f t="shared" si="0"/>
        <v/>
      </c>
    </row>
    <row r="32" spans="1:5" s="3" customFormat="1" ht="12" customHeight="1">
      <c r="A32" s="458" t="s">
        <v>133</v>
      </c>
      <c r="B32" s="1110" t="s">
        <v>1011</v>
      </c>
      <c r="C32" s="831">
        <v>2.2999999999999998</v>
      </c>
      <c r="D32" s="600">
        <v>17</v>
      </c>
      <c r="E32" s="856">
        <v>17</v>
      </c>
    </row>
    <row r="33" spans="1:5" s="3" customFormat="1" ht="12" customHeight="1">
      <c r="A33" s="458" t="s">
        <v>134</v>
      </c>
      <c r="B33" s="1110"/>
      <c r="C33" s="831"/>
      <c r="D33" s="600"/>
      <c r="E33" s="856" t="str">
        <f t="shared" si="0"/>
        <v/>
      </c>
    </row>
    <row r="34" spans="1:5" s="3" customFormat="1" ht="12" customHeight="1">
      <c r="A34" s="458" t="s">
        <v>614</v>
      </c>
      <c r="B34" s="1110"/>
      <c r="C34" s="831"/>
      <c r="D34" s="600"/>
      <c r="E34" s="856" t="str">
        <f t="shared" si="0"/>
        <v/>
      </c>
    </row>
    <row r="35" spans="1:5" s="3" customFormat="1" ht="12" customHeight="1">
      <c r="A35" s="458" t="s">
        <v>135</v>
      </c>
      <c r="B35" s="1110"/>
      <c r="C35" s="831"/>
      <c r="D35" s="600"/>
      <c r="E35" s="856" t="str">
        <f t="shared" si="0"/>
        <v/>
      </c>
    </row>
    <row r="36" spans="1:5" s="3" customFormat="1" ht="12" customHeight="1">
      <c r="A36" s="458" t="s">
        <v>136</v>
      </c>
      <c r="B36" s="1110"/>
      <c r="C36" s="831"/>
      <c r="D36" s="600"/>
      <c r="E36" s="856" t="str">
        <f t="shared" si="0"/>
        <v/>
      </c>
    </row>
    <row r="37" spans="1:5" s="3" customFormat="1" ht="12" customHeight="1">
      <c r="A37" s="458" t="s">
        <v>781</v>
      </c>
      <c r="B37" s="1110"/>
      <c r="C37" s="831"/>
      <c r="D37" s="600"/>
      <c r="E37" s="856" t="str">
        <f t="shared" si="0"/>
        <v/>
      </c>
    </row>
    <row r="38" spans="1:5" s="1" customFormat="1" ht="11.25" customHeight="1">
      <c r="A38" s="464" t="s">
        <v>137</v>
      </c>
      <c r="B38" s="1110"/>
      <c r="C38" s="831"/>
      <c r="D38" s="600"/>
      <c r="E38" s="856" t="str">
        <f t="shared" si="0"/>
        <v/>
      </c>
    </row>
    <row r="39" spans="1:5" s="1" customFormat="1" ht="11.25" customHeight="1">
      <c r="A39" s="458" t="s">
        <v>782</v>
      </c>
      <c r="B39" s="1114"/>
      <c r="C39" s="720"/>
      <c r="D39" s="566"/>
      <c r="E39" s="856" t="str">
        <f t="shared" si="0"/>
        <v/>
      </c>
    </row>
    <row r="40" spans="1:5" s="1" customFormat="1" ht="11.25" customHeight="1">
      <c r="A40" s="458" t="s">
        <v>138</v>
      </c>
      <c r="B40" s="1114"/>
      <c r="C40" s="720"/>
      <c r="D40" s="566"/>
      <c r="E40" s="856" t="str">
        <f t="shared" si="0"/>
        <v/>
      </c>
    </row>
    <row r="41" spans="1:5" s="1" customFormat="1" ht="11.25" customHeight="1">
      <c r="A41" s="458" t="s">
        <v>612</v>
      </c>
      <c r="B41" s="1114" t="s">
        <v>1013</v>
      </c>
      <c r="C41" s="720">
        <v>1145</v>
      </c>
      <c r="D41" s="566">
        <v>3180</v>
      </c>
      <c r="E41" s="856">
        <f t="shared" si="0"/>
        <v>1145</v>
      </c>
    </row>
    <row r="42" spans="1:5" s="1" customFormat="1" ht="11.25" customHeight="1">
      <c r="A42" s="458" t="s">
        <v>779</v>
      </c>
      <c r="B42" s="1114"/>
      <c r="C42" s="720"/>
      <c r="D42" s="566"/>
      <c r="E42" s="856" t="str">
        <f t="shared" si="0"/>
        <v/>
      </c>
    </row>
    <row r="43" spans="1:5" s="1" customFormat="1" ht="11.25" customHeight="1">
      <c r="A43" s="458" t="s">
        <v>780</v>
      </c>
      <c r="B43" s="1114"/>
      <c r="C43" s="720"/>
      <c r="D43" s="566"/>
      <c r="E43" s="856" t="str">
        <f t="shared" si="0"/>
        <v/>
      </c>
    </row>
    <row r="44" spans="1:5" s="1" customFormat="1" ht="11.25" customHeight="1">
      <c r="A44" s="458" t="s">
        <v>139</v>
      </c>
      <c r="B44" s="1114"/>
      <c r="C44" s="720"/>
      <c r="D44" s="566"/>
      <c r="E44" s="856" t="str">
        <f t="shared" si="0"/>
        <v/>
      </c>
    </row>
    <row r="45" spans="1:5" s="1" customFormat="1" ht="11.25" customHeight="1">
      <c r="A45" s="458" t="s">
        <v>140</v>
      </c>
      <c r="B45" s="1114" t="s">
        <v>1012</v>
      </c>
      <c r="C45" s="720">
        <v>80</v>
      </c>
      <c r="D45" s="566">
        <v>113</v>
      </c>
      <c r="E45" s="856">
        <f t="shared" si="0"/>
        <v>80</v>
      </c>
    </row>
    <row r="46" spans="1:5" s="1" customFormat="1" ht="11.25" customHeight="1">
      <c r="A46" s="458" t="s">
        <v>141</v>
      </c>
      <c r="B46" s="1114" t="s">
        <v>1014</v>
      </c>
      <c r="C46" s="720">
        <v>252</v>
      </c>
      <c r="D46" s="566">
        <v>450</v>
      </c>
      <c r="E46" s="856">
        <f t="shared" si="0"/>
        <v>252</v>
      </c>
    </row>
    <row r="47" spans="1:5" s="1" customFormat="1" ht="11.25" customHeight="1">
      <c r="A47" s="458" t="s">
        <v>142</v>
      </c>
      <c r="B47" s="1114"/>
      <c r="C47" s="720"/>
      <c r="D47" s="566"/>
      <c r="E47" s="856" t="str">
        <f t="shared" si="0"/>
        <v/>
      </c>
    </row>
    <row r="48" spans="1:5" s="1" customFormat="1" ht="11.25" customHeight="1">
      <c r="A48" s="462" t="s">
        <v>96</v>
      </c>
      <c r="B48" s="1115"/>
      <c r="C48" s="1116"/>
      <c r="D48" s="1117"/>
      <c r="E48" s="856" t="str">
        <f t="shared" si="0"/>
        <v/>
      </c>
    </row>
    <row r="49" spans="1:5" s="1" customFormat="1" ht="11.25" customHeight="1">
      <c r="A49" s="458" t="s">
        <v>97</v>
      </c>
      <c r="B49" s="1114"/>
      <c r="C49" s="720"/>
      <c r="D49" s="566"/>
      <c r="E49" s="856" t="str">
        <f t="shared" si="0"/>
        <v/>
      </c>
    </row>
    <row r="50" spans="1:5" s="1" customFormat="1" ht="11.25" customHeight="1">
      <c r="A50" s="458" t="s">
        <v>143</v>
      </c>
      <c r="B50" s="1114"/>
      <c r="C50" s="720"/>
      <c r="D50" s="566"/>
      <c r="E50" s="856" t="str">
        <f t="shared" si="0"/>
        <v/>
      </c>
    </row>
    <row r="51" spans="1:5" s="1" customFormat="1" ht="11.25" customHeight="1">
      <c r="A51" s="458" t="s">
        <v>381</v>
      </c>
      <c r="B51" s="1114"/>
      <c r="C51" s="720"/>
      <c r="D51" s="566"/>
      <c r="E51" s="856" t="str">
        <f t="shared" si="0"/>
        <v/>
      </c>
    </row>
    <row r="52" spans="1:5" s="1" customFormat="1" ht="11.25" customHeight="1">
      <c r="A52" s="458" t="s">
        <v>144</v>
      </c>
      <c r="B52" s="1114"/>
      <c r="C52" s="720"/>
      <c r="D52" s="566"/>
      <c r="E52" s="856" t="str">
        <f t="shared" si="0"/>
        <v/>
      </c>
    </row>
    <row r="53" spans="1:5" s="1" customFormat="1" ht="11.25" customHeight="1">
      <c r="A53" s="458" t="s">
        <v>487</v>
      </c>
      <c r="B53" s="1114"/>
      <c r="C53" s="720"/>
      <c r="D53" s="566"/>
      <c r="E53" s="856" t="str">
        <f t="shared" si="0"/>
        <v/>
      </c>
    </row>
    <row r="54" spans="1:5" s="1" customFormat="1" ht="11.25" customHeight="1">
      <c r="A54" s="458" t="s">
        <v>145</v>
      </c>
      <c r="B54" s="1114"/>
      <c r="C54" s="720"/>
      <c r="D54" s="566"/>
      <c r="E54" s="856" t="str">
        <f t="shared" si="0"/>
        <v/>
      </c>
    </row>
    <row r="55" spans="1:5" s="1" customFormat="1" ht="11.25" customHeight="1">
      <c r="A55" s="458" t="s">
        <v>225</v>
      </c>
      <c r="B55" s="1114"/>
      <c r="C55" s="720"/>
      <c r="D55" s="566"/>
      <c r="E55" s="856" t="str">
        <f t="shared" si="0"/>
        <v/>
      </c>
    </row>
    <row r="56" spans="1:5" s="1" customFormat="1" ht="11.25" customHeight="1">
      <c r="A56" s="458" t="s">
        <v>226</v>
      </c>
      <c r="B56" s="1114"/>
      <c r="C56" s="720"/>
      <c r="D56" s="566"/>
      <c r="E56" s="856" t="str">
        <f t="shared" si="0"/>
        <v/>
      </c>
    </row>
    <row r="57" spans="1:5" s="1" customFormat="1" ht="11.25" customHeight="1">
      <c r="A57" s="458" t="s">
        <v>227</v>
      </c>
      <c r="B57" s="1114"/>
      <c r="C57" s="720"/>
      <c r="D57" s="566"/>
      <c r="E57" s="856" t="str">
        <f t="shared" si="0"/>
        <v/>
      </c>
    </row>
    <row r="58" spans="1:5" s="1" customFormat="1" ht="11.25" customHeight="1">
      <c r="A58" s="458" t="s">
        <v>361</v>
      </c>
      <c r="B58" s="1114"/>
      <c r="C58" s="720"/>
      <c r="D58" s="566"/>
      <c r="E58" s="856" t="str">
        <f t="shared" si="0"/>
        <v/>
      </c>
    </row>
    <row r="59" spans="1:5" s="1" customFormat="1" ht="11.25" customHeight="1">
      <c r="A59" s="458" t="s">
        <v>362</v>
      </c>
      <c r="B59" s="1114"/>
      <c r="C59" s="720"/>
      <c r="D59" s="566"/>
      <c r="E59" s="856" t="str">
        <f t="shared" si="0"/>
        <v/>
      </c>
    </row>
    <row r="60" spans="1:5" s="1" customFormat="1" ht="11.25" customHeight="1">
      <c r="A60" s="458" t="s">
        <v>363</v>
      </c>
      <c r="B60" s="1114"/>
      <c r="C60" s="720"/>
      <c r="D60" s="566"/>
      <c r="E60" s="856" t="str">
        <f t="shared" si="0"/>
        <v/>
      </c>
    </row>
    <row r="61" spans="1:5" s="1" customFormat="1" ht="11.25" customHeight="1">
      <c r="A61" s="458" t="s">
        <v>234</v>
      </c>
      <c r="B61" s="1114"/>
      <c r="C61" s="720"/>
      <c r="D61" s="566"/>
      <c r="E61" s="856" t="str">
        <f t="shared" si="0"/>
        <v/>
      </c>
    </row>
    <row r="62" spans="1:5" s="1" customFormat="1" ht="11.25" customHeight="1">
      <c r="A62" s="458" t="s">
        <v>235</v>
      </c>
      <c r="B62" s="1114"/>
      <c r="C62" s="720"/>
      <c r="D62" s="566"/>
      <c r="E62" s="856" t="str">
        <f t="shared" si="0"/>
        <v/>
      </c>
    </row>
    <row r="63" spans="1:5" s="1" customFormat="1" ht="11.25" customHeight="1">
      <c r="A63" s="458" t="s">
        <v>294</v>
      </c>
      <c r="B63" s="1114"/>
      <c r="C63" s="720"/>
      <c r="D63" s="566"/>
      <c r="E63" s="856" t="str">
        <f t="shared" si="0"/>
        <v/>
      </c>
    </row>
    <row r="64" spans="1:5" s="1" customFormat="1" ht="11.25" customHeight="1">
      <c r="A64" s="458" t="s">
        <v>295</v>
      </c>
      <c r="B64" s="1114"/>
      <c r="C64" s="720"/>
      <c r="D64" s="566"/>
      <c r="E64" s="856" t="str">
        <f t="shared" si="0"/>
        <v/>
      </c>
    </row>
    <row r="65" spans="1:5" s="1" customFormat="1" ht="11.25" customHeight="1">
      <c r="A65" s="458" t="s">
        <v>228</v>
      </c>
      <c r="B65" s="1114"/>
      <c r="C65" s="720"/>
      <c r="D65" s="566"/>
      <c r="E65" s="856" t="str">
        <f t="shared" si="0"/>
        <v/>
      </c>
    </row>
    <row r="66" spans="1:5" s="1" customFormat="1" ht="11.25" customHeight="1">
      <c r="A66" s="458" t="s">
        <v>942</v>
      </c>
      <c r="B66" s="1114"/>
      <c r="C66" s="720"/>
      <c r="D66" s="566"/>
      <c r="E66" s="856" t="str">
        <f t="shared" si="0"/>
        <v/>
      </c>
    </row>
    <row r="67" spans="1:5" s="1" customFormat="1" ht="11.25" customHeight="1">
      <c r="A67" s="458" t="s">
        <v>98</v>
      </c>
      <c r="B67" s="1114"/>
      <c r="C67" s="720"/>
      <c r="D67" s="566"/>
      <c r="E67" s="856" t="str">
        <f t="shared" si="0"/>
        <v/>
      </c>
    </row>
    <row r="68" spans="1:5" s="1" customFormat="1" ht="11.25" customHeight="1">
      <c r="A68" s="458" t="s">
        <v>943</v>
      </c>
      <c r="B68" s="1114"/>
      <c r="C68" s="720"/>
      <c r="D68" s="566"/>
      <c r="E68" s="856" t="str">
        <f t="shared" si="0"/>
        <v/>
      </c>
    </row>
    <row r="69" spans="1:5" s="1" customFormat="1" ht="11.25" customHeight="1">
      <c r="A69" s="458" t="s">
        <v>296</v>
      </c>
      <c r="B69" s="1114"/>
      <c r="C69" s="720"/>
      <c r="D69" s="566"/>
      <c r="E69" s="856" t="str">
        <f t="shared" si="0"/>
        <v/>
      </c>
    </row>
    <row r="70" spans="1:5" s="1" customFormat="1" ht="11.25" customHeight="1">
      <c r="A70" s="458" t="s">
        <v>944</v>
      </c>
      <c r="B70" s="1114"/>
      <c r="C70" s="720"/>
      <c r="D70" s="566"/>
      <c r="E70" s="856" t="str">
        <f t="shared" ref="E70:E133" si="1">IF(C70=0,"",C70)</f>
        <v/>
      </c>
    </row>
    <row r="71" spans="1:5" s="1" customFormat="1" ht="11.25" customHeight="1">
      <c r="A71" s="458" t="s">
        <v>945</v>
      </c>
      <c r="B71" s="1114"/>
      <c r="C71" s="720"/>
      <c r="D71" s="566"/>
      <c r="E71" s="856" t="str">
        <f t="shared" si="1"/>
        <v/>
      </c>
    </row>
    <row r="72" spans="1:5" s="1" customFormat="1" ht="11.25" customHeight="1">
      <c r="A72" s="458" t="s">
        <v>947</v>
      </c>
      <c r="B72" s="1114"/>
      <c r="C72" s="720"/>
      <c r="D72" s="566"/>
      <c r="E72" s="856" t="str">
        <f t="shared" si="1"/>
        <v/>
      </c>
    </row>
    <row r="73" spans="1:5" s="1" customFormat="1" ht="11.25" customHeight="1">
      <c r="A73" s="458" t="s">
        <v>946</v>
      </c>
      <c r="B73" s="1114"/>
      <c r="C73" s="720"/>
      <c r="D73" s="566"/>
      <c r="E73" s="856" t="str">
        <f t="shared" si="1"/>
        <v/>
      </c>
    </row>
    <row r="74" spans="1:5" s="1" customFormat="1" ht="11.25" customHeight="1">
      <c r="A74" s="462" t="s">
        <v>99</v>
      </c>
      <c r="B74" s="1115"/>
      <c r="C74" s="1116"/>
      <c r="D74" s="1117"/>
      <c r="E74" s="856" t="str">
        <f t="shared" si="1"/>
        <v/>
      </c>
    </row>
    <row r="75" spans="1:5" s="1" customFormat="1" ht="11.25" customHeight="1">
      <c r="A75" s="458" t="s">
        <v>297</v>
      </c>
      <c r="B75" s="1114"/>
      <c r="C75" s="720"/>
      <c r="D75" s="566"/>
      <c r="E75" s="856" t="str">
        <f t="shared" si="1"/>
        <v/>
      </c>
    </row>
    <row r="76" spans="1:5" s="1" customFormat="1" ht="11.25" customHeight="1">
      <c r="A76" s="462" t="s">
        <v>100</v>
      </c>
      <c r="B76" s="1115"/>
      <c r="C76" s="1116"/>
      <c r="D76" s="1117"/>
      <c r="E76" s="856" t="str">
        <f t="shared" si="1"/>
        <v/>
      </c>
    </row>
    <row r="77" spans="1:5" s="1" customFormat="1" ht="11.25" customHeight="1">
      <c r="A77" s="462" t="s">
        <v>101</v>
      </c>
      <c r="B77" s="1115"/>
      <c r="C77" s="1116"/>
      <c r="D77" s="1117"/>
      <c r="E77" s="856" t="str">
        <f t="shared" si="1"/>
        <v/>
      </c>
    </row>
    <row r="78" spans="1:5" s="1" customFormat="1" ht="11.25" customHeight="1">
      <c r="A78" s="458" t="s">
        <v>382</v>
      </c>
      <c r="B78" s="1114"/>
      <c r="C78" s="720"/>
      <c r="D78" s="566"/>
      <c r="E78" s="856" t="str">
        <f t="shared" si="1"/>
        <v/>
      </c>
    </row>
    <row r="79" spans="1:5" s="1" customFormat="1" ht="11.25" customHeight="1">
      <c r="A79" s="458" t="s">
        <v>594</v>
      </c>
      <c r="B79" s="1114"/>
      <c r="C79" s="720"/>
      <c r="D79" s="566"/>
      <c r="E79" s="856">
        <f>20/1000000</f>
        <v>2.0000000000000002E-5</v>
      </c>
    </row>
    <row r="80" spans="1:5" s="1" customFormat="1" ht="11.25" customHeight="1">
      <c r="A80" s="458" t="s">
        <v>102</v>
      </c>
      <c r="B80" s="1114"/>
      <c r="C80" s="720"/>
      <c r="D80" s="566"/>
      <c r="E80" s="856" t="str">
        <f t="shared" si="1"/>
        <v/>
      </c>
    </row>
    <row r="81" spans="1:5" s="1" customFormat="1" ht="11.25" customHeight="1">
      <c r="A81" s="458" t="s">
        <v>370</v>
      </c>
      <c r="B81" s="1114"/>
      <c r="C81" s="720"/>
      <c r="D81" s="566"/>
      <c r="E81" s="856" t="str">
        <f t="shared" si="1"/>
        <v/>
      </c>
    </row>
    <row r="82" spans="1:5" s="1" customFormat="1" ht="11.25" customHeight="1">
      <c r="A82" s="458" t="s">
        <v>337</v>
      </c>
      <c r="B82" s="1114"/>
      <c r="C82" s="720"/>
      <c r="D82" s="566"/>
      <c r="E82" s="856" t="str">
        <f t="shared" si="1"/>
        <v/>
      </c>
    </row>
    <row r="83" spans="1:5" s="1" customFormat="1" ht="11.25" customHeight="1">
      <c r="A83" s="458" t="s">
        <v>28</v>
      </c>
      <c r="B83" s="1114"/>
      <c r="C83" s="720"/>
      <c r="D83" s="566"/>
      <c r="E83" s="856" t="str">
        <f t="shared" si="1"/>
        <v/>
      </c>
    </row>
    <row r="84" spans="1:5" s="1" customFormat="1" ht="11.25" customHeight="1">
      <c r="A84" s="458" t="s">
        <v>338</v>
      </c>
      <c r="B84" s="1114"/>
      <c r="C84" s="720"/>
      <c r="D84" s="566"/>
      <c r="E84" s="856" t="str">
        <f t="shared" si="1"/>
        <v/>
      </c>
    </row>
    <row r="85" spans="1:5" s="1" customFormat="1" ht="11.25" customHeight="1">
      <c r="A85" s="458" t="s">
        <v>339</v>
      </c>
      <c r="B85" s="1114"/>
      <c r="C85" s="720"/>
      <c r="D85" s="566"/>
      <c r="E85" s="856" t="str">
        <f t="shared" si="1"/>
        <v/>
      </c>
    </row>
    <row r="86" spans="1:5" s="1" customFormat="1" ht="11.25" customHeight="1">
      <c r="A86" s="458" t="s">
        <v>340</v>
      </c>
      <c r="B86" s="1114"/>
      <c r="C86" s="720"/>
      <c r="D86" s="566"/>
      <c r="E86" s="856" t="str">
        <f t="shared" si="1"/>
        <v/>
      </c>
    </row>
    <row r="87" spans="1:5" s="1" customFormat="1" ht="11.25" customHeight="1">
      <c r="A87" s="458" t="s">
        <v>103</v>
      </c>
      <c r="B87" s="1114"/>
      <c r="C87" s="720"/>
      <c r="D87" s="566"/>
      <c r="E87" s="856" t="str">
        <f t="shared" si="1"/>
        <v/>
      </c>
    </row>
    <row r="88" spans="1:5" s="1" customFormat="1" ht="11.25" customHeight="1">
      <c r="A88" s="458" t="s">
        <v>341</v>
      </c>
      <c r="B88" s="1114"/>
      <c r="C88" s="720"/>
      <c r="D88" s="566"/>
      <c r="E88" s="856" t="str">
        <f t="shared" si="1"/>
        <v/>
      </c>
    </row>
    <row r="89" spans="1:5" s="1" customFormat="1" ht="11.25" customHeight="1">
      <c r="A89" s="458" t="s">
        <v>342</v>
      </c>
      <c r="B89" s="1114"/>
      <c r="C89" s="720"/>
      <c r="D89" s="566"/>
      <c r="E89" s="856" t="str">
        <f t="shared" si="1"/>
        <v/>
      </c>
    </row>
    <row r="90" spans="1:5" s="1" customFormat="1" ht="11.25" customHeight="1">
      <c r="A90" s="458" t="s">
        <v>371</v>
      </c>
      <c r="B90" s="1114"/>
      <c r="C90" s="720"/>
      <c r="D90" s="566"/>
      <c r="E90" s="856" t="str">
        <f t="shared" si="1"/>
        <v/>
      </c>
    </row>
    <row r="91" spans="1:5" s="1" customFormat="1" ht="11.25" customHeight="1">
      <c r="A91" s="458" t="s">
        <v>343</v>
      </c>
      <c r="B91" s="1114"/>
      <c r="C91" s="720"/>
      <c r="D91" s="566"/>
      <c r="E91" s="856" t="str">
        <f t="shared" si="1"/>
        <v/>
      </c>
    </row>
    <row r="92" spans="1:5" s="1" customFormat="1" ht="11.25" customHeight="1">
      <c r="A92" s="458" t="s">
        <v>364</v>
      </c>
      <c r="B92" s="1114"/>
      <c r="C92" s="720"/>
      <c r="D92" s="566"/>
      <c r="E92" s="856" t="str">
        <f t="shared" si="1"/>
        <v/>
      </c>
    </row>
    <row r="93" spans="1:5" s="1" customFormat="1" ht="11.25" customHeight="1">
      <c r="A93" s="458" t="s">
        <v>344</v>
      </c>
      <c r="B93" s="1114"/>
      <c r="C93" s="720"/>
      <c r="D93" s="566"/>
      <c r="E93" s="856" t="str">
        <f t="shared" si="1"/>
        <v/>
      </c>
    </row>
    <row r="94" spans="1:5" s="1" customFormat="1" ht="11.25" customHeight="1">
      <c r="A94" s="458" t="s">
        <v>104</v>
      </c>
      <c r="B94" s="1114"/>
      <c r="C94" s="720"/>
      <c r="D94" s="566"/>
      <c r="E94" s="856" t="str">
        <f t="shared" si="1"/>
        <v/>
      </c>
    </row>
    <row r="95" spans="1:5" s="1" customFormat="1" ht="11.25" customHeight="1">
      <c r="A95" s="458" t="s">
        <v>345</v>
      </c>
      <c r="B95" s="1114"/>
      <c r="C95" s="720"/>
      <c r="D95" s="566"/>
      <c r="E95" s="856" t="str">
        <f t="shared" si="1"/>
        <v/>
      </c>
    </row>
    <row r="96" spans="1:5" s="1" customFormat="1" ht="11.25" customHeight="1">
      <c r="A96" s="458" t="s">
        <v>105</v>
      </c>
      <c r="B96" s="1114"/>
      <c r="C96" s="720"/>
      <c r="D96" s="566"/>
      <c r="E96" s="856" t="str">
        <f t="shared" si="1"/>
        <v/>
      </c>
    </row>
    <row r="97" spans="1:5" s="1" customFormat="1" ht="11.25" customHeight="1">
      <c r="A97" s="458" t="s">
        <v>346</v>
      </c>
      <c r="B97" s="1114" t="s">
        <v>1015</v>
      </c>
      <c r="C97" s="720">
        <v>73</v>
      </c>
      <c r="D97" s="566">
        <v>73</v>
      </c>
      <c r="E97" s="856">
        <f t="shared" si="1"/>
        <v>73</v>
      </c>
    </row>
    <row r="98" spans="1:5" s="1" customFormat="1" ht="11.25" customHeight="1">
      <c r="A98" s="458" t="s">
        <v>347</v>
      </c>
      <c r="B98" s="1114" t="s">
        <v>1021</v>
      </c>
      <c r="C98" s="720">
        <v>0.72</v>
      </c>
      <c r="D98" s="566">
        <v>1.4</v>
      </c>
      <c r="E98" s="856">
        <f t="shared" si="1"/>
        <v>0.72</v>
      </c>
    </row>
    <row r="99" spans="1:5" s="1" customFormat="1" ht="11.25" customHeight="1">
      <c r="A99" s="458" t="s">
        <v>348</v>
      </c>
      <c r="B99" s="1114"/>
      <c r="C99" s="720"/>
      <c r="D99" s="566"/>
      <c r="E99" s="856" t="str">
        <f t="shared" si="1"/>
        <v/>
      </c>
    </row>
    <row r="100" spans="1:5" s="1" customFormat="1" ht="11.25" customHeight="1">
      <c r="A100" s="458" t="s">
        <v>350</v>
      </c>
      <c r="B100" s="1114"/>
      <c r="C100" s="720"/>
      <c r="D100" s="566"/>
      <c r="E100" s="856" t="str">
        <f t="shared" si="1"/>
        <v/>
      </c>
    </row>
    <row r="101" spans="1:5" s="1" customFormat="1" ht="11.25" customHeight="1">
      <c r="A101" s="458" t="s">
        <v>351</v>
      </c>
      <c r="B101" s="1114"/>
      <c r="C101" s="720"/>
      <c r="D101" s="566"/>
      <c r="E101" s="856" t="str">
        <f t="shared" si="1"/>
        <v/>
      </c>
    </row>
    <row r="102" spans="1:5" s="1" customFormat="1" ht="11.25" customHeight="1">
      <c r="A102" s="458" t="s">
        <v>352</v>
      </c>
      <c r="B102" s="1114"/>
      <c r="C102" s="720"/>
      <c r="D102" s="566"/>
      <c r="E102" s="856" t="str">
        <f t="shared" si="1"/>
        <v/>
      </c>
    </row>
    <row r="103" spans="1:5" s="1" customFormat="1" ht="11.25" customHeight="1">
      <c r="A103" s="458" t="s">
        <v>353</v>
      </c>
      <c r="B103" s="1114"/>
      <c r="C103" s="720"/>
      <c r="D103" s="566"/>
      <c r="E103" s="856" t="str">
        <f t="shared" si="1"/>
        <v/>
      </c>
    </row>
    <row r="104" spans="1:5" s="1" customFormat="1" ht="11.25" customHeight="1">
      <c r="A104" s="458" t="s">
        <v>349</v>
      </c>
      <c r="B104" s="1114"/>
      <c r="C104" s="720"/>
      <c r="D104" s="566"/>
      <c r="E104" s="856" t="str">
        <f t="shared" si="1"/>
        <v/>
      </c>
    </row>
    <row r="105" spans="1:5" s="1" customFormat="1" ht="11.25" customHeight="1">
      <c r="A105" s="458" t="s">
        <v>590</v>
      </c>
      <c r="B105" s="1114"/>
      <c r="C105" s="720"/>
      <c r="D105" s="566"/>
      <c r="E105" s="856" t="str">
        <f t="shared" si="1"/>
        <v/>
      </c>
    </row>
    <row r="106" spans="1:5" s="1" customFormat="1" ht="11.25" customHeight="1">
      <c r="A106" s="458" t="s">
        <v>591</v>
      </c>
      <c r="B106" s="1114"/>
      <c r="C106" s="720"/>
      <c r="D106" s="566"/>
      <c r="E106" s="856" t="str">
        <f t="shared" si="1"/>
        <v/>
      </c>
    </row>
    <row r="107" spans="1:5" s="1" customFormat="1" ht="11.25" customHeight="1">
      <c r="A107" s="458" t="s">
        <v>465</v>
      </c>
      <c r="B107" s="1114" t="s">
        <v>1016</v>
      </c>
      <c r="C107" s="720">
        <v>4</v>
      </c>
      <c r="D107" s="566">
        <v>4</v>
      </c>
      <c r="E107" s="856">
        <f t="shared" si="1"/>
        <v>4</v>
      </c>
    </row>
    <row r="108" spans="1:5" s="1" customFormat="1" ht="11.25" customHeight="1">
      <c r="A108" s="458" t="s">
        <v>466</v>
      </c>
      <c r="B108" s="1114"/>
      <c r="C108" s="720"/>
      <c r="D108" s="566"/>
      <c r="E108" s="856" t="str">
        <f t="shared" si="1"/>
        <v/>
      </c>
    </row>
    <row r="109" spans="1:5" s="1" customFormat="1" ht="11.25" customHeight="1">
      <c r="A109" s="458" t="s">
        <v>812</v>
      </c>
      <c r="B109" s="1114" t="s">
        <v>1017</v>
      </c>
      <c r="C109" s="720">
        <v>410</v>
      </c>
      <c r="D109" s="566">
        <v>767</v>
      </c>
      <c r="E109" s="856">
        <f t="shared" si="1"/>
        <v>410</v>
      </c>
    </row>
    <row r="110" spans="1:5" s="1" customFormat="1" ht="11.25" customHeight="1">
      <c r="A110" s="462" t="s">
        <v>106</v>
      </c>
      <c r="B110" s="1115"/>
      <c r="C110" s="1116"/>
      <c r="D110" s="1117"/>
      <c r="E110" s="856" t="str">
        <f t="shared" si="1"/>
        <v/>
      </c>
    </row>
    <row r="111" spans="1:5" s="1" customFormat="1" ht="11.25" customHeight="1">
      <c r="A111" s="462" t="s">
        <v>107</v>
      </c>
      <c r="B111" s="1115"/>
      <c r="C111" s="1116"/>
      <c r="D111" s="1117"/>
      <c r="E111" s="856" t="str">
        <f t="shared" si="1"/>
        <v/>
      </c>
    </row>
    <row r="112" spans="1:5" s="1" customFormat="1" ht="11.25" customHeight="1">
      <c r="A112" s="462" t="s">
        <v>108</v>
      </c>
      <c r="B112" s="1115"/>
      <c r="C112" s="1116"/>
      <c r="D112" s="1117"/>
      <c r="E112" s="856" t="str">
        <f t="shared" si="1"/>
        <v/>
      </c>
    </row>
    <row r="113" spans="1:5" s="1" customFormat="1" ht="11.25" customHeight="1">
      <c r="A113" s="462" t="s">
        <v>109</v>
      </c>
      <c r="B113" s="1115"/>
      <c r="C113" s="1116"/>
      <c r="D113" s="1117"/>
      <c r="E113" s="856" t="str">
        <f t="shared" si="1"/>
        <v/>
      </c>
    </row>
    <row r="114" spans="1:5" s="1" customFormat="1" ht="11.25" customHeight="1">
      <c r="A114" s="462" t="s">
        <v>110</v>
      </c>
      <c r="B114" s="1115"/>
      <c r="C114" s="1116"/>
      <c r="D114" s="1117"/>
      <c r="E114" s="856" t="str">
        <f t="shared" si="1"/>
        <v/>
      </c>
    </row>
    <row r="115" spans="1:5" s="1" customFormat="1" ht="11.25" customHeight="1">
      <c r="A115" s="458" t="s">
        <v>467</v>
      </c>
      <c r="B115" s="1114"/>
      <c r="C115" s="720"/>
      <c r="D115" s="566"/>
      <c r="E115" s="856" t="str">
        <f t="shared" si="1"/>
        <v/>
      </c>
    </row>
    <row r="116" spans="1:5" s="1" customFormat="1" ht="11.25" customHeight="1">
      <c r="A116" s="462" t="s">
        <v>111</v>
      </c>
      <c r="B116" s="1115"/>
      <c r="C116" s="1116"/>
      <c r="D116" s="1117"/>
      <c r="E116" s="856" t="str">
        <f t="shared" si="1"/>
        <v/>
      </c>
    </row>
    <row r="117" spans="1:5" s="1" customFormat="1" ht="11.25" customHeight="1">
      <c r="A117" s="458" t="s">
        <v>231</v>
      </c>
      <c r="B117" s="1114"/>
      <c r="C117" s="720"/>
      <c r="D117" s="566"/>
      <c r="E117" s="856" t="str">
        <f t="shared" si="1"/>
        <v/>
      </c>
    </row>
    <row r="118" spans="1:5" s="1" customFormat="1" ht="11.25" customHeight="1">
      <c r="A118" s="458" t="s">
        <v>468</v>
      </c>
      <c r="B118" s="1114"/>
      <c r="C118" s="720"/>
      <c r="D118" s="566"/>
      <c r="E118" s="856" t="str">
        <f t="shared" si="1"/>
        <v/>
      </c>
    </row>
    <row r="119" spans="1:5" s="1" customFormat="1" ht="11.25" customHeight="1">
      <c r="A119" s="458" t="s">
        <v>469</v>
      </c>
      <c r="B119" s="1114"/>
      <c r="C119" s="720"/>
      <c r="D119" s="566"/>
      <c r="E119" s="856" t="str">
        <f t="shared" si="1"/>
        <v/>
      </c>
    </row>
    <row r="120" spans="1:5" s="1" customFormat="1" ht="11.25" customHeight="1">
      <c r="A120" s="458" t="s">
        <v>365</v>
      </c>
      <c r="B120" s="1114"/>
      <c r="C120" s="720"/>
      <c r="D120" s="566"/>
      <c r="E120" s="856" t="str">
        <f t="shared" si="1"/>
        <v/>
      </c>
    </row>
    <row r="121" spans="1:5" s="1" customFormat="1" ht="11.25" customHeight="1">
      <c r="A121" s="458" t="s">
        <v>112</v>
      </c>
      <c r="B121" s="1114"/>
      <c r="C121" s="720"/>
      <c r="D121" s="566"/>
      <c r="E121" s="856" t="str">
        <f t="shared" si="1"/>
        <v/>
      </c>
    </row>
    <row r="122" spans="1:5" s="1" customFormat="1" ht="11.25" customHeight="1">
      <c r="A122" s="458" t="s">
        <v>470</v>
      </c>
      <c r="B122" s="1114"/>
      <c r="C122" s="720"/>
      <c r="D122" s="566"/>
      <c r="E122" s="856" t="str">
        <f t="shared" si="1"/>
        <v/>
      </c>
    </row>
    <row r="123" spans="1:5" s="1" customFormat="1" ht="11.25" customHeight="1">
      <c r="A123" s="458" t="s">
        <v>471</v>
      </c>
      <c r="B123" s="1114" t="s">
        <v>1019</v>
      </c>
      <c r="C123" s="720">
        <v>7.1</v>
      </c>
      <c r="D123" s="566">
        <v>12</v>
      </c>
      <c r="E123" s="856">
        <f t="shared" si="1"/>
        <v>7.1</v>
      </c>
    </row>
    <row r="124" spans="1:5" s="1" customFormat="1" ht="11.25" customHeight="1">
      <c r="A124" s="458" t="s">
        <v>813</v>
      </c>
      <c r="B124" s="1114" t="s">
        <v>1018</v>
      </c>
      <c r="C124" s="720">
        <v>1.5</v>
      </c>
      <c r="D124" s="566">
        <v>1.5</v>
      </c>
      <c r="E124" s="856">
        <f t="shared" si="1"/>
        <v>1.5</v>
      </c>
    </row>
    <row r="125" spans="1:5" s="1" customFormat="1" ht="11.25" customHeight="1">
      <c r="A125" s="458" t="s">
        <v>113</v>
      </c>
      <c r="B125" s="1114"/>
      <c r="C125" s="720"/>
      <c r="D125" s="566"/>
      <c r="E125" s="856" t="str">
        <f t="shared" si="1"/>
        <v/>
      </c>
    </row>
    <row r="126" spans="1:5" s="1" customFormat="1" ht="11.25" customHeight="1">
      <c r="A126" s="458" t="s">
        <v>472</v>
      </c>
      <c r="B126" s="1114"/>
      <c r="C126" s="720"/>
      <c r="D126" s="566"/>
      <c r="E126" s="856" t="str">
        <f t="shared" si="1"/>
        <v/>
      </c>
    </row>
    <row r="127" spans="1:5" s="1" customFormat="1" ht="11.25" customHeight="1">
      <c r="A127" s="458" t="s">
        <v>114</v>
      </c>
      <c r="B127" s="1114"/>
      <c r="C127" s="720"/>
      <c r="D127" s="566"/>
      <c r="E127" s="856" t="str">
        <f t="shared" si="1"/>
        <v/>
      </c>
    </row>
    <row r="128" spans="1:5" s="1" customFormat="1" ht="11.25" customHeight="1">
      <c r="A128" s="458" t="s">
        <v>19</v>
      </c>
      <c r="B128" s="1114"/>
      <c r="C128" s="720"/>
      <c r="D128" s="566"/>
      <c r="E128" s="856" t="str">
        <f t="shared" si="1"/>
        <v/>
      </c>
    </row>
    <row r="129" spans="1:5" s="1" customFormat="1" ht="11.25" customHeight="1">
      <c r="A129" s="458" t="s">
        <v>473</v>
      </c>
      <c r="B129" s="1114"/>
      <c r="C129" s="720"/>
      <c r="D129" s="566"/>
      <c r="E129" s="856" t="str">
        <f t="shared" si="1"/>
        <v/>
      </c>
    </row>
    <row r="130" spans="1:5" s="1" customFormat="1" ht="11.25" customHeight="1">
      <c r="A130" s="458" t="s">
        <v>474</v>
      </c>
      <c r="B130" s="1114"/>
      <c r="C130" s="720"/>
      <c r="D130" s="566"/>
      <c r="E130" s="856" t="str">
        <f t="shared" si="1"/>
        <v/>
      </c>
    </row>
    <row r="131" spans="1:5" s="1" customFormat="1" ht="11.25" customHeight="1">
      <c r="A131" s="458" t="s">
        <v>475</v>
      </c>
      <c r="B131" s="1114"/>
      <c r="C131" s="720"/>
      <c r="D131" s="566"/>
      <c r="E131" s="856" t="str">
        <f t="shared" si="1"/>
        <v/>
      </c>
    </row>
    <row r="132" spans="1:5" s="1" customFormat="1" ht="11.25" customHeight="1">
      <c r="A132" s="458" t="s">
        <v>115</v>
      </c>
      <c r="B132" s="1114"/>
      <c r="C132" s="720"/>
      <c r="D132" s="566"/>
      <c r="E132" s="856" t="str">
        <f t="shared" si="1"/>
        <v/>
      </c>
    </row>
    <row r="133" spans="1:5" s="1" customFormat="1" ht="11.25" customHeight="1">
      <c r="A133" s="462" t="s">
        <v>116</v>
      </c>
      <c r="B133" s="1115"/>
      <c r="C133" s="1116"/>
      <c r="D133" s="1117"/>
      <c r="E133" s="856" t="str">
        <f t="shared" si="1"/>
        <v/>
      </c>
    </row>
    <row r="134" spans="1:5" s="1" customFormat="1" ht="11.25" customHeight="1">
      <c r="A134" s="458" t="s">
        <v>476</v>
      </c>
      <c r="B134" s="1114" t="s">
        <v>1020</v>
      </c>
      <c r="C134" s="720">
        <v>0.25</v>
      </c>
      <c r="D134" s="566">
        <v>15</v>
      </c>
      <c r="E134" s="856">
        <f t="shared" ref="E134:E159" si="2">IF(C134=0,"",C134)</f>
        <v>0.25</v>
      </c>
    </row>
    <row r="135" spans="1:5" s="1" customFormat="1" ht="11.25" customHeight="1">
      <c r="A135" s="458" t="s">
        <v>366</v>
      </c>
      <c r="B135" s="1114"/>
      <c r="C135" s="720"/>
      <c r="D135" s="566"/>
      <c r="E135" s="856" t="str">
        <f t="shared" si="2"/>
        <v/>
      </c>
    </row>
    <row r="136" spans="1:5" s="1" customFormat="1" ht="11.25" customHeight="1">
      <c r="A136" s="458" t="s">
        <v>20</v>
      </c>
      <c r="B136" s="1114"/>
      <c r="C136" s="720"/>
      <c r="D136" s="566"/>
      <c r="E136" s="856" t="str">
        <f t="shared" si="2"/>
        <v/>
      </c>
    </row>
    <row r="137" spans="1:5" s="1" customFormat="1" ht="11.25" customHeight="1">
      <c r="A137" s="458" t="s">
        <v>57</v>
      </c>
      <c r="B137" s="1114"/>
      <c r="C137" s="720"/>
      <c r="D137" s="566"/>
      <c r="E137" s="856" t="str">
        <f t="shared" si="2"/>
        <v/>
      </c>
    </row>
    <row r="138" spans="1:5" s="1" customFormat="1" ht="11.25" customHeight="1">
      <c r="A138" s="458" t="s">
        <v>56</v>
      </c>
      <c r="B138" s="1114"/>
      <c r="C138" s="720"/>
      <c r="D138" s="566"/>
      <c r="E138" s="856" t="str">
        <f t="shared" si="2"/>
        <v/>
      </c>
    </row>
    <row r="139" spans="1:5" s="1" customFormat="1" ht="11.25" customHeight="1">
      <c r="A139" s="458" t="s">
        <v>777</v>
      </c>
      <c r="B139" s="1114"/>
      <c r="C139" s="720"/>
      <c r="D139" s="566"/>
      <c r="E139" s="856" t="str">
        <f t="shared" si="2"/>
        <v/>
      </c>
    </row>
    <row r="140" spans="1:5" s="1" customFormat="1" ht="11.25" customHeight="1">
      <c r="A140" s="458" t="s">
        <v>814</v>
      </c>
      <c r="B140" s="1114"/>
      <c r="C140" s="720"/>
      <c r="D140" s="566"/>
      <c r="E140" s="856" t="str">
        <f t="shared" si="2"/>
        <v/>
      </c>
    </row>
    <row r="141" spans="1:5" s="1" customFormat="1" ht="11.25" customHeight="1">
      <c r="A141" s="458" t="s">
        <v>815</v>
      </c>
      <c r="B141" s="1114"/>
      <c r="C141" s="720"/>
      <c r="D141" s="566"/>
      <c r="E141" s="856" t="str">
        <f t="shared" si="2"/>
        <v/>
      </c>
    </row>
    <row r="142" spans="1:5" s="1" customFormat="1" ht="11.25" customHeight="1">
      <c r="A142" s="458" t="s">
        <v>477</v>
      </c>
      <c r="B142" s="1114"/>
      <c r="C142" s="720"/>
      <c r="D142" s="566"/>
      <c r="E142" s="856" t="str">
        <f t="shared" si="2"/>
        <v/>
      </c>
    </row>
    <row r="143" spans="1:5" s="1" customFormat="1" ht="11.25" customHeight="1">
      <c r="A143" s="458" t="s">
        <v>478</v>
      </c>
      <c r="B143" s="1114"/>
      <c r="C143" s="720"/>
      <c r="D143" s="566"/>
      <c r="E143" s="856" t="str">
        <f t="shared" si="2"/>
        <v/>
      </c>
    </row>
    <row r="144" spans="1:5" s="1" customFormat="1" ht="11.25" customHeight="1">
      <c r="A144" s="458" t="s">
        <v>479</v>
      </c>
      <c r="B144" s="1114"/>
      <c r="C144" s="720"/>
      <c r="D144" s="566"/>
      <c r="E144" s="856" t="str">
        <f t="shared" si="2"/>
        <v/>
      </c>
    </row>
    <row r="145" spans="1:5" s="1" customFormat="1" ht="11.25" customHeight="1">
      <c r="A145" s="458" t="s">
        <v>480</v>
      </c>
      <c r="B145" s="1114"/>
      <c r="C145" s="720"/>
      <c r="D145" s="566"/>
      <c r="E145" s="856" t="str">
        <f t="shared" si="2"/>
        <v/>
      </c>
    </row>
    <row r="146" spans="1:5" s="1" customFormat="1" ht="11.25" customHeight="1">
      <c r="A146" s="462" t="s">
        <v>117</v>
      </c>
      <c r="B146" s="1115"/>
      <c r="C146" s="1116"/>
      <c r="D146" s="1117"/>
      <c r="E146" s="856" t="str">
        <f t="shared" si="2"/>
        <v/>
      </c>
    </row>
    <row r="147" spans="1:5" s="1" customFormat="1" ht="11.25" customHeight="1">
      <c r="A147" s="458" t="s">
        <v>118</v>
      </c>
      <c r="B147" s="1114"/>
      <c r="C147" s="720"/>
      <c r="D147" s="566"/>
      <c r="E147" s="856" t="str">
        <f t="shared" si="2"/>
        <v/>
      </c>
    </row>
    <row r="148" spans="1:5" s="1" customFormat="1" ht="11.25" customHeight="1">
      <c r="A148" s="458" t="s">
        <v>119</v>
      </c>
      <c r="B148" s="1114"/>
      <c r="C148" s="720"/>
      <c r="D148" s="566"/>
      <c r="E148" s="856" t="str">
        <f t="shared" si="2"/>
        <v/>
      </c>
    </row>
    <row r="149" spans="1:5" s="1" customFormat="1" ht="11.25" customHeight="1">
      <c r="A149" s="458" t="s">
        <v>120</v>
      </c>
      <c r="B149" s="1114"/>
      <c r="C149" s="720"/>
      <c r="D149" s="566"/>
      <c r="E149" s="856" t="str">
        <f t="shared" si="2"/>
        <v/>
      </c>
    </row>
    <row r="150" spans="1:5" s="1" customFormat="1" ht="11.25" customHeight="1">
      <c r="A150" s="458" t="s">
        <v>602</v>
      </c>
      <c r="B150" s="1114"/>
      <c r="C150" s="720"/>
      <c r="D150" s="566"/>
      <c r="E150" s="856" t="str">
        <f t="shared" si="2"/>
        <v/>
      </c>
    </row>
    <row r="151" spans="1:5" s="1" customFormat="1" ht="11.25" customHeight="1">
      <c r="A151" s="462" t="s">
        <v>939</v>
      </c>
      <c r="B151" s="1115"/>
      <c r="C151" s="1116"/>
      <c r="D151" s="1117"/>
      <c r="E151" s="856" t="str">
        <f t="shared" si="2"/>
        <v/>
      </c>
    </row>
    <row r="152" spans="1:5" s="1" customFormat="1" ht="11.25" customHeight="1">
      <c r="A152" s="462" t="s">
        <v>603</v>
      </c>
      <c r="B152" s="1115"/>
      <c r="C152" s="1116"/>
      <c r="D152" s="1117"/>
      <c r="E152" s="856" t="str">
        <f t="shared" si="2"/>
        <v/>
      </c>
    </row>
    <row r="153" spans="1:5" s="1" customFormat="1" ht="11.25" customHeight="1">
      <c r="A153" s="462" t="s">
        <v>605</v>
      </c>
      <c r="B153" s="1115"/>
      <c r="C153" s="1116"/>
      <c r="D153" s="1117"/>
      <c r="E153" s="856" t="str">
        <f t="shared" si="2"/>
        <v/>
      </c>
    </row>
    <row r="154" spans="1:5" s="1" customFormat="1" ht="11.25" customHeight="1">
      <c r="A154" s="458" t="s">
        <v>481</v>
      </c>
      <c r="B154" s="1114" t="s">
        <v>1022</v>
      </c>
      <c r="C154" s="720">
        <v>770</v>
      </c>
      <c r="D154" s="566">
        <v>1090</v>
      </c>
      <c r="E154" s="856">
        <f t="shared" si="2"/>
        <v>770</v>
      </c>
    </row>
    <row r="155" spans="1:5" s="1" customFormat="1" ht="11.25" customHeight="1">
      <c r="A155" s="458" t="s">
        <v>482</v>
      </c>
      <c r="B155" s="1114"/>
      <c r="C155" s="720"/>
      <c r="D155" s="566"/>
      <c r="E155" s="856" t="str">
        <f t="shared" si="2"/>
        <v/>
      </c>
    </row>
    <row r="156" spans="1:5" s="1" customFormat="1" ht="11.25" customHeight="1">
      <c r="A156" s="458" t="s">
        <v>483</v>
      </c>
      <c r="B156" s="1114"/>
      <c r="C156" s="720"/>
      <c r="D156" s="566"/>
      <c r="E156" s="856" t="str">
        <f t="shared" si="2"/>
        <v/>
      </c>
    </row>
    <row r="157" spans="1:5" s="1" customFormat="1" ht="11.25" customHeight="1">
      <c r="A157" s="458" t="s">
        <v>484</v>
      </c>
      <c r="B157" s="1114" t="s">
        <v>1023</v>
      </c>
      <c r="C157" s="720">
        <v>349</v>
      </c>
      <c r="D157" s="566">
        <v>1200</v>
      </c>
      <c r="E157" s="856">
        <f t="shared" si="2"/>
        <v>349</v>
      </c>
    </row>
    <row r="158" spans="1:5" s="1" customFormat="1" ht="22.5" customHeight="1">
      <c r="A158" s="465" t="s">
        <v>615</v>
      </c>
      <c r="B158" s="1118"/>
      <c r="C158" s="804"/>
      <c r="D158" s="886"/>
      <c r="E158" s="856" t="str">
        <f t="shared" si="2"/>
        <v/>
      </c>
    </row>
    <row r="159" spans="1:5" s="1" customFormat="1" ht="11.25" customHeight="1" thickBot="1">
      <c r="A159" s="466" t="s">
        <v>616</v>
      </c>
      <c r="B159" s="1119"/>
      <c r="C159" s="722"/>
      <c r="D159" s="576"/>
      <c r="E159" s="594" t="str">
        <f t="shared" si="2"/>
        <v/>
      </c>
    </row>
    <row r="160" spans="1:5" s="1" customFormat="1" ht="11.25" customHeight="1" thickTop="1">
      <c r="A160" s="479" t="s">
        <v>1085</v>
      </c>
      <c r="B160" s="510"/>
      <c r="C160" s="510"/>
      <c r="D160" s="510"/>
      <c r="E160" s="476"/>
    </row>
    <row r="161" spans="1:6" s="1" customFormat="1" ht="11.25" customHeight="1">
      <c r="A161" s="474" t="s">
        <v>488</v>
      </c>
      <c r="E161" s="476"/>
    </row>
    <row r="162" spans="1:6" s="1" customFormat="1" ht="11.25" customHeight="1">
      <c r="A162" s="479" t="s">
        <v>1005</v>
      </c>
      <c r="E162" s="476"/>
    </row>
    <row r="163" spans="1:6" s="1" customFormat="1" ht="11.25" customHeight="1">
      <c r="A163" s="479" t="s">
        <v>1003</v>
      </c>
      <c r="E163" s="476"/>
    </row>
    <row r="164" spans="1:6" s="1" customFormat="1" ht="11.25" customHeight="1">
      <c r="A164" s="479" t="s">
        <v>1004</v>
      </c>
      <c r="E164" s="476"/>
    </row>
    <row r="165" spans="1:6" s="1" customFormat="1" ht="11.25" customHeight="1">
      <c r="A165" s="479" t="s">
        <v>1006</v>
      </c>
      <c r="E165" s="476"/>
    </row>
    <row r="166" spans="1:6" s="1" customFormat="1" ht="24" customHeight="1">
      <c r="A166" s="1389" t="s">
        <v>1007</v>
      </c>
      <c r="B166" s="1181"/>
      <c r="C166" s="1181"/>
      <c r="D166" s="1181"/>
      <c r="E166" s="1387"/>
    </row>
    <row r="167" spans="1:6" s="1" customFormat="1" ht="24" customHeight="1">
      <c r="A167" s="1389" t="s">
        <v>1401</v>
      </c>
      <c r="B167" s="1181"/>
      <c r="C167" s="1181"/>
      <c r="D167" s="1181"/>
      <c r="E167" s="1387"/>
    </row>
    <row r="168" spans="1:6" ht="24.75" customHeight="1">
      <c r="A168" s="1386" t="s">
        <v>1008</v>
      </c>
      <c r="B168" s="1181"/>
      <c r="C168" s="1181"/>
      <c r="D168" s="1181"/>
      <c r="E168" s="1387"/>
      <c r="F168" s="3"/>
    </row>
    <row r="169" spans="1:6" ht="13.15" thickBot="1">
      <c r="A169" s="5" t="s">
        <v>1066</v>
      </c>
      <c r="B169" s="487"/>
      <c r="C169" s="487"/>
      <c r="D169" s="487"/>
      <c r="E169" s="723"/>
    </row>
    <row r="170" spans="1:6" ht="13.15" thickTop="1"/>
  </sheetData>
  <sheetProtection algorithmName="SHA-512" hashValue="oCLCctFPD7c7ByXp1f5NAOnX6caqxFL/LjR28NqhIhXawcQzGp9rOk4vHlwVAlzz6fnl6uq9SRIBO19zWzgcAw==" saltValue="NM7Srd1Gy4CmLBtufd5hhQ==" spinCount="100000" sheet="1" objects="1" scenarios="1"/>
  <mergeCells count="3">
    <mergeCell ref="A168:E168"/>
    <mergeCell ref="A166:E166"/>
    <mergeCell ref="A167:E167"/>
  </mergeCells>
  <phoneticPr fontId="18" type="noConversion"/>
  <printOptions horizontalCentered="1"/>
  <pageMargins left="0.75" right="0.75" top="0.52" bottom="1" header="0.5" footer="0.5"/>
  <pageSetup scale="89" fitToHeight="4" orientation="landscape" horizontalDpi="4294967293" r:id="rId1"/>
  <headerFooter alignWithMargins="0">
    <oddFooter>&amp;LHawai'i DOH
Spring 2024&amp;CPage &amp;P of &amp;N&amp;R&amp;A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29"/>
  </sheetPr>
  <dimension ref="A1:F163"/>
  <sheetViews>
    <sheetView zoomScaleNormal="100" workbookViewId="0">
      <pane ySplit="2385" topLeftCell="A5" activePane="bottomLeft"/>
      <selection activeCell="B7" sqref="B7"/>
      <selection pane="bottomLeft" activeCell="B7" sqref="B7"/>
    </sheetView>
  </sheetViews>
  <sheetFormatPr defaultColWidth="9.1328125" defaultRowHeight="12.75"/>
  <cols>
    <col min="1" max="1" width="40.73046875" style="3" customWidth="1"/>
    <col min="2" max="3" width="15.73046875" style="481" customWidth="1"/>
    <col min="4" max="4" width="9.1328125" style="532"/>
    <col min="5" max="5" width="9.1328125" style="3"/>
    <col min="6" max="6" width="10.59765625" style="518" customWidth="1"/>
    <col min="7" max="16384" width="9.1328125" style="3"/>
  </cols>
  <sheetData>
    <row r="1" spans="1:6" ht="41.25">
      <c r="A1" s="6" t="s">
        <v>1059</v>
      </c>
      <c r="B1" s="530"/>
      <c r="C1" s="444"/>
    </row>
    <row r="2" spans="1:6" ht="15.4" thickBot="1">
      <c r="A2" s="6"/>
      <c r="B2" s="530"/>
      <c r="C2" s="444"/>
      <c r="F2" s="1153"/>
    </row>
    <row r="3" spans="1:6" ht="14.1" customHeight="1" thickTop="1" thickBot="1">
      <c r="A3" s="533"/>
      <c r="B3" s="869" t="s">
        <v>460</v>
      </c>
      <c r="C3" s="538"/>
      <c r="D3" s="518"/>
    </row>
    <row r="4" spans="1:6" ht="35.25" customHeight="1" thickTop="1" thickBot="1">
      <c r="A4" s="539" t="s">
        <v>232</v>
      </c>
      <c r="B4" s="1154" t="s">
        <v>461</v>
      </c>
      <c r="C4" s="1155" t="s">
        <v>462</v>
      </c>
      <c r="D4" s="518"/>
    </row>
    <row r="5" spans="1:6" ht="12" customHeight="1">
      <c r="A5" s="797" t="s">
        <v>548</v>
      </c>
      <c r="B5" s="589" t="s">
        <v>979</v>
      </c>
      <c r="C5" s="457" t="s">
        <v>979</v>
      </c>
      <c r="D5" s="518"/>
    </row>
    <row r="6" spans="1:6" ht="12" customHeight="1">
      <c r="A6" s="503" t="s">
        <v>549</v>
      </c>
      <c r="B6" s="591" t="s">
        <v>979</v>
      </c>
      <c r="C6" s="461" t="s">
        <v>979</v>
      </c>
      <c r="D6" s="518"/>
    </row>
    <row r="7" spans="1:6" ht="12" customHeight="1">
      <c r="A7" s="503" t="s">
        <v>550</v>
      </c>
      <c r="B7" s="591" t="s">
        <v>979</v>
      </c>
      <c r="C7" s="461" t="s">
        <v>979</v>
      </c>
      <c r="D7" s="518"/>
    </row>
    <row r="8" spans="1:6" ht="12" customHeight="1">
      <c r="A8" s="503" t="s">
        <v>551</v>
      </c>
      <c r="B8" s="591" t="s">
        <v>979</v>
      </c>
      <c r="C8" s="461" t="s">
        <v>979</v>
      </c>
      <c r="D8" s="518"/>
    </row>
    <row r="9" spans="1:6" ht="12" customHeight="1">
      <c r="A9" s="503" t="s">
        <v>161</v>
      </c>
      <c r="B9" s="591" t="s">
        <v>979</v>
      </c>
      <c r="C9" s="461" t="s">
        <v>979</v>
      </c>
      <c r="D9" s="518"/>
    </row>
    <row r="10" spans="1:6" ht="12" customHeight="1">
      <c r="A10" s="515" t="s">
        <v>162</v>
      </c>
      <c r="B10" s="591" t="s">
        <v>979</v>
      </c>
      <c r="C10" s="461" t="s">
        <v>979</v>
      </c>
      <c r="D10" s="518"/>
    </row>
    <row r="11" spans="1:6" ht="12" customHeight="1">
      <c r="A11" s="515" t="s">
        <v>94</v>
      </c>
      <c r="B11" s="591" t="s">
        <v>979</v>
      </c>
      <c r="C11" s="461" t="s">
        <v>979</v>
      </c>
      <c r="D11" s="518"/>
    </row>
    <row r="12" spans="1:6" ht="12" customHeight="1">
      <c r="A12" s="503" t="s">
        <v>552</v>
      </c>
      <c r="B12" s="591" t="s">
        <v>979</v>
      </c>
      <c r="C12" s="461" t="s">
        <v>979</v>
      </c>
      <c r="D12" s="518"/>
    </row>
    <row r="13" spans="1:6" ht="12" customHeight="1">
      <c r="A13" s="503" t="s">
        <v>553</v>
      </c>
      <c r="B13" s="591" t="s">
        <v>979</v>
      </c>
      <c r="C13" s="461" t="s">
        <v>979</v>
      </c>
      <c r="D13" s="518"/>
      <c r="E13" s="1"/>
    </row>
    <row r="14" spans="1:6" ht="12" customHeight="1">
      <c r="A14" s="503" t="s">
        <v>686</v>
      </c>
      <c r="B14" s="591" t="s">
        <v>979</v>
      </c>
      <c r="C14" s="461" t="s">
        <v>979</v>
      </c>
      <c r="D14" s="518"/>
    </row>
    <row r="15" spans="1:6" ht="12" customHeight="1">
      <c r="A15" s="503" t="s">
        <v>95</v>
      </c>
      <c r="B15" s="591" t="s">
        <v>979</v>
      </c>
      <c r="C15" s="461" t="s">
        <v>979</v>
      </c>
      <c r="D15" s="518"/>
    </row>
    <row r="16" spans="1:6" ht="12" customHeight="1">
      <c r="A16" s="503" t="s">
        <v>687</v>
      </c>
      <c r="B16" s="591" t="s">
        <v>979</v>
      </c>
      <c r="C16" s="461" t="s">
        <v>979</v>
      </c>
      <c r="D16" s="518"/>
    </row>
    <row r="17" spans="1:5" ht="12" customHeight="1">
      <c r="A17" s="458" t="s">
        <v>1156</v>
      </c>
      <c r="B17" s="501" t="s">
        <v>979</v>
      </c>
      <c r="C17" s="461" t="s">
        <v>979</v>
      </c>
      <c r="D17" s="518"/>
    </row>
    <row r="18" spans="1:5" ht="12" customHeight="1">
      <c r="A18" s="503" t="s">
        <v>688</v>
      </c>
      <c r="B18" s="591" t="s">
        <v>979</v>
      </c>
      <c r="C18" s="461" t="s">
        <v>979</v>
      </c>
      <c r="D18" s="518"/>
    </row>
    <row r="19" spans="1:5" ht="12" customHeight="1">
      <c r="A19" s="503" t="s">
        <v>689</v>
      </c>
      <c r="B19" s="591" t="s">
        <v>979</v>
      </c>
      <c r="C19" s="461" t="s">
        <v>979</v>
      </c>
      <c r="D19" s="518"/>
    </row>
    <row r="20" spans="1:5" ht="12" customHeight="1">
      <c r="A20" s="503" t="s">
        <v>690</v>
      </c>
      <c r="B20" s="591" t="s">
        <v>979</v>
      </c>
      <c r="C20" s="461" t="s">
        <v>979</v>
      </c>
      <c r="D20" s="518"/>
    </row>
    <row r="21" spans="1:5" ht="12" customHeight="1">
      <c r="A21" s="503" t="s">
        <v>691</v>
      </c>
      <c r="B21" s="591" t="s">
        <v>979</v>
      </c>
      <c r="C21" s="461" t="s">
        <v>979</v>
      </c>
      <c r="D21" s="518"/>
    </row>
    <row r="22" spans="1:5" ht="12" customHeight="1">
      <c r="A22" s="503" t="s">
        <v>692</v>
      </c>
      <c r="B22" s="591" t="s">
        <v>979</v>
      </c>
      <c r="C22" s="461" t="s">
        <v>979</v>
      </c>
      <c r="D22" s="518"/>
    </row>
    <row r="23" spans="1:5" ht="12" customHeight="1">
      <c r="A23" s="503" t="s">
        <v>693</v>
      </c>
      <c r="B23" s="591" t="s">
        <v>979</v>
      </c>
      <c r="C23" s="461" t="s">
        <v>979</v>
      </c>
      <c r="D23" s="518"/>
    </row>
    <row r="24" spans="1:5" ht="12" customHeight="1">
      <c r="A24" s="503" t="s">
        <v>126</v>
      </c>
      <c r="B24" s="591" t="s">
        <v>979</v>
      </c>
      <c r="C24" s="461" t="s">
        <v>979</v>
      </c>
      <c r="D24" s="518"/>
      <c r="E24" s="1"/>
    </row>
    <row r="25" spans="1:5" ht="12" customHeight="1">
      <c r="A25" s="503" t="s">
        <v>233</v>
      </c>
      <c r="B25" s="591" t="s">
        <v>979</v>
      </c>
      <c r="C25" s="461" t="s">
        <v>979</v>
      </c>
      <c r="D25" s="518"/>
    </row>
    <row r="26" spans="1:5" ht="12" customHeight="1">
      <c r="A26" s="503" t="s">
        <v>127</v>
      </c>
      <c r="B26" s="591" t="s">
        <v>979</v>
      </c>
      <c r="C26" s="461" t="s">
        <v>979</v>
      </c>
      <c r="D26" s="518"/>
    </row>
    <row r="27" spans="1:5" ht="12" customHeight="1">
      <c r="A27" s="503" t="s">
        <v>1103</v>
      </c>
      <c r="B27" s="591" t="s">
        <v>979</v>
      </c>
      <c r="C27" s="461" t="s">
        <v>979</v>
      </c>
      <c r="D27" s="518"/>
    </row>
    <row r="28" spans="1:5" ht="12" customHeight="1">
      <c r="A28" s="503" t="s">
        <v>128</v>
      </c>
      <c r="B28" s="591" t="s">
        <v>979</v>
      </c>
      <c r="C28" s="461" t="s">
        <v>979</v>
      </c>
      <c r="D28" s="518"/>
    </row>
    <row r="29" spans="1:5" ht="12" customHeight="1">
      <c r="A29" s="503" t="s">
        <v>129</v>
      </c>
      <c r="B29" s="591" t="s">
        <v>979</v>
      </c>
      <c r="C29" s="461" t="s">
        <v>979</v>
      </c>
      <c r="D29" s="518"/>
    </row>
    <row r="30" spans="1:5" ht="12" customHeight="1">
      <c r="A30" s="503" t="s">
        <v>130</v>
      </c>
      <c r="B30" s="591" t="s">
        <v>979</v>
      </c>
      <c r="C30" s="461" t="s">
        <v>979</v>
      </c>
      <c r="D30" s="518"/>
    </row>
    <row r="31" spans="1:5" ht="12" customHeight="1">
      <c r="A31" s="503" t="s">
        <v>131</v>
      </c>
      <c r="B31" s="591" t="s">
        <v>979</v>
      </c>
      <c r="C31" s="461" t="s">
        <v>979</v>
      </c>
      <c r="D31" s="518"/>
    </row>
    <row r="32" spans="1:5" ht="12" customHeight="1">
      <c r="A32" s="503" t="s">
        <v>132</v>
      </c>
      <c r="B32" s="591" t="s">
        <v>979</v>
      </c>
      <c r="C32" s="461" t="s">
        <v>979</v>
      </c>
      <c r="D32" s="518"/>
    </row>
    <row r="33" spans="1:6" ht="12" customHeight="1">
      <c r="A33" s="503" t="s">
        <v>133</v>
      </c>
      <c r="B33" s="591" t="s">
        <v>979</v>
      </c>
      <c r="C33" s="461" t="s">
        <v>979</v>
      </c>
      <c r="D33" s="518"/>
    </row>
    <row r="34" spans="1:6" ht="12" customHeight="1">
      <c r="A34" s="503" t="s">
        <v>134</v>
      </c>
      <c r="B34" s="591" t="s">
        <v>979</v>
      </c>
      <c r="C34" s="461" t="s">
        <v>979</v>
      </c>
      <c r="D34" s="518"/>
    </row>
    <row r="35" spans="1:6" ht="12" customHeight="1">
      <c r="A35" s="503" t="s">
        <v>614</v>
      </c>
      <c r="B35" s="591" t="s">
        <v>979</v>
      </c>
      <c r="C35" s="461" t="s">
        <v>979</v>
      </c>
      <c r="D35" s="518"/>
    </row>
    <row r="36" spans="1:6" ht="12" customHeight="1">
      <c r="A36" s="503" t="s">
        <v>135</v>
      </c>
      <c r="B36" s="591" t="s">
        <v>979</v>
      </c>
      <c r="C36" s="461" t="s">
        <v>979</v>
      </c>
      <c r="D36" s="518"/>
    </row>
    <row r="37" spans="1:6" ht="12" customHeight="1">
      <c r="A37" s="503" t="s">
        <v>136</v>
      </c>
      <c r="B37" s="591" t="s">
        <v>979</v>
      </c>
      <c r="C37" s="461" t="s">
        <v>979</v>
      </c>
      <c r="D37" s="518"/>
    </row>
    <row r="38" spans="1:6" ht="12" customHeight="1">
      <c r="A38" s="503" t="s">
        <v>781</v>
      </c>
      <c r="B38" s="591" t="s">
        <v>979</v>
      </c>
      <c r="C38" s="461" t="s">
        <v>979</v>
      </c>
      <c r="D38" s="518"/>
    </row>
    <row r="39" spans="1:6" s="1" customFormat="1" ht="11.25" customHeight="1">
      <c r="A39" s="514" t="s">
        <v>137</v>
      </c>
      <c r="B39" s="591" t="s">
        <v>979</v>
      </c>
      <c r="C39" s="461" t="s">
        <v>979</v>
      </c>
      <c r="D39" s="606"/>
      <c r="F39" s="606"/>
    </row>
    <row r="40" spans="1:6" s="1" customFormat="1" ht="11.25" customHeight="1">
      <c r="A40" s="503" t="s">
        <v>782</v>
      </c>
      <c r="B40" s="591" t="s">
        <v>979</v>
      </c>
      <c r="C40" s="461" t="s">
        <v>979</v>
      </c>
      <c r="D40" s="606"/>
      <c r="F40" s="606"/>
    </row>
    <row r="41" spans="1:6" s="1" customFormat="1" ht="11.25" customHeight="1">
      <c r="A41" s="503" t="s">
        <v>138</v>
      </c>
      <c r="B41" s="591" t="s">
        <v>979</v>
      </c>
      <c r="C41" s="461" t="s">
        <v>979</v>
      </c>
      <c r="D41" s="606"/>
      <c r="F41" s="606"/>
    </row>
    <row r="42" spans="1:6" s="1" customFormat="1" ht="11.25" customHeight="1">
      <c r="A42" s="503" t="s">
        <v>612</v>
      </c>
      <c r="B42" s="591" t="s">
        <v>979</v>
      </c>
      <c r="C42" s="461" t="s">
        <v>979</v>
      </c>
      <c r="D42" s="606"/>
      <c r="F42" s="606"/>
    </row>
    <row r="43" spans="1:6" s="1" customFormat="1" ht="11.25" customHeight="1">
      <c r="A43" s="503" t="s">
        <v>779</v>
      </c>
      <c r="B43" s="591" t="s">
        <v>979</v>
      </c>
      <c r="C43" s="461" t="s">
        <v>979</v>
      </c>
      <c r="D43" s="606"/>
      <c r="F43" s="606"/>
    </row>
    <row r="44" spans="1:6" s="1" customFormat="1" ht="11.25" customHeight="1">
      <c r="A44" s="503" t="s">
        <v>780</v>
      </c>
      <c r="B44" s="591" t="s">
        <v>979</v>
      </c>
      <c r="C44" s="461" t="s">
        <v>979</v>
      </c>
      <c r="D44" s="606"/>
      <c r="F44" s="606"/>
    </row>
    <row r="45" spans="1:6" s="1" customFormat="1" ht="11.25" customHeight="1">
      <c r="A45" s="503" t="s">
        <v>139</v>
      </c>
      <c r="B45" s="591" t="s">
        <v>979</v>
      </c>
      <c r="C45" s="461" t="s">
        <v>979</v>
      </c>
      <c r="D45" s="606"/>
      <c r="F45" s="606"/>
    </row>
    <row r="46" spans="1:6" s="1" customFormat="1" ht="11.25" customHeight="1">
      <c r="A46" s="503" t="s">
        <v>140</v>
      </c>
      <c r="B46" s="591" t="s">
        <v>979</v>
      </c>
      <c r="C46" s="461" t="s">
        <v>979</v>
      </c>
      <c r="D46" s="606"/>
      <c r="F46" s="606"/>
    </row>
    <row r="47" spans="1:6" s="1" customFormat="1" ht="11.25" customHeight="1">
      <c r="A47" s="503" t="s">
        <v>141</v>
      </c>
      <c r="B47" s="591" t="s">
        <v>979</v>
      </c>
      <c r="C47" s="461" t="s">
        <v>979</v>
      </c>
      <c r="D47" s="606"/>
      <c r="F47" s="606"/>
    </row>
    <row r="48" spans="1:6" s="1" customFormat="1" ht="11.25" customHeight="1">
      <c r="A48" s="503" t="s">
        <v>142</v>
      </c>
      <c r="B48" s="591" t="s">
        <v>979</v>
      </c>
      <c r="C48" s="461" t="s">
        <v>979</v>
      </c>
      <c r="D48" s="606"/>
      <c r="F48" s="606"/>
    </row>
    <row r="49" spans="1:6" s="1" customFormat="1" ht="11.25" customHeight="1">
      <c r="A49" s="515" t="s">
        <v>96</v>
      </c>
      <c r="B49" s="591" t="s">
        <v>979</v>
      </c>
      <c r="C49" s="461" t="s">
        <v>979</v>
      </c>
      <c r="D49" s="606"/>
      <c r="F49" s="606"/>
    </row>
    <row r="50" spans="1:6" s="1" customFormat="1" ht="11.25" customHeight="1">
      <c r="A50" s="503" t="s">
        <v>97</v>
      </c>
      <c r="B50" s="591" t="s">
        <v>979</v>
      </c>
      <c r="C50" s="461" t="s">
        <v>979</v>
      </c>
      <c r="D50" s="606"/>
      <c r="F50" s="606"/>
    </row>
    <row r="51" spans="1:6" s="1" customFormat="1" ht="11.25" customHeight="1">
      <c r="A51" s="503" t="s">
        <v>143</v>
      </c>
      <c r="B51" s="591" t="s">
        <v>979</v>
      </c>
      <c r="C51" s="461" t="s">
        <v>979</v>
      </c>
      <c r="D51" s="606"/>
      <c r="F51" s="606"/>
    </row>
    <row r="52" spans="1:6" s="1" customFormat="1" ht="11.25" customHeight="1">
      <c r="A52" s="503" t="s">
        <v>381</v>
      </c>
      <c r="B52" s="591" t="s">
        <v>979</v>
      </c>
      <c r="C52" s="461" t="s">
        <v>979</v>
      </c>
      <c r="D52" s="606"/>
      <c r="F52" s="606"/>
    </row>
    <row r="53" spans="1:6" s="1" customFormat="1" ht="11.25" customHeight="1">
      <c r="A53" s="503" t="s">
        <v>144</v>
      </c>
      <c r="B53" s="591" t="s">
        <v>979</v>
      </c>
      <c r="C53" s="461" t="s">
        <v>979</v>
      </c>
      <c r="D53" s="606"/>
      <c r="F53" s="606"/>
    </row>
    <row r="54" spans="1:6" s="1" customFormat="1" ht="11.25" customHeight="1">
      <c r="A54" s="503" t="s">
        <v>487</v>
      </c>
      <c r="B54" s="591" t="s">
        <v>979</v>
      </c>
      <c r="C54" s="461" t="s">
        <v>979</v>
      </c>
      <c r="D54" s="606"/>
      <c r="F54" s="606"/>
    </row>
    <row r="55" spans="1:6" s="1" customFormat="1" ht="11.25" customHeight="1">
      <c r="A55" s="503" t="s">
        <v>145</v>
      </c>
      <c r="B55" s="591" t="s">
        <v>979</v>
      </c>
      <c r="C55" s="461" t="s">
        <v>979</v>
      </c>
      <c r="D55" s="606"/>
      <c r="F55" s="606"/>
    </row>
    <row r="56" spans="1:6" s="1" customFormat="1" ht="11.25" customHeight="1">
      <c r="A56" s="503" t="s">
        <v>225</v>
      </c>
      <c r="B56" s="591" t="s">
        <v>979</v>
      </c>
      <c r="C56" s="461" t="s">
        <v>979</v>
      </c>
      <c r="D56" s="606"/>
      <c r="F56" s="606"/>
    </row>
    <row r="57" spans="1:6" s="1" customFormat="1" ht="11.25" customHeight="1">
      <c r="A57" s="503" t="s">
        <v>226</v>
      </c>
      <c r="B57" s="591" t="s">
        <v>979</v>
      </c>
      <c r="C57" s="461" t="s">
        <v>979</v>
      </c>
      <c r="D57" s="606"/>
      <c r="F57" s="606"/>
    </row>
    <row r="58" spans="1:6" s="1" customFormat="1" ht="11.25" customHeight="1">
      <c r="A58" s="503" t="s">
        <v>227</v>
      </c>
      <c r="B58" s="591" t="s">
        <v>979</v>
      </c>
      <c r="C58" s="461" t="s">
        <v>979</v>
      </c>
      <c r="D58" s="606"/>
      <c r="F58" s="606"/>
    </row>
    <row r="59" spans="1:6" s="1" customFormat="1" ht="11.25" customHeight="1">
      <c r="A59" s="503" t="s">
        <v>361</v>
      </c>
      <c r="B59" s="591" t="s">
        <v>979</v>
      </c>
      <c r="C59" s="461" t="s">
        <v>979</v>
      </c>
      <c r="D59" s="606"/>
      <c r="F59" s="606"/>
    </row>
    <row r="60" spans="1:6" s="1" customFormat="1" ht="11.25" customHeight="1">
      <c r="A60" s="503" t="s">
        <v>362</v>
      </c>
      <c r="B60" s="591" t="s">
        <v>979</v>
      </c>
      <c r="C60" s="461" t="s">
        <v>979</v>
      </c>
      <c r="D60" s="606"/>
      <c r="F60" s="606"/>
    </row>
    <row r="61" spans="1:6" s="1" customFormat="1" ht="11.25" customHeight="1">
      <c r="A61" s="503" t="s">
        <v>363</v>
      </c>
      <c r="B61" s="591" t="s">
        <v>979</v>
      </c>
      <c r="C61" s="461" t="s">
        <v>979</v>
      </c>
      <c r="D61" s="606"/>
      <c r="E61" s="3"/>
      <c r="F61" s="606"/>
    </row>
    <row r="62" spans="1:6" s="1" customFormat="1" ht="11.25" customHeight="1">
      <c r="A62" s="503" t="s">
        <v>234</v>
      </c>
      <c r="B62" s="591" t="s">
        <v>979</v>
      </c>
      <c r="C62" s="461" t="s">
        <v>979</v>
      </c>
      <c r="D62" s="606"/>
      <c r="F62" s="606"/>
    </row>
    <row r="63" spans="1:6" s="1" customFormat="1" ht="11.25" customHeight="1">
      <c r="A63" s="503" t="s">
        <v>235</v>
      </c>
      <c r="B63" s="591" t="s">
        <v>979</v>
      </c>
      <c r="C63" s="461" t="s">
        <v>979</v>
      </c>
      <c r="D63" s="606"/>
      <c r="F63" s="606"/>
    </row>
    <row r="64" spans="1:6" s="1" customFormat="1" ht="11.25" customHeight="1">
      <c r="A64" s="503" t="s">
        <v>294</v>
      </c>
      <c r="B64" s="591" t="s">
        <v>979</v>
      </c>
      <c r="C64" s="461" t="s">
        <v>979</v>
      </c>
      <c r="D64" s="606"/>
      <c r="F64" s="606"/>
    </row>
    <row r="65" spans="1:6" s="1" customFormat="1" ht="11.25" customHeight="1">
      <c r="A65" s="503" t="s">
        <v>295</v>
      </c>
      <c r="B65" s="591" t="s">
        <v>979</v>
      </c>
      <c r="C65" s="461" t="s">
        <v>979</v>
      </c>
      <c r="D65" s="606"/>
      <c r="F65" s="606"/>
    </row>
    <row r="66" spans="1:6" s="1" customFormat="1" ht="11.25" customHeight="1">
      <c r="A66" s="503" t="s">
        <v>228</v>
      </c>
      <c r="B66" s="591" t="s">
        <v>979</v>
      </c>
      <c r="C66" s="461" t="s">
        <v>979</v>
      </c>
      <c r="D66" s="606"/>
      <c r="F66" s="606"/>
    </row>
    <row r="67" spans="1:6" s="1" customFormat="1" ht="11.25" customHeight="1">
      <c r="A67" s="503" t="s">
        <v>942</v>
      </c>
      <c r="B67" s="591" t="s">
        <v>979</v>
      </c>
      <c r="C67" s="461" t="s">
        <v>979</v>
      </c>
      <c r="D67" s="606"/>
      <c r="F67" s="606"/>
    </row>
    <row r="68" spans="1:6" s="1" customFormat="1" ht="11.25" customHeight="1">
      <c r="A68" s="503" t="s">
        <v>98</v>
      </c>
      <c r="B68" s="591" t="s">
        <v>979</v>
      </c>
      <c r="C68" s="461" t="s">
        <v>979</v>
      </c>
      <c r="D68" s="606"/>
      <c r="F68" s="606"/>
    </row>
    <row r="69" spans="1:6" s="1" customFormat="1" ht="11.25" customHeight="1">
      <c r="A69" s="503" t="s">
        <v>943</v>
      </c>
      <c r="B69" s="591" t="s">
        <v>979</v>
      </c>
      <c r="C69" s="461" t="s">
        <v>979</v>
      </c>
      <c r="D69" s="606"/>
      <c r="F69" s="606"/>
    </row>
    <row r="70" spans="1:6" s="1" customFormat="1" ht="11.25" customHeight="1">
      <c r="A70" s="503" t="s">
        <v>296</v>
      </c>
      <c r="B70" s="591" t="s">
        <v>979</v>
      </c>
      <c r="C70" s="461" t="s">
        <v>979</v>
      </c>
      <c r="D70" s="606"/>
      <c r="F70" s="606"/>
    </row>
    <row r="71" spans="1:6" s="1" customFormat="1" ht="11.25" customHeight="1">
      <c r="A71" s="503" t="s">
        <v>944</v>
      </c>
      <c r="B71" s="591" t="s">
        <v>979</v>
      </c>
      <c r="C71" s="461" t="s">
        <v>979</v>
      </c>
      <c r="D71" s="606"/>
      <c r="E71" s="3"/>
      <c r="F71" s="606"/>
    </row>
    <row r="72" spans="1:6" s="1" customFormat="1" ht="11.25" customHeight="1">
      <c r="A72" s="503" t="s">
        <v>945</v>
      </c>
      <c r="B72" s="591" t="s">
        <v>979</v>
      </c>
      <c r="C72" s="461" t="s">
        <v>979</v>
      </c>
      <c r="D72" s="606"/>
      <c r="F72" s="606"/>
    </row>
    <row r="73" spans="1:6" s="1" customFormat="1" ht="11.25" customHeight="1">
      <c r="A73" s="503" t="s">
        <v>947</v>
      </c>
      <c r="B73" s="591" t="s">
        <v>979</v>
      </c>
      <c r="C73" s="461" t="s">
        <v>979</v>
      </c>
      <c r="D73" s="606"/>
      <c r="F73" s="606"/>
    </row>
    <row r="74" spans="1:6" s="1" customFormat="1" ht="11.25" customHeight="1">
      <c r="A74" s="503" t="s">
        <v>946</v>
      </c>
      <c r="B74" s="591" t="s">
        <v>979</v>
      </c>
      <c r="C74" s="461" t="s">
        <v>979</v>
      </c>
      <c r="D74" s="606"/>
      <c r="F74" s="606"/>
    </row>
    <row r="75" spans="1:6" s="1" customFormat="1" ht="11.25" customHeight="1">
      <c r="A75" s="515" t="s">
        <v>99</v>
      </c>
      <c r="B75" s="591" t="s">
        <v>979</v>
      </c>
      <c r="C75" s="461" t="s">
        <v>979</v>
      </c>
      <c r="D75" s="606"/>
      <c r="F75" s="606"/>
    </row>
    <row r="76" spans="1:6" s="1" customFormat="1" ht="11.25" customHeight="1">
      <c r="A76" s="503" t="s">
        <v>297</v>
      </c>
      <c r="B76" s="591" t="s">
        <v>979</v>
      </c>
      <c r="C76" s="461" t="s">
        <v>979</v>
      </c>
      <c r="D76" s="606"/>
      <c r="F76" s="606"/>
    </row>
    <row r="77" spans="1:6" s="1" customFormat="1" ht="11.25" customHeight="1">
      <c r="A77" s="515" t="s">
        <v>100</v>
      </c>
      <c r="B77" s="591" t="s">
        <v>979</v>
      </c>
      <c r="C77" s="461" t="s">
        <v>979</v>
      </c>
      <c r="D77" s="606"/>
      <c r="F77" s="606"/>
    </row>
    <row r="78" spans="1:6" s="1" customFormat="1" ht="11.25" customHeight="1">
      <c r="A78" s="515" t="s">
        <v>101</v>
      </c>
      <c r="B78" s="591" t="s">
        <v>979</v>
      </c>
      <c r="C78" s="461" t="s">
        <v>979</v>
      </c>
      <c r="D78" s="606"/>
      <c r="F78" s="606"/>
    </row>
    <row r="79" spans="1:6" s="1" customFormat="1" ht="11.25" customHeight="1">
      <c r="A79" s="503" t="s">
        <v>382</v>
      </c>
      <c r="B79" s="591" t="s">
        <v>979</v>
      </c>
      <c r="C79" s="461" t="s">
        <v>979</v>
      </c>
      <c r="D79" s="606"/>
      <c r="F79" s="606"/>
    </row>
    <row r="80" spans="1:6" s="1" customFormat="1" ht="11.25" customHeight="1">
      <c r="A80" s="503" t="s">
        <v>594</v>
      </c>
      <c r="B80" s="591" t="s">
        <v>979</v>
      </c>
      <c r="C80" s="461" t="s">
        <v>979</v>
      </c>
      <c r="D80" s="606"/>
      <c r="F80" s="606"/>
    </row>
    <row r="81" spans="1:6" s="1" customFormat="1" ht="11.25" customHeight="1">
      <c r="A81" s="503" t="s">
        <v>102</v>
      </c>
      <c r="B81" s="591" t="s">
        <v>979</v>
      </c>
      <c r="C81" s="461" t="s">
        <v>979</v>
      </c>
      <c r="D81" s="606"/>
      <c r="F81" s="606"/>
    </row>
    <row r="82" spans="1:6" s="1" customFormat="1" ht="11.25" customHeight="1">
      <c r="A82" s="503" t="s">
        <v>370</v>
      </c>
      <c r="B82" s="591" t="s">
        <v>979</v>
      </c>
      <c r="C82" s="461" t="s">
        <v>979</v>
      </c>
      <c r="D82" s="606"/>
      <c r="F82" s="606"/>
    </row>
    <row r="83" spans="1:6" s="1" customFormat="1" ht="11.25" customHeight="1">
      <c r="A83" s="503" t="s">
        <v>337</v>
      </c>
      <c r="B83" s="591" t="s">
        <v>979</v>
      </c>
      <c r="C83" s="461" t="s">
        <v>979</v>
      </c>
      <c r="D83" s="606"/>
      <c r="F83" s="606"/>
    </row>
    <row r="84" spans="1:6" s="1" customFormat="1" ht="11.25" customHeight="1">
      <c r="A84" s="503" t="s">
        <v>28</v>
      </c>
      <c r="B84" s="591" t="s">
        <v>979</v>
      </c>
      <c r="C84" s="461" t="s">
        <v>979</v>
      </c>
      <c r="D84" s="606"/>
      <c r="F84" s="606"/>
    </row>
    <row r="85" spans="1:6" s="1" customFormat="1" ht="11.25" customHeight="1">
      <c r="A85" s="503" t="s">
        <v>338</v>
      </c>
      <c r="B85" s="591" t="s">
        <v>979</v>
      </c>
      <c r="C85" s="461" t="s">
        <v>979</v>
      </c>
      <c r="D85" s="606"/>
      <c r="F85" s="606"/>
    </row>
    <row r="86" spans="1:6" s="1" customFormat="1" ht="11.25" customHeight="1">
      <c r="A86" s="503" t="s">
        <v>339</v>
      </c>
      <c r="B86" s="591" t="s">
        <v>979</v>
      </c>
      <c r="C86" s="461" t="s">
        <v>979</v>
      </c>
      <c r="D86" s="606"/>
      <c r="F86" s="606"/>
    </row>
    <row r="87" spans="1:6" s="1" customFormat="1" ht="11.25" customHeight="1">
      <c r="A87" s="503" t="s">
        <v>340</v>
      </c>
      <c r="B87" s="591" t="s">
        <v>979</v>
      </c>
      <c r="C87" s="461" t="s">
        <v>979</v>
      </c>
      <c r="D87" s="606"/>
      <c r="F87" s="606"/>
    </row>
    <row r="88" spans="1:6" s="1" customFormat="1" ht="11.25" customHeight="1">
      <c r="A88" s="503" t="s">
        <v>103</v>
      </c>
      <c r="B88" s="591" t="s">
        <v>979</v>
      </c>
      <c r="C88" s="461" t="s">
        <v>979</v>
      </c>
      <c r="D88" s="606"/>
      <c r="F88" s="606"/>
    </row>
    <row r="89" spans="1:6" s="1" customFormat="1" ht="11.25" customHeight="1">
      <c r="A89" s="503" t="s">
        <v>341</v>
      </c>
      <c r="B89" s="591" t="s">
        <v>979</v>
      </c>
      <c r="C89" s="461" t="s">
        <v>979</v>
      </c>
      <c r="D89" s="606"/>
      <c r="F89" s="606"/>
    </row>
    <row r="90" spans="1:6" s="1" customFormat="1" ht="11.25" customHeight="1">
      <c r="A90" s="503" t="s">
        <v>342</v>
      </c>
      <c r="B90" s="591" t="s">
        <v>979</v>
      </c>
      <c r="C90" s="461" t="s">
        <v>979</v>
      </c>
      <c r="D90" s="606"/>
      <c r="F90" s="606"/>
    </row>
    <row r="91" spans="1:6" s="1" customFormat="1" ht="11.25" customHeight="1">
      <c r="A91" s="503" t="s">
        <v>371</v>
      </c>
      <c r="B91" s="591" t="s">
        <v>979</v>
      </c>
      <c r="C91" s="461" t="s">
        <v>979</v>
      </c>
      <c r="D91" s="606"/>
      <c r="F91" s="606"/>
    </row>
    <row r="92" spans="1:6" s="1" customFormat="1" ht="11.25" customHeight="1">
      <c r="A92" s="503" t="s">
        <v>343</v>
      </c>
      <c r="B92" s="591" t="s">
        <v>979</v>
      </c>
      <c r="C92" s="461" t="s">
        <v>979</v>
      </c>
      <c r="D92" s="606"/>
      <c r="F92" s="606"/>
    </row>
    <row r="93" spans="1:6" s="1" customFormat="1" ht="11.25" customHeight="1">
      <c r="A93" s="503" t="s">
        <v>364</v>
      </c>
      <c r="B93" s="591" t="s">
        <v>979</v>
      </c>
      <c r="C93" s="461" t="s">
        <v>979</v>
      </c>
      <c r="D93" s="606"/>
      <c r="F93" s="606"/>
    </row>
    <row r="94" spans="1:6" s="1" customFormat="1" ht="11.25" customHeight="1">
      <c r="A94" s="503" t="s">
        <v>344</v>
      </c>
      <c r="B94" s="591" t="s">
        <v>979</v>
      </c>
      <c r="C94" s="461" t="s">
        <v>979</v>
      </c>
      <c r="D94" s="606"/>
      <c r="F94" s="606"/>
    </row>
    <row r="95" spans="1:6" s="1" customFormat="1" ht="11.25" customHeight="1">
      <c r="A95" s="503" t="s">
        <v>104</v>
      </c>
      <c r="B95" s="591" t="s">
        <v>979</v>
      </c>
      <c r="C95" s="461" t="s">
        <v>979</v>
      </c>
      <c r="D95" s="606"/>
      <c r="F95" s="606"/>
    </row>
    <row r="96" spans="1:6" s="1" customFormat="1" ht="11.25" customHeight="1">
      <c r="A96" s="503" t="s">
        <v>345</v>
      </c>
      <c r="B96" s="591" t="s">
        <v>979</v>
      </c>
      <c r="C96" s="461" t="s">
        <v>979</v>
      </c>
      <c r="D96" s="606"/>
      <c r="F96" s="606"/>
    </row>
    <row r="97" spans="1:6" s="1" customFormat="1" ht="11.25" customHeight="1">
      <c r="A97" s="503" t="s">
        <v>105</v>
      </c>
      <c r="B97" s="591" t="s">
        <v>979</v>
      </c>
      <c r="C97" s="461" t="s">
        <v>979</v>
      </c>
      <c r="D97" s="606"/>
      <c r="F97" s="606"/>
    </row>
    <row r="98" spans="1:6" s="1" customFormat="1" ht="11.25" customHeight="1">
      <c r="A98" s="503" t="s">
        <v>346</v>
      </c>
      <c r="B98" s="591" t="s">
        <v>979</v>
      </c>
      <c r="C98" s="461" t="s">
        <v>979</v>
      </c>
      <c r="D98" s="606"/>
      <c r="F98" s="606"/>
    </row>
    <row r="99" spans="1:6" s="1" customFormat="1" ht="11.25" customHeight="1">
      <c r="A99" s="503" t="s">
        <v>347</v>
      </c>
      <c r="B99" s="591" t="s">
        <v>979</v>
      </c>
      <c r="C99" s="461" t="s">
        <v>979</v>
      </c>
      <c r="D99" s="606"/>
      <c r="F99" s="606"/>
    </row>
    <row r="100" spans="1:6" s="1" customFormat="1" ht="11.25" customHeight="1">
      <c r="A100" s="503" t="s">
        <v>348</v>
      </c>
      <c r="B100" s="591" t="s">
        <v>979</v>
      </c>
      <c r="C100" s="461" t="s">
        <v>979</v>
      </c>
      <c r="D100" s="606"/>
      <c r="F100" s="606"/>
    </row>
    <row r="101" spans="1:6" s="1" customFormat="1" ht="11.25" customHeight="1">
      <c r="A101" s="503" t="s">
        <v>350</v>
      </c>
      <c r="B101" s="591" t="s">
        <v>979</v>
      </c>
      <c r="C101" s="461" t="s">
        <v>979</v>
      </c>
      <c r="D101" s="606"/>
      <c r="F101" s="606"/>
    </row>
    <row r="102" spans="1:6" s="1" customFormat="1" ht="11.25" customHeight="1">
      <c r="A102" s="503" t="s">
        <v>351</v>
      </c>
      <c r="B102" s="591" t="s">
        <v>979</v>
      </c>
      <c r="C102" s="461" t="s">
        <v>979</v>
      </c>
      <c r="D102" s="606"/>
      <c r="F102" s="606"/>
    </row>
    <row r="103" spans="1:6" s="1" customFormat="1" ht="11.25" customHeight="1">
      <c r="A103" s="503" t="s">
        <v>352</v>
      </c>
      <c r="B103" s="591" t="s">
        <v>979</v>
      </c>
      <c r="C103" s="461" t="s">
        <v>979</v>
      </c>
      <c r="D103" s="606"/>
      <c r="F103" s="606"/>
    </row>
    <row r="104" spans="1:6" s="1" customFormat="1" ht="11.25" customHeight="1">
      <c r="A104" s="503" t="s">
        <v>353</v>
      </c>
      <c r="B104" s="591" t="s">
        <v>979</v>
      </c>
      <c r="C104" s="461" t="s">
        <v>979</v>
      </c>
      <c r="D104" s="606"/>
      <c r="F104" s="606"/>
    </row>
    <row r="105" spans="1:6" s="1" customFormat="1" ht="11.25" customHeight="1">
      <c r="A105" s="503" t="s">
        <v>349</v>
      </c>
      <c r="B105" s="591" t="s">
        <v>979</v>
      </c>
      <c r="C105" s="461" t="s">
        <v>979</v>
      </c>
      <c r="D105" s="606"/>
      <c r="F105" s="606"/>
    </row>
    <row r="106" spans="1:6" s="1" customFormat="1" ht="11.25" customHeight="1">
      <c r="A106" s="458" t="s">
        <v>590</v>
      </c>
      <c r="B106" s="501" t="s">
        <v>979</v>
      </c>
      <c r="C106" s="461" t="s">
        <v>979</v>
      </c>
      <c r="D106" s="606"/>
      <c r="F106" s="606"/>
    </row>
    <row r="107" spans="1:6" s="1" customFormat="1" ht="11.25" customHeight="1">
      <c r="A107" s="458" t="s">
        <v>591</v>
      </c>
      <c r="B107" s="501" t="s">
        <v>979</v>
      </c>
      <c r="C107" s="461" t="s">
        <v>979</v>
      </c>
      <c r="D107" s="606"/>
      <c r="F107" s="606"/>
    </row>
    <row r="108" spans="1:6" s="1" customFormat="1" ht="11.25" customHeight="1">
      <c r="A108" s="503" t="s">
        <v>465</v>
      </c>
      <c r="B108" s="591" t="s">
        <v>979</v>
      </c>
      <c r="C108" s="461" t="s">
        <v>979</v>
      </c>
      <c r="D108" s="606"/>
      <c r="F108" s="606"/>
    </row>
    <row r="109" spans="1:6" s="1" customFormat="1" ht="11.25" customHeight="1">
      <c r="A109" s="503" t="s">
        <v>466</v>
      </c>
      <c r="B109" s="591" t="s">
        <v>979</v>
      </c>
      <c r="C109" s="461" t="s">
        <v>979</v>
      </c>
      <c r="D109" s="606"/>
      <c r="F109" s="606"/>
    </row>
    <row r="110" spans="1:6" s="1" customFormat="1" ht="11.25" customHeight="1">
      <c r="A110" s="503" t="s">
        <v>812</v>
      </c>
      <c r="B110" s="591" t="s">
        <v>979</v>
      </c>
      <c r="C110" s="461" t="s">
        <v>979</v>
      </c>
      <c r="D110" s="606"/>
      <c r="F110" s="606"/>
    </row>
    <row r="111" spans="1:6" s="1" customFormat="1" ht="11.25" customHeight="1">
      <c r="A111" s="515" t="s">
        <v>106</v>
      </c>
      <c r="B111" s="591" t="s">
        <v>979</v>
      </c>
      <c r="C111" s="461" t="s">
        <v>979</v>
      </c>
      <c r="D111" s="606"/>
      <c r="F111" s="606"/>
    </row>
    <row r="112" spans="1:6" s="1" customFormat="1" ht="11.25" customHeight="1">
      <c r="A112" s="515" t="s">
        <v>107</v>
      </c>
      <c r="B112" s="591" t="s">
        <v>979</v>
      </c>
      <c r="C112" s="461" t="s">
        <v>979</v>
      </c>
      <c r="D112" s="606"/>
      <c r="F112" s="606"/>
    </row>
    <row r="113" spans="1:6" s="1" customFormat="1" ht="11.25" customHeight="1">
      <c r="A113" s="515" t="s">
        <v>108</v>
      </c>
      <c r="B113" s="591" t="s">
        <v>979</v>
      </c>
      <c r="C113" s="461" t="s">
        <v>979</v>
      </c>
      <c r="D113" s="606"/>
      <c r="F113" s="606"/>
    </row>
    <row r="114" spans="1:6" s="1" customFormat="1" ht="11.25" customHeight="1">
      <c r="A114" s="515" t="s">
        <v>109</v>
      </c>
      <c r="B114" s="591" t="s">
        <v>979</v>
      </c>
      <c r="C114" s="461" t="s">
        <v>979</v>
      </c>
      <c r="D114" s="606"/>
      <c r="F114" s="606"/>
    </row>
    <row r="115" spans="1:6" s="1" customFormat="1" ht="11.25" customHeight="1">
      <c r="A115" s="515" t="s">
        <v>110</v>
      </c>
      <c r="B115" s="591" t="s">
        <v>979</v>
      </c>
      <c r="C115" s="461" t="s">
        <v>979</v>
      </c>
      <c r="D115" s="606"/>
      <c r="F115" s="606"/>
    </row>
    <row r="116" spans="1:6" s="1" customFormat="1" ht="11.25" customHeight="1">
      <c r="A116" s="503" t="s">
        <v>467</v>
      </c>
      <c r="B116" s="591" t="s">
        <v>979</v>
      </c>
      <c r="C116" s="461" t="s">
        <v>979</v>
      </c>
      <c r="D116" s="606"/>
      <c r="F116" s="606"/>
    </row>
    <row r="117" spans="1:6" s="1" customFormat="1" ht="11.25" customHeight="1">
      <c r="A117" s="515" t="s">
        <v>111</v>
      </c>
      <c r="B117" s="591" t="s">
        <v>979</v>
      </c>
      <c r="C117" s="461" t="s">
        <v>979</v>
      </c>
      <c r="D117" s="606"/>
      <c r="F117" s="606"/>
    </row>
    <row r="118" spans="1:6" s="1" customFormat="1" ht="11.25" customHeight="1">
      <c r="A118" s="503" t="s">
        <v>231</v>
      </c>
      <c r="B118" s="591" t="s">
        <v>979</v>
      </c>
      <c r="C118" s="461" t="s">
        <v>979</v>
      </c>
      <c r="D118" s="606"/>
      <c r="F118" s="606"/>
    </row>
    <row r="119" spans="1:6" s="1" customFormat="1" ht="11.25" customHeight="1">
      <c r="A119" s="503" t="s">
        <v>468</v>
      </c>
      <c r="B119" s="591" t="s">
        <v>979</v>
      </c>
      <c r="C119" s="461" t="s">
        <v>979</v>
      </c>
      <c r="D119" s="606"/>
      <c r="F119" s="606"/>
    </row>
    <row r="120" spans="1:6" s="1" customFormat="1" ht="11.25" customHeight="1">
      <c r="A120" s="503" t="s">
        <v>469</v>
      </c>
      <c r="B120" s="591" t="s">
        <v>979</v>
      </c>
      <c r="C120" s="461" t="s">
        <v>979</v>
      </c>
      <c r="D120" s="606"/>
      <c r="F120" s="606"/>
    </row>
    <row r="121" spans="1:6" s="1" customFormat="1" ht="11.25" customHeight="1">
      <c r="A121" s="503" t="s">
        <v>365</v>
      </c>
      <c r="B121" s="591" t="s">
        <v>979</v>
      </c>
      <c r="C121" s="461" t="s">
        <v>979</v>
      </c>
      <c r="D121" s="606"/>
      <c r="F121" s="606"/>
    </row>
    <row r="122" spans="1:6" s="1" customFormat="1" ht="11.25" customHeight="1">
      <c r="A122" s="503" t="s">
        <v>112</v>
      </c>
      <c r="B122" s="591" t="s">
        <v>979</v>
      </c>
      <c r="C122" s="461" t="s">
        <v>979</v>
      </c>
      <c r="D122" s="606"/>
      <c r="F122" s="606"/>
    </row>
    <row r="123" spans="1:6" s="1" customFormat="1" ht="11.25" customHeight="1">
      <c r="A123" s="503" t="s">
        <v>470</v>
      </c>
      <c r="B123" s="591" t="s">
        <v>979</v>
      </c>
      <c r="C123" s="461" t="s">
        <v>979</v>
      </c>
      <c r="D123" s="606"/>
      <c r="F123" s="606"/>
    </row>
    <row r="124" spans="1:6" s="1" customFormat="1" ht="11.25" customHeight="1">
      <c r="A124" s="503" t="s">
        <v>471</v>
      </c>
      <c r="B124" s="591" t="s">
        <v>979</v>
      </c>
      <c r="C124" s="461" t="s">
        <v>979</v>
      </c>
      <c r="D124" s="606"/>
      <c r="F124" s="606"/>
    </row>
    <row r="125" spans="1:6" s="1" customFormat="1" ht="11.25" customHeight="1">
      <c r="A125" s="503" t="s">
        <v>813</v>
      </c>
      <c r="B125" s="591" t="s">
        <v>979</v>
      </c>
      <c r="C125" s="461" t="s">
        <v>979</v>
      </c>
      <c r="D125" s="606"/>
      <c r="F125" s="606"/>
    </row>
    <row r="126" spans="1:6" s="1" customFormat="1" ht="11.25" customHeight="1">
      <c r="A126" s="503" t="s">
        <v>113</v>
      </c>
      <c r="B126" s="591" t="s">
        <v>979</v>
      </c>
      <c r="C126" s="461" t="s">
        <v>979</v>
      </c>
      <c r="D126" s="606"/>
      <c r="F126" s="606"/>
    </row>
    <row r="127" spans="1:6" s="1" customFormat="1" ht="11.25" customHeight="1">
      <c r="A127" s="503" t="s">
        <v>472</v>
      </c>
      <c r="B127" s="591" t="s">
        <v>979</v>
      </c>
      <c r="C127" s="461" t="s">
        <v>979</v>
      </c>
      <c r="D127" s="606"/>
      <c r="F127" s="606"/>
    </row>
    <row r="128" spans="1:6" s="1" customFormat="1" ht="11.25" customHeight="1">
      <c r="A128" s="503" t="s">
        <v>114</v>
      </c>
      <c r="B128" s="591" t="s">
        <v>979</v>
      </c>
      <c r="C128" s="461" t="s">
        <v>979</v>
      </c>
      <c r="D128" s="606"/>
      <c r="F128" s="606"/>
    </row>
    <row r="129" spans="1:6" s="1" customFormat="1" ht="11.25" customHeight="1">
      <c r="A129" s="503" t="s">
        <v>19</v>
      </c>
      <c r="B129" s="591" t="s">
        <v>979</v>
      </c>
      <c r="C129" s="461" t="s">
        <v>979</v>
      </c>
      <c r="D129" s="606"/>
      <c r="F129" s="606"/>
    </row>
    <row r="130" spans="1:6" s="1" customFormat="1" ht="11.25" customHeight="1">
      <c r="A130" s="503" t="s">
        <v>473</v>
      </c>
      <c r="B130" s="591" t="s">
        <v>979</v>
      </c>
      <c r="C130" s="461" t="s">
        <v>979</v>
      </c>
      <c r="D130" s="606"/>
      <c r="F130" s="606"/>
    </row>
    <row r="131" spans="1:6" s="1" customFormat="1" ht="11.25" customHeight="1">
      <c r="A131" s="503" t="s">
        <v>474</v>
      </c>
      <c r="B131" s="591" t="s">
        <v>979</v>
      </c>
      <c r="C131" s="461" t="s">
        <v>979</v>
      </c>
      <c r="D131" s="606"/>
      <c r="F131" s="606"/>
    </row>
    <row r="132" spans="1:6" s="1" customFormat="1" ht="11.25" customHeight="1">
      <c r="A132" s="503" t="s">
        <v>475</v>
      </c>
      <c r="B132" s="591" t="s">
        <v>979</v>
      </c>
      <c r="C132" s="461" t="s">
        <v>979</v>
      </c>
      <c r="D132" s="606"/>
      <c r="F132" s="606"/>
    </row>
    <row r="133" spans="1:6" s="1" customFormat="1" ht="11.25" customHeight="1">
      <c r="A133" s="503" t="s">
        <v>115</v>
      </c>
      <c r="B133" s="591" t="s">
        <v>979</v>
      </c>
      <c r="C133" s="461" t="s">
        <v>979</v>
      </c>
      <c r="D133" s="606"/>
      <c r="F133" s="606"/>
    </row>
    <row r="134" spans="1:6" s="1" customFormat="1" ht="11.25" customHeight="1">
      <c r="A134" s="515" t="s">
        <v>116</v>
      </c>
      <c r="B134" s="591" t="s">
        <v>979</v>
      </c>
      <c r="C134" s="461" t="s">
        <v>979</v>
      </c>
      <c r="D134" s="606"/>
      <c r="F134" s="606"/>
    </row>
    <row r="135" spans="1:6" s="1" customFormat="1" ht="11.25" customHeight="1">
      <c r="A135" s="503" t="s">
        <v>476</v>
      </c>
      <c r="B135" s="591" t="s">
        <v>979</v>
      </c>
      <c r="C135" s="461" t="s">
        <v>979</v>
      </c>
      <c r="D135" s="606"/>
      <c r="F135" s="606"/>
    </row>
    <row r="136" spans="1:6" s="1" customFormat="1" ht="11.25" customHeight="1">
      <c r="A136" s="503" t="s">
        <v>366</v>
      </c>
      <c r="B136" s="591" t="s">
        <v>979</v>
      </c>
      <c r="C136" s="461" t="s">
        <v>979</v>
      </c>
      <c r="D136" s="606"/>
      <c r="F136" s="606"/>
    </row>
    <row r="137" spans="1:6" s="1" customFormat="1" ht="11.25" customHeight="1">
      <c r="A137" s="503" t="s">
        <v>20</v>
      </c>
      <c r="B137" s="591" t="s">
        <v>979</v>
      </c>
      <c r="C137" s="461" t="s">
        <v>979</v>
      </c>
      <c r="D137" s="606"/>
      <c r="F137" s="606"/>
    </row>
    <row r="138" spans="1:6" s="1" customFormat="1" ht="11.25" customHeight="1">
      <c r="A138" s="503" t="s">
        <v>57</v>
      </c>
      <c r="B138" s="591" t="s">
        <v>979</v>
      </c>
      <c r="C138" s="461" t="s">
        <v>979</v>
      </c>
      <c r="D138" s="606"/>
      <c r="F138" s="606"/>
    </row>
    <row r="139" spans="1:6" s="1" customFormat="1" ht="11.25" customHeight="1">
      <c r="A139" s="503" t="s">
        <v>56</v>
      </c>
      <c r="B139" s="591" t="s">
        <v>979</v>
      </c>
      <c r="C139" s="461" t="s">
        <v>979</v>
      </c>
      <c r="D139" s="606"/>
      <c r="F139" s="606"/>
    </row>
    <row r="140" spans="1:6" s="1" customFormat="1" ht="11.25" customHeight="1">
      <c r="A140" s="503" t="s">
        <v>777</v>
      </c>
      <c r="B140" s="591" t="s">
        <v>979</v>
      </c>
      <c r="C140" s="461" t="s">
        <v>979</v>
      </c>
      <c r="D140" s="606"/>
      <c r="F140" s="606"/>
    </row>
    <row r="141" spans="1:6" s="1" customFormat="1" ht="11.25" customHeight="1">
      <c r="A141" s="503" t="s">
        <v>814</v>
      </c>
      <c r="B141" s="591" t="s">
        <v>979</v>
      </c>
      <c r="C141" s="461" t="s">
        <v>979</v>
      </c>
      <c r="D141" s="606"/>
      <c r="F141" s="606"/>
    </row>
    <row r="142" spans="1:6" s="1" customFormat="1" ht="11.25" customHeight="1">
      <c r="A142" s="503" t="s">
        <v>815</v>
      </c>
      <c r="B142" s="591" t="s">
        <v>979</v>
      </c>
      <c r="C142" s="461" t="s">
        <v>979</v>
      </c>
      <c r="D142" s="606"/>
      <c r="F142" s="606"/>
    </row>
    <row r="143" spans="1:6" s="1" customFormat="1" ht="11.25" customHeight="1">
      <c r="A143" s="503" t="s">
        <v>477</v>
      </c>
      <c r="B143" s="591" t="s">
        <v>979</v>
      </c>
      <c r="C143" s="461" t="s">
        <v>979</v>
      </c>
      <c r="D143" s="606"/>
      <c r="F143" s="606"/>
    </row>
    <row r="144" spans="1:6" s="1" customFormat="1" ht="11.25" customHeight="1">
      <c r="A144" s="503" t="s">
        <v>478</v>
      </c>
      <c r="B144" s="591" t="s">
        <v>979</v>
      </c>
      <c r="C144" s="461" t="s">
        <v>979</v>
      </c>
      <c r="D144" s="606"/>
      <c r="F144" s="606"/>
    </row>
    <row r="145" spans="1:6" s="1" customFormat="1" ht="11.25" customHeight="1">
      <c r="A145" s="503" t="s">
        <v>479</v>
      </c>
      <c r="B145" s="591" t="s">
        <v>979</v>
      </c>
      <c r="C145" s="461" t="s">
        <v>979</v>
      </c>
      <c r="D145" s="606"/>
      <c r="F145" s="606"/>
    </row>
    <row r="146" spans="1:6" s="1" customFormat="1" ht="11.25" customHeight="1">
      <c r="A146" s="503" t="s">
        <v>480</v>
      </c>
      <c r="B146" s="591" t="s">
        <v>979</v>
      </c>
      <c r="C146" s="461" t="s">
        <v>979</v>
      </c>
      <c r="D146" s="606"/>
      <c r="F146" s="606"/>
    </row>
    <row r="147" spans="1:6" s="1" customFormat="1" ht="11.25" customHeight="1">
      <c r="A147" s="515" t="s">
        <v>117</v>
      </c>
      <c r="B147" s="591" t="s">
        <v>979</v>
      </c>
      <c r="C147" s="461" t="s">
        <v>979</v>
      </c>
      <c r="D147" s="606"/>
      <c r="F147" s="606"/>
    </row>
    <row r="148" spans="1:6" s="1" customFormat="1" ht="11.25" customHeight="1">
      <c r="A148" s="503" t="s">
        <v>118</v>
      </c>
      <c r="B148" s="591" t="s">
        <v>979</v>
      </c>
      <c r="C148" s="461" t="s">
        <v>979</v>
      </c>
      <c r="D148" s="606"/>
      <c r="F148" s="606"/>
    </row>
    <row r="149" spans="1:6" s="1" customFormat="1" ht="11.25" customHeight="1">
      <c r="A149" s="503" t="s">
        <v>119</v>
      </c>
      <c r="B149" s="591" t="s">
        <v>979</v>
      </c>
      <c r="C149" s="461" t="s">
        <v>979</v>
      </c>
      <c r="D149" s="606"/>
      <c r="F149" s="606"/>
    </row>
    <row r="150" spans="1:6" s="1" customFormat="1" ht="11.25" customHeight="1">
      <c r="A150" s="503" t="s">
        <v>120</v>
      </c>
      <c r="B150" s="591" t="s">
        <v>979</v>
      </c>
      <c r="C150" s="461" t="s">
        <v>979</v>
      </c>
      <c r="D150" s="606"/>
      <c r="F150" s="606"/>
    </row>
    <row r="151" spans="1:6" s="1" customFormat="1" ht="11.25" customHeight="1">
      <c r="A151" s="503" t="s">
        <v>602</v>
      </c>
      <c r="B151" s="591" t="s">
        <v>979</v>
      </c>
      <c r="C151" s="461" t="s">
        <v>979</v>
      </c>
      <c r="D151" s="606"/>
      <c r="F151" s="606"/>
    </row>
    <row r="152" spans="1:6" s="1" customFormat="1" ht="11.25" customHeight="1">
      <c r="A152" s="515" t="s">
        <v>939</v>
      </c>
      <c r="B152" s="591" t="s">
        <v>979</v>
      </c>
      <c r="C152" s="461" t="s">
        <v>979</v>
      </c>
      <c r="D152" s="606"/>
      <c r="F152" s="606"/>
    </row>
    <row r="153" spans="1:6" s="1" customFormat="1" ht="11.25" customHeight="1">
      <c r="A153" s="515" t="s">
        <v>603</v>
      </c>
      <c r="B153" s="591" t="s">
        <v>979</v>
      </c>
      <c r="C153" s="461" t="s">
        <v>979</v>
      </c>
      <c r="D153" s="606"/>
      <c r="F153" s="606"/>
    </row>
    <row r="154" spans="1:6" s="1" customFormat="1" ht="11.25" customHeight="1">
      <c r="A154" s="515" t="s">
        <v>605</v>
      </c>
      <c r="B154" s="591" t="s">
        <v>979</v>
      </c>
      <c r="C154" s="461" t="s">
        <v>979</v>
      </c>
      <c r="D154" s="606"/>
      <c r="F154" s="606"/>
    </row>
    <row r="155" spans="1:6" s="1" customFormat="1" ht="11.25" customHeight="1">
      <c r="A155" s="503" t="s">
        <v>481</v>
      </c>
      <c r="B155" s="591" t="s">
        <v>979</v>
      </c>
      <c r="C155" s="461" t="s">
        <v>979</v>
      </c>
      <c r="D155" s="606"/>
      <c r="F155" s="606"/>
    </row>
    <row r="156" spans="1:6" s="1" customFormat="1" ht="11.25" customHeight="1">
      <c r="A156" s="503" t="s">
        <v>482</v>
      </c>
      <c r="B156" s="591" t="s">
        <v>979</v>
      </c>
      <c r="C156" s="461" t="s">
        <v>979</v>
      </c>
      <c r="D156" s="606"/>
      <c r="F156" s="606"/>
    </row>
    <row r="157" spans="1:6" s="1" customFormat="1" ht="11.25" customHeight="1">
      <c r="A157" s="503" t="s">
        <v>483</v>
      </c>
      <c r="B157" s="591" t="s">
        <v>979</v>
      </c>
      <c r="C157" s="461" t="s">
        <v>979</v>
      </c>
      <c r="D157" s="606"/>
      <c r="F157" s="606"/>
    </row>
    <row r="158" spans="1:6" s="1" customFormat="1" ht="11.25" customHeight="1">
      <c r="A158" s="503" t="s">
        <v>484</v>
      </c>
      <c r="B158" s="591" t="s">
        <v>979</v>
      </c>
      <c r="C158" s="461" t="s">
        <v>979</v>
      </c>
      <c r="D158" s="606"/>
      <c r="F158" s="606"/>
    </row>
    <row r="159" spans="1:6" s="1" customFormat="1" ht="22.5" customHeight="1">
      <c r="A159" s="465" t="s">
        <v>615</v>
      </c>
      <c r="B159" s="502" t="s">
        <v>367</v>
      </c>
      <c r="C159" s="461" t="s">
        <v>367</v>
      </c>
      <c r="D159" s="606"/>
      <c r="F159" s="606"/>
    </row>
    <row r="160" spans="1:6" s="1" customFormat="1" ht="11.25" customHeight="1" thickBot="1">
      <c r="A160" s="466" t="s">
        <v>616</v>
      </c>
      <c r="B160" s="509" t="s">
        <v>367</v>
      </c>
      <c r="C160" s="469" t="s">
        <v>367</v>
      </c>
      <c r="D160" s="606"/>
      <c r="F160" s="606"/>
    </row>
    <row r="161" spans="1:6" s="1" customFormat="1" ht="11.25" customHeight="1" thickTop="1">
      <c r="A161" s="474"/>
      <c r="B161" s="475"/>
      <c r="C161" s="476"/>
      <c r="D161" s="606"/>
      <c r="F161" s="606"/>
    </row>
    <row r="162" spans="1:6" s="1" customFormat="1" ht="25.5" customHeight="1" thickBot="1">
      <c r="A162" s="1394" t="s">
        <v>1058</v>
      </c>
      <c r="B162" s="1384"/>
      <c r="C162" s="1385"/>
      <c r="D162" s="606"/>
      <c r="F162" s="606"/>
    </row>
    <row r="163" spans="1:6" ht="13.15" thickTop="1"/>
  </sheetData>
  <sheetProtection algorithmName="SHA-512" hashValue="wqbAMyajL54z8x9WLyH2GXSg+pycNqfn/A7xFsOHaWipYN+f7CDt8GCZ8ppm7J5bcxeCri1dFDOB0HYSbL+giA==" saltValue="UkeWYi1kj9Vxlh1nPHuF7A==" spinCount="100000" sheet="1" objects="1" scenarios="1"/>
  <mergeCells count="1">
    <mergeCell ref="A162:C162"/>
  </mergeCells>
  <phoneticPr fontId="18" type="noConversion"/>
  <printOptions horizontalCentered="1"/>
  <pageMargins left="0.75" right="0.75" top="0.53" bottom="1" header="0.5" footer="0.5"/>
  <pageSetup fitToHeight="4" orientation="portrait" horizontalDpi="4294967293" r:id="rId1"/>
  <headerFooter alignWithMargins="0">
    <oddFooter>&amp;LHawai'i DOH
Spring 2024&amp;CPage &amp;P of &amp;N&amp;R&amp;A</oddFooter>
  </headerFooter>
  <rowBreaks count="1" manualBreakCount="1">
    <brk id="15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5"/>
    <pageSetUpPr fitToPage="1"/>
  </sheetPr>
  <dimension ref="B1:T55"/>
  <sheetViews>
    <sheetView showGridLines="0" showRowColHeaders="0" workbookViewId="0">
      <selection activeCell="B5" sqref="B5:F5"/>
    </sheetView>
  </sheetViews>
  <sheetFormatPr defaultColWidth="9.1328125" defaultRowHeight="12.75"/>
  <cols>
    <col min="1" max="1" width="2.1328125" style="83" customWidth="1"/>
    <col min="2" max="2" width="32.86328125" style="83" customWidth="1"/>
    <col min="3" max="3" width="7.3984375" style="96" customWidth="1"/>
    <col min="4" max="4" width="5.3984375" style="96" customWidth="1"/>
    <col min="5" max="5" width="12.265625" style="96" customWidth="1"/>
    <col min="6" max="6" width="18" style="96" customWidth="1"/>
    <col min="7" max="16384" width="9.1328125" style="83"/>
  </cols>
  <sheetData>
    <row r="1" spans="2:20" s="24" customFormat="1" ht="47.25" customHeight="1">
      <c r="B1" s="156" t="s">
        <v>1751</v>
      </c>
      <c r="C1" s="94"/>
      <c r="D1" s="94"/>
      <c r="E1" s="94"/>
      <c r="F1" s="94"/>
      <c r="G1" s="115"/>
      <c r="H1" s="115"/>
      <c r="I1" s="115"/>
      <c r="J1" s="26"/>
      <c r="K1" s="26"/>
      <c r="L1" s="26"/>
      <c r="M1" s="26"/>
      <c r="P1" s="27"/>
      <c r="Q1" s="28"/>
      <c r="R1" s="29"/>
      <c r="S1" s="29"/>
      <c r="T1" s="29"/>
    </row>
    <row r="2" spans="2:20" s="24" customFormat="1" ht="6.75" customHeight="1">
      <c r="B2" s="93"/>
      <c r="C2" s="82"/>
      <c r="D2" s="82"/>
      <c r="E2" s="82"/>
      <c r="F2" s="82"/>
      <c r="H2" s="26"/>
      <c r="I2" s="26"/>
      <c r="J2" s="26"/>
      <c r="K2" s="26"/>
      <c r="L2" s="26"/>
      <c r="M2" s="26"/>
      <c r="P2" s="27"/>
      <c r="Q2" s="28"/>
      <c r="R2" s="29"/>
      <c r="S2" s="29"/>
      <c r="T2" s="29"/>
    </row>
    <row r="3" spans="2:20" ht="19.5" customHeight="1">
      <c r="B3" s="94" t="s">
        <v>569</v>
      </c>
      <c r="C3" s="95"/>
      <c r="D3" s="95"/>
      <c r="E3" s="95"/>
      <c r="F3" s="95"/>
    </row>
    <row r="4" spans="2:20" ht="5.25" customHeight="1"/>
    <row r="5" spans="2:20" s="24" customFormat="1" ht="21.75" customHeight="1">
      <c r="B5" s="1343" t="str">
        <f>'2. EAL Surfer - Tier 1 EALs'!H3</f>
        <v>DIBROMO,1,2- CHLOROPROPANE,3-</v>
      </c>
      <c r="C5" s="1344"/>
      <c r="D5" s="1344"/>
      <c r="E5" s="1344"/>
      <c r="F5" s="1344"/>
      <c r="G5" s="26"/>
      <c r="H5" s="26"/>
      <c r="I5" s="26"/>
      <c r="J5" s="26"/>
      <c r="K5" s="26"/>
      <c r="L5" s="26"/>
      <c r="M5" s="26"/>
      <c r="P5" s="27"/>
      <c r="Q5" s="28"/>
      <c r="R5" s="29"/>
      <c r="S5" s="29"/>
      <c r="T5" s="29"/>
    </row>
    <row r="6" spans="2:20" ht="7.5" customHeight="1"/>
    <row r="7" spans="2:20" ht="30" customHeight="1">
      <c r="B7" s="97" t="s">
        <v>1024</v>
      </c>
      <c r="C7" s="1342" t="s">
        <v>888</v>
      </c>
      <c r="D7" s="1342"/>
      <c r="E7" s="98" t="s">
        <v>307</v>
      </c>
      <c r="F7" s="99" t="s">
        <v>570</v>
      </c>
    </row>
    <row r="8" spans="2:20" ht="14.25">
      <c r="B8" s="100" t="s">
        <v>571</v>
      </c>
      <c r="C8" s="1338" t="str">
        <f>IF(VLOOKUP('2. EAL Surfer - Tier 1 EALs'!H3,'Table H (Constants)'!A10:R163,14,FALSE)=0,"-",VLOOKUP('2. EAL Surfer - Tier 1 EALs'!H3,'Table H (Constants)'!A10:R163,15,FALSE))</f>
        <v>-</v>
      </c>
      <c r="D8" s="1338"/>
      <c r="E8" s="96" t="s">
        <v>438</v>
      </c>
      <c r="F8" s="89" t="s">
        <v>43</v>
      </c>
    </row>
    <row r="9" spans="2:20" ht="14.25">
      <c r="B9" s="100" t="s">
        <v>203</v>
      </c>
      <c r="C9" s="1338">
        <f>IF(VLOOKUP('2. EAL Surfer - Tier 1 EALs'!H3,'Table H (Constants)'!A10:R163,15,FALSE)=0,"-",VLOOKUP('2. EAL Surfer - Tier 1 EALs'!H3,'Table H (Constants)'!A10:R163,16,FALSE))</f>
        <v>2.2146074145907599</v>
      </c>
      <c r="D9" s="1338"/>
      <c r="E9" s="96" t="s">
        <v>204</v>
      </c>
      <c r="F9" s="89" t="s">
        <v>43</v>
      </c>
    </row>
    <row r="10" spans="2:20">
      <c r="B10" s="100" t="s">
        <v>59</v>
      </c>
      <c r="C10" s="1338">
        <f>IF(VLOOKUP('2. EAL Surfer - Tier 1 EALs'!H3,'Table H (Constants)'!A10:R163,16,FALSE)=0,"-",VLOOKUP('2. EAL Surfer - Tier 1 EALs'!H3,'Table H (Constants)'!A10:R163,17,FALSE))</f>
        <v>5.3150577950178297</v>
      </c>
      <c r="D10" s="1338"/>
      <c r="E10" s="96" t="s">
        <v>60</v>
      </c>
      <c r="F10" s="89" t="s">
        <v>43</v>
      </c>
    </row>
    <row r="11" spans="2:20" ht="14.25">
      <c r="B11" s="100" t="s">
        <v>61</v>
      </c>
      <c r="C11" s="1338">
        <f>IF(VLOOKUP('2. EAL Surfer - Tier 1 EALs'!H3,'Table H (Constants)'!A10:R163,17,FALSE)=0,"-",VLOOKUP('2. EAL Surfer - Tier 1 EALs'!H3,'Table H (Constants)'!A10:R163,18,FALSE))</f>
        <v>6.8500000000000002E-3</v>
      </c>
      <c r="D11" s="1338"/>
      <c r="E11" s="96" t="s">
        <v>205</v>
      </c>
      <c r="F11" s="89" t="s">
        <v>43</v>
      </c>
    </row>
    <row r="12" spans="2:20">
      <c r="B12" s="100" t="s">
        <v>38</v>
      </c>
      <c r="C12" s="1339">
        <f>IF(VLOOKUP('2. EAL Surfer - Tier 1 EALs'!H3,'Table H (Constants)'!A10:R163,12,FALSE)=0,"-",VLOOKUP('2. EAL Surfer - Tier 1 EALs'!H3,'Table H (Constants)'!A10:R163,13,FALSE))</f>
        <v>1</v>
      </c>
      <c r="D12" s="1339"/>
      <c r="E12" s="96" t="s">
        <v>789</v>
      </c>
      <c r="F12" s="89" t="s">
        <v>43</v>
      </c>
    </row>
    <row r="13" spans="2:20">
      <c r="B13" s="100" t="s">
        <v>62</v>
      </c>
      <c r="C13" s="1339">
        <f>IF(VLOOKUP('2. EAL Surfer - Tier 1 EALs'!H3,'Table H (Constants)'!A10:R163,13,FALSE)=0,"-",VLOOKUP('2. EAL Surfer - Tier 1 EALs'!H3,'Table H (Constants)'!A10:R163,14,FALSE))</f>
        <v>0</v>
      </c>
      <c r="D13" s="1339"/>
      <c r="E13" s="96" t="s">
        <v>789</v>
      </c>
      <c r="F13" s="89" t="s">
        <v>43</v>
      </c>
    </row>
    <row r="14" spans="2:20">
      <c r="B14" s="100" t="s">
        <v>63</v>
      </c>
      <c r="C14" s="1340">
        <f>IF(AND(C8="-",C9="-"),"-",IF('2. EAL Surfer - Tier 1 EALs'!D5='2. EAL Surfer - Tier 1 EALs'!O13,VLOOKUP('2. EAL Surfer - Tier 1 EALs'!H3,'2. EAL Surfer - Tier 1 EALs'!O33:S186,2,FALSE),VLOOKUP('2. EAL Surfer - Tier 1 EALs'!H3,'2. EAL Surfer - Tier 1 EALs'!O33:S186,3,FALSE)))</f>
        <v>9.9999999999999995E-7</v>
      </c>
      <c r="D14" s="1340"/>
      <c r="E14" s="96" t="s">
        <v>789</v>
      </c>
      <c r="F14" s="89" t="str">
        <f>IF('2. EAL Surfer - Tier 1 EALs'!D5='2. EAL Surfer - Tier 1 EALs'!O13,"Table I-1","Table I-2")</f>
        <v>Table I-1</v>
      </c>
    </row>
    <row r="15" spans="2:20">
      <c r="B15" s="101" t="s">
        <v>64</v>
      </c>
      <c r="C15" s="1341">
        <f>IF(AND(C10="-",C11="-"),"-",VLOOKUP('2. EAL Surfer - Tier 1 EALs'!H3,'2. EAL Surfer - Tier 1 EALs'!O33:S186,5,FALSE))</f>
        <v>0.2</v>
      </c>
      <c r="D15" s="1341"/>
      <c r="E15" s="102" t="s">
        <v>789</v>
      </c>
      <c r="F15" s="90" t="str">
        <f>IF('2. EAL Surfer - Tier 1 EALs'!D5='2. EAL Surfer - Tier 1 EALs'!O13,"Table I-1","Table I-2")</f>
        <v>Table I-1</v>
      </c>
    </row>
    <row r="16" spans="2:20" ht="9" customHeight="1"/>
    <row r="17" spans="2:6" ht="28.5" customHeight="1">
      <c r="B17" s="97" t="s">
        <v>787</v>
      </c>
      <c r="C17" s="1342" t="s">
        <v>888</v>
      </c>
      <c r="D17" s="1342"/>
      <c r="E17" s="98" t="s">
        <v>307</v>
      </c>
      <c r="F17" s="99" t="s">
        <v>570</v>
      </c>
    </row>
    <row r="18" spans="2:6">
      <c r="B18" s="100" t="s">
        <v>65</v>
      </c>
      <c r="C18" s="1339">
        <f>IF(VLOOKUP('2. EAL Surfer - Tier 1 EALs'!H3,'Table D-4a (Aquatic Goals Sum)'!A5:G158,4,FALSE)="","-",VLOOKUP('2. EAL Surfer - Tier 1 EALs'!H3,'Table D-4a (Aquatic Goals Sum)'!A5:G158,4,FALSE))</f>
        <v>0.04</v>
      </c>
      <c r="D18" s="1339"/>
      <c r="E18" s="96" t="s">
        <v>314</v>
      </c>
      <c r="F18" s="89" t="s">
        <v>403</v>
      </c>
    </row>
    <row r="19" spans="2:6">
      <c r="B19" s="100" t="s">
        <v>66</v>
      </c>
      <c r="C19" s="1339">
        <f>IF(VLOOKUP('2. EAL Surfer - Tier 1 EALs'!H3,'Table D-4a (Aquatic Goals Sum)'!A5:G158,6,FALSE)="","-",VLOOKUP('2. EAL Surfer - Tier 1 EALs'!H3,'Table D-4a (Aquatic Goals Sum)'!A5:G158,6,FALSE))</f>
        <v>0.04</v>
      </c>
      <c r="D19" s="1339"/>
      <c r="E19" s="96" t="s">
        <v>314</v>
      </c>
      <c r="F19" s="89" t="s">
        <v>403</v>
      </c>
    </row>
    <row r="20" spans="2:6">
      <c r="B20" s="100" t="s">
        <v>821</v>
      </c>
      <c r="C20" s="1339">
        <f>IF(VLOOKUP('2. EAL Surfer - Tier 1 EALs'!H3,'Table D-4a (Aquatic Goals Sum)'!A5:G158,2,FALSE)="","-",VLOOKUP('2. EAL Surfer - Tier 1 EALs'!H3,'Table D-4a (Aquatic Goals Sum)'!A5:G158,2,FALSE))</f>
        <v>0.04</v>
      </c>
      <c r="D20" s="1339"/>
      <c r="E20" s="96" t="s">
        <v>314</v>
      </c>
      <c r="F20" s="89" t="s">
        <v>403</v>
      </c>
    </row>
    <row r="21" spans="2:6">
      <c r="B21" s="100" t="s">
        <v>250</v>
      </c>
      <c r="C21" s="1339">
        <f>IF(VLOOKUP('2. EAL Surfer - Tier 1 EALs'!H3,'Table D-4a (Aquatic Goals Sum)'!A5:G158,5,FALSE)="","-",VLOOKUP('2. EAL Surfer - Tier 1 EALs'!H3,'Table D-4a (Aquatic Goals Sum)'!A5:G158,5,FALSE))</f>
        <v>0.04</v>
      </c>
      <c r="D21" s="1339"/>
      <c r="E21" s="96" t="s">
        <v>314</v>
      </c>
      <c r="F21" s="89" t="s">
        <v>403</v>
      </c>
    </row>
    <row r="22" spans="2:6">
      <c r="B22" s="100" t="s">
        <v>251</v>
      </c>
      <c r="C22" s="1339">
        <f>IF(VLOOKUP('2. EAL Surfer - Tier 1 EALs'!H3,'Table D-4a (Aquatic Goals Sum)'!A5:G158,7,FALSE)="","-",VLOOKUP('2. EAL Surfer - Tier 1 EALs'!H3,'Table D-4a (Aquatic Goals Sum)'!A5:G158,7,FALSE))</f>
        <v>0.04</v>
      </c>
      <c r="D22" s="1339"/>
      <c r="E22" s="96" t="s">
        <v>314</v>
      </c>
      <c r="F22" s="89" t="s">
        <v>403</v>
      </c>
    </row>
    <row r="23" spans="2:6">
      <c r="B23" s="100" t="s">
        <v>252</v>
      </c>
      <c r="C23" s="1339">
        <f>IF(VLOOKUP('2. EAL Surfer - Tier 1 EALs'!H3,'Table D-4a (Aquatic Goals Sum)'!A5:G158,3,FALSE)="","-",VLOOKUP('2. EAL Surfer - Tier 1 EALs'!H3,'Table D-4a (Aquatic Goals Sum)'!A5:G158,3,FALSE))</f>
        <v>0.04</v>
      </c>
      <c r="D23" s="1339"/>
      <c r="E23" s="96" t="s">
        <v>314</v>
      </c>
      <c r="F23" s="89" t="s">
        <v>403</v>
      </c>
    </row>
    <row r="24" spans="2:6">
      <c r="B24" s="101" t="s">
        <v>788</v>
      </c>
      <c r="C24" s="1345" t="e">
        <f>IF(VLOOKUP('2. EAL Surfer - Tier 1 EALs'!H3,'Table D-4f (Aquatic Bioacc.)'!A5:B158,2,FALSE)="","-",VLOOKUP('2. EAL Surfer - Tier 1 EALs'!H3,'Table D-4f (Aquatic Bioacc.)'!A5:B158,2,FALSE))</f>
        <v>#N/A</v>
      </c>
      <c r="D24" s="1345"/>
      <c r="E24" s="102" t="s">
        <v>314</v>
      </c>
      <c r="F24" s="90" t="s">
        <v>44</v>
      </c>
    </row>
    <row r="25" spans="2:6">
      <c r="B25" s="155" t="s">
        <v>253</v>
      </c>
    </row>
    <row r="26" spans="2:6" ht="7.5" customHeight="1">
      <c r="B26" s="155"/>
    </row>
    <row r="27" spans="2:6" ht="27" customHeight="1">
      <c r="B27" s="97" t="s">
        <v>822</v>
      </c>
      <c r="C27" s="1342" t="s">
        <v>888</v>
      </c>
      <c r="D27" s="1342"/>
      <c r="E27" s="98" t="s">
        <v>307</v>
      </c>
      <c r="F27" s="99" t="s">
        <v>570</v>
      </c>
    </row>
    <row r="28" spans="2:6">
      <c r="B28" s="100" t="s">
        <v>823</v>
      </c>
      <c r="C28" s="1339">
        <f>VLOOKUP('2. EAL Surfer - Tier 1 EALs'!H3,'Table H (Constants)'!A10:R163,4,FALSE)</f>
        <v>236</v>
      </c>
      <c r="D28" s="1339"/>
      <c r="F28" s="89" t="s">
        <v>43</v>
      </c>
    </row>
    <row r="29" spans="2:6">
      <c r="B29" s="100" t="s">
        <v>824</v>
      </c>
      <c r="C29" s="27" t="str">
        <f>IF((VLOOKUP('2. EAL Surfer - Tier 1 EALs'!H3,'Table H (Constants)'!A10:R163,2,FALSE))="V","volatile","nonvolatile")</f>
        <v>volatile</v>
      </c>
      <c r="D29" s="27" t="str">
        <f>IF((VLOOKUP('2. EAL Surfer - Tier 1 EALs'!H3,'Table H (Constants)'!A10:R163,3,FALSE))="S","solid",IF((VLOOKUP('2. EAL Surfer - Tier 1 EALs'!H3,'Table H (Constants)'!A10:R163,3,FALSE))="L","liquid","gas"))</f>
        <v>liquid</v>
      </c>
      <c r="F29" s="89" t="s">
        <v>43</v>
      </c>
    </row>
    <row r="30" spans="2:6" ht="14.25">
      <c r="B30" s="100" t="s">
        <v>825</v>
      </c>
      <c r="C30" s="1338">
        <f>IF((VLOOKUP('2. EAL Surfer - Tier 1 EALs'!H3,'Table H (Constants)'!A10:R163,6,FALSE))=0,"-",(VLOOKUP('2. EAL Surfer - Tier 1 EALs'!H3,'Table H (Constants)'!A10:R163,6,FALSE)))</f>
        <v>115.8</v>
      </c>
      <c r="D30" s="1338"/>
      <c r="E30" s="103" t="s">
        <v>439</v>
      </c>
      <c r="F30" s="89" t="s">
        <v>43</v>
      </c>
    </row>
    <row r="31" spans="2:6" ht="14.25">
      <c r="B31" s="100" t="s">
        <v>826</v>
      </c>
      <c r="C31" s="1338">
        <f>IF((VLOOKUP('2. EAL Surfer - Tier 1 EALs'!H3,'Table H (Constants)'!A10:R163,7,FALSE))=0,"-",(VLOOKUP('2. EAL Surfer - Tier 1 EALs'!H3,'Table H (Constants)'!A10:R163,7,FALSE)))</f>
        <v>3.2000000000000001E-2</v>
      </c>
      <c r="D31" s="1338"/>
      <c r="E31" s="103" t="s">
        <v>440</v>
      </c>
      <c r="F31" s="89" t="s">
        <v>43</v>
      </c>
    </row>
    <row r="32" spans="2:6" ht="14.25">
      <c r="B32" s="100" t="s">
        <v>827</v>
      </c>
      <c r="C32" s="1338">
        <f>IF((VLOOKUP('2. EAL Surfer - Tier 1 EALs'!H3,'Table H (Constants)'!A10:R163,8,FALSE))=0,"-",(VLOOKUP('2. EAL Surfer - Tier 1 EALs'!H3,'Table H (Constants)'!A10:R163,8,FALSE)))</f>
        <v>8.8999999999999995E-6</v>
      </c>
      <c r="D32" s="1338"/>
      <c r="E32" s="103" t="s">
        <v>440</v>
      </c>
      <c r="F32" s="89" t="s">
        <v>43</v>
      </c>
    </row>
    <row r="33" spans="2:6">
      <c r="B33" s="100" t="s">
        <v>828</v>
      </c>
      <c r="C33" s="1338">
        <f>IF((VLOOKUP('2. EAL Surfer - Tier 1 EALs'!H3,'Table H (Constants)'!A10:R163,9,FALSE))=0,"-",(VLOOKUP('2. EAL Surfer - Tier 1 EALs'!H3,'Table H (Constants)'!A10:R163,9,FALSE)))</f>
        <v>1230</v>
      </c>
      <c r="D33" s="1338"/>
      <c r="E33" s="104" t="s">
        <v>829</v>
      </c>
      <c r="F33" s="89" t="s">
        <v>43</v>
      </c>
    </row>
    <row r="34" spans="2:6" ht="14.25">
      <c r="B34" s="100" t="s">
        <v>830</v>
      </c>
      <c r="C34" s="1338">
        <f>IF((VLOOKUP('2. EAL Surfer - Tier 1 EALs'!H3,'Table H (Constants)'!A10:R163,10,FALSE))=0,"-",(VLOOKUP('2. EAL Surfer - Tier 1 EALs'!H3,'Table H (Constants)'!A10:R163,11,FALSE)))</f>
        <v>1.4999999999999999E-4</v>
      </c>
      <c r="D34" s="1338"/>
      <c r="E34" s="103" t="s">
        <v>441</v>
      </c>
      <c r="F34" s="89" t="s">
        <v>43</v>
      </c>
    </row>
    <row r="35" spans="2:6">
      <c r="B35" s="101" t="s">
        <v>830</v>
      </c>
      <c r="C35" s="1346">
        <f>IF((VLOOKUP('2. EAL Surfer - Tier 1 EALs'!H3,'Table H (Constants)'!A10:R163,11,FALSE))=0,"-",(VLOOKUP('2. EAL Surfer - Tier 1 EALs'!H3,'Table H (Constants)'!A10:R163,12,FALSE)))</f>
        <v>6.0000000000000001E-3</v>
      </c>
      <c r="D35" s="1346"/>
      <c r="E35" s="105" t="s">
        <v>789</v>
      </c>
      <c r="F35" s="90" t="s">
        <v>43</v>
      </c>
    </row>
    <row r="36" spans="2:6" ht="6.75" customHeight="1"/>
    <row r="37" spans="2:6" ht="38.25" customHeight="1">
      <c r="B37" s="97" t="s">
        <v>23</v>
      </c>
      <c r="C37" s="1347" t="s">
        <v>24</v>
      </c>
      <c r="D37" s="1348"/>
      <c r="E37" s="118" t="s">
        <v>954</v>
      </c>
      <c r="F37" s="112"/>
    </row>
    <row r="38" spans="2:6" ht="13.15">
      <c r="B38" s="106" t="s">
        <v>529</v>
      </c>
      <c r="C38" s="1339" t="e">
        <f>IF(OR((VLOOKUP(B5,'Table J (Target Health Effects)'!A5:Q156,2,FALSE))=0,(VLOOKUP(B5,'Table J (Target Health Effects)'!A5:Q156,2,FALSE))="NA",(VLOOKUP(B5,'Table J (Target Health Effects)'!A5:Q156,2,FALSE))="",(VLOOKUP(B5,'Table J (Target Health Effects)'!A5:Q156,2,FALSE))="D",(VLOOKUP(B5,'Table J (Target Health Effects)'!A5:Q156,2,FALSE))="E"),"","X")</f>
        <v>#N/A</v>
      </c>
      <c r="D38" s="1349"/>
      <c r="E38" s="118"/>
      <c r="F38" s="112"/>
    </row>
    <row r="39" spans="2:6">
      <c r="B39" s="100" t="s">
        <v>45</v>
      </c>
      <c r="C39" s="1339" t="e">
        <f>IF(OR((VLOOKUP(B5,'Table J (Target Health Effects)'!A5:Q156,3,FALSE))=0,(VLOOKUP(B5,'Table J (Target Health Effects)'!A5:Q156,3,FALSE))="NA",(VLOOKUP(B5,'Table J (Target Health Effects)'!A5:Q156,3,FALSE))="",(VLOOKUP(B5,'Table J (Target Health Effects)'!A5:Q156,3,FALSE))="D",(VLOOKUP(B5,'Table J (Target Health Effects)'!A5:Q156,3,FALSE))="E"),"","X")</f>
        <v>#N/A</v>
      </c>
      <c r="D39" s="1349"/>
      <c r="E39" s="119"/>
      <c r="F39" s="112"/>
    </row>
    <row r="40" spans="2:6">
      <c r="B40" s="106" t="s">
        <v>530</v>
      </c>
      <c r="C40" s="1339" t="e">
        <f>IF(OR((VLOOKUP(B5,'Table J (Target Health Effects)'!A5:Q156,4,FALSE))=0,(VLOOKUP(B5,'Table J (Target Health Effects)'!A5:Q156,4,FALSE))="NA",(VLOOKUP(B5,'Table J (Target Health Effects)'!A5:Q156,4,FALSE))="",(VLOOKUP(B5,'Table J (Target Health Effects)'!A5:Q156,4,FALSE))="D",(VLOOKUP(B5,'Table J (Target Health Effects)'!A5:Q156,4,FALSE))="E"),"","X")</f>
        <v>#N/A</v>
      </c>
      <c r="D40" s="1349"/>
      <c r="E40" s="107"/>
    </row>
    <row r="41" spans="2:6">
      <c r="B41" s="106" t="s">
        <v>443</v>
      </c>
      <c r="C41" s="1339" t="e">
        <f>IF(OR((VLOOKUP(B5,'Table J (Target Health Effects)'!A5:Q156,5,FALSE))=0,(VLOOKUP(B5,'Table J (Target Health Effects)'!A5:Q156,5,FALSE))="NA",(VLOOKUP(B5,'Table J (Target Health Effects)'!A5:Q156,5,FALSE))="",(VLOOKUP(B5,'Table J (Target Health Effects)'!A5:Q156,5,FALSE))="D",(VLOOKUP(B5,'Table J (Target Health Effects)'!A5:Q156,5,FALSE))="E"),"","X")</f>
        <v>#N/A</v>
      </c>
      <c r="D41" s="1349"/>
      <c r="E41" s="107"/>
    </row>
    <row r="42" spans="2:6">
      <c r="B42" s="106" t="s">
        <v>444</v>
      </c>
      <c r="C42" s="1339" t="e">
        <f>IF(OR((VLOOKUP(B5,'Table J (Target Health Effects)'!A5:Q156,6,FALSE))=0,(VLOOKUP(B5,'Table J (Target Health Effects)'!A5:Q156,6,FALSE))="NA",(VLOOKUP(B5,'Table J (Target Health Effects)'!A5:Q156,6,FALSE))="",(VLOOKUP(B5,'Table J (Target Health Effects)'!A5:Q156,6,FALSE))="D",(VLOOKUP(B5,'Table J (Target Health Effects)'!A5:Q156,6,FALSE))="E"),"","X")</f>
        <v>#N/A</v>
      </c>
      <c r="D42" s="1349"/>
      <c r="E42" s="107"/>
    </row>
    <row r="43" spans="2:6">
      <c r="B43" s="106" t="s">
        <v>445</v>
      </c>
      <c r="C43" s="1339" t="e">
        <f>IF(OR((VLOOKUP(B5,'Table J (Target Health Effects)'!A5:Q156,7,FALSE))=0,(VLOOKUP(B5,'Table J (Target Health Effects)'!A5:Q156,7,FALSE))="NA",(VLOOKUP(B5,'Table J (Target Health Effects)'!A5:Q156,7,FALSE))="",(VLOOKUP(B5,'Table J (Target Health Effects)'!A5:Q156,7,FALSE))="D",(VLOOKUP(B5,'Table J (Target Health Effects)'!A5:Q156,7,FALSE))="E"),"","X")</f>
        <v>#N/A</v>
      </c>
      <c r="D43" s="1349"/>
      <c r="E43" s="107"/>
    </row>
    <row r="44" spans="2:6">
      <c r="B44" s="106" t="s">
        <v>446</v>
      </c>
      <c r="C44" s="1339" t="e">
        <f>IF(OR((VLOOKUP(B5,'Table J (Target Health Effects)'!A5:Q156,8,FALSE))=0,(VLOOKUP(B5,'Table J (Target Health Effects)'!A5:Q156,8,FALSE))="NA",(VLOOKUP(B5,'Table J (Target Health Effects)'!A5:Q156,8,FALSE))="",(VLOOKUP(B5,'Table J (Target Health Effects)'!A5:Q156,8,FALSE))="D",(VLOOKUP(B5,'Table J (Target Health Effects)'!A5:Q156,8,FALSE))="E"),"","X")</f>
        <v>#N/A</v>
      </c>
      <c r="D44" s="1349"/>
      <c r="E44" s="107"/>
    </row>
    <row r="45" spans="2:6">
      <c r="B45" s="106" t="s">
        <v>447</v>
      </c>
      <c r="C45" s="1339" t="e">
        <f>IF(OR((VLOOKUP(B5,'Table J (Target Health Effects)'!A5:Q156,9,FALSE))=0,(VLOOKUP(B5,'Table J (Target Health Effects)'!A5:Q156,9,FALSE))="NA",(VLOOKUP(B5,'Table J (Target Health Effects)'!A5:Q156,9,FALSE))="",(VLOOKUP(B5,'Table J (Target Health Effects)'!A5:Q156,9,FALSE))="D",(VLOOKUP(B5,'Table J (Target Health Effects)'!A5:Q156,9,FALSE))="E"),"","X")</f>
        <v>#N/A</v>
      </c>
      <c r="D45" s="1349"/>
      <c r="E45" s="107"/>
    </row>
    <row r="46" spans="2:6">
      <c r="B46" s="106" t="s">
        <v>448</v>
      </c>
      <c r="C46" s="1339" t="e">
        <f>IF(OR((VLOOKUP(B5,'Table J (Target Health Effects)'!A5:Q156,10,FALSE))=0,(VLOOKUP(B5,'Table J (Target Health Effects)'!A5:Q156,10,FALSE))="NA",(VLOOKUP(B5,'Table J (Target Health Effects)'!A5:Q156,10,FALSE))="",(VLOOKUP(B5,'Table J (Target Health Effects)'!A5:Q156,10,FALSE))="D",(VLOOKUP(B5,'Table J (Target Health Effects)'!A5:Q156,10,FALSE))="E"),"","X")</f>
        <v>#N/A</v>
      </c>
      <c r="D46" s="1349"/>
      <c r="E46" s="107"/>
    </row>
    <row r="47" spans="2:6">
      <c r="B47" s="106" t="s">
        <v>449</v>
      </c>
      <c r="C47" s="1339" t="e">
        <f>IF(OR((VLOOKUP(B5,'Table J (Target Health Effects)'!A5:Q156,11,FALSE))=0,(VLOOKUP(B5,'Table J (Target Health Effects)'!A5:Q156,11,FALSE))="NA",(VLOOKUP(B5,'Table J (Target Health Effects)'!A5:Q156,11,FALSE))="",(VLOOKUP(B5,'Table J (Target Health Effects)'!A5:Q156,11,FALSE))="D",(VLOOKUP(B5,'Table J (Target Health Effects)'!A5:Q156,11,FALSE))="E"),"","X")</f>
        <v>#N/A</v>
      </c>
      <c r="D47" s="1349"/>
      <c r="E47" s="107"/>
    </row>
    <row r="48" spans="2:6">
      <c r="B48" s="108" t="s">
        <v>450</v>
      </c>
      <c r="C48" s="1339" t="e">
        <f>IF(OR((VLOOKUP(B5,'Table J (Target Health Effects)'!A5:Q156,12,FALSE))=0,(VLOOKUP(B5,'Table J (Target Health Effects)'!A5:Q156,12,FALSE))="NA",(VLOOKUP(B5,'Table J (Target Health Effects)'!A5:Q156,12,FALSE))="",(VLOOKUP(B5,'Table J (Target Health Effects)'!A5:Q156,12,FALSE))="D",(VLOOKUP(B5,'Table J (Target Health Effects)'!A5:Q156,12,FALSE))="E"),"","X")</f>
        <v>#N/A</v>
      </c>
      <c r="D48" s="1349"/>
      <c r="E48" s="107"/>
    </row>
    <row r="49" spans="2:9">
      <c r="B49" s="109" t="s">
        <v>451</v>
      </c>
      <c r="C49" s="1339" t="e">
        <f>IF(OR((VLOOKUP(B5,'Table J (Target Health Effects)'!A5:Q156,13,FALSE))=0,(VLOOKUP(B5,'Table J (Target Health Effects)'!A5:Q156,13,FALSE))="NA",(VLOOKUP(B5,'Table J (Target Health Effects)'!A5:Q156,13,FALSE))="",(VLOOKUP(B5,'Table J (Target Health Effects)'!A5:Q156,13,FALSE))="D",(VLOOKUP(B5,'Table J (Target Health Effects)'!A5:Q156,13,FALSE))="E"),"","X")</f>
        <v>#N/A</v>
      </c>
      <c r="D49" s="1349"/>
      <c r="E49" s="107"/>
    </row>
    <row r="50" spans="2:9">
      <c r="B50" s="109" t="s">
        <v>452</v>
      </c>
      <c r="C50" s="1339" t="e">
        <f>IF(OR((VLOOKUP(B5,'Table J (Target Health Effects)'!A5:Q156,14,FALSE))=0,(VLOOKUP(B5,'Table J (Target Health Effects)'!A5:Q156,14,FALSE))="NA",(VLOOKUP(B5,'Table J (Target Health Effects)'!A5:Q156,14,FALSE))="",(VLOOKUP(B5,'Table J (Target Health Effects)'!A5:Q156,14,FALSE))="D",(VLOOKUP(B5,'Table J (Target Health Effects)'!A5:Q156,14,FALSE))="E"),"","X")</f>
        <v>#N/A</v>
      </c>
      <c r="D50" s="1349"/>
      <c r="E50" s="107"/>
    </row>
    <row r="51" spans="2:9">
      <c r="B51" s="109" t="s">
        <v>618</v>
      </c>
      <c r="C51" s="1339" t="e">
        <f>IF(OR((VLOOKUP(B5,'Table J (Target Health Effects)'!A5:Q156,15,FALSE))=0,(VLOOKUP(B5,'Table J (Target Health Effects)'!A5:Q156,15,FALSE))="NA",(VLOOKUP(B5,'Table J (Target Health Effects)'!A5:Q156,15,FALSE))="",(VLOOKUP(B5,'Table J (Target Health Effects)'!A5:Q156,15,FALSE))="D",(VLOOKUP(B5,'Table J (Target Health Effects)'!A5:Q156,15,FALSE))="E"),"","X")</f>
        <v>#N/A</v>
      </c>
      <c r="D51" s="1349"/>
      <c r="E51" s="107"/>
    </row>
    <row r="52" spans="2:9" ht="14.25" customHeight="1">
      <c r="B52" s="110" t="s">
        <v>29</v>
      </c>
      <c r="C52" s="1339" t="e">
        <f>IF(OR((VLOOKUP(B5,'Table J (Target Health Effects)'!A5:Q156,16,FALSE))=0,(VLOOKUP(B5,'Table J (Target Health Effects)'!A5:Q156,16,FALSE))="NA",(VLOOKUP(B5,'Table J (Target Health Effects)'!A5:Q156,16,FALSE))="",(VLOOKUP(B5,'Table J (Target Health Effects)'!A5:Q156,16,FALSE))="D",(VLOOKUP(B5,'Table J (Target Health Effects)'!A5:Q156,16,FALSE))="E"),"","X")</f>
        <v>#N/A</v>
      </c>
      <c r="D52" s="1349"/>
      <c r="E52" s="107"/>
    </row>
    <row r="53" spans="2:9" ht="66" customHeight="1">
      <c r="B53" s="1350" t="s">
        <v>901</v>
      </c>
      <c r="C53" s="1351"/>
      <c r="D53" s="1352"/>
      <c r="E53" s="111"/>
      <c r="F53" s="112"/>
    </row>
    <row r="54" spans="2:9" ht="9.75" customHeight="1">
      <c r="G54" s="32"/>
      <c r="H54" s="32"/>
      <c r="I54" s="32"/>
    </row>
    <row r="55" spans="2:9" ht="63.75" customHeight="1">
      <c r="B55" s="1250" t="s">
        <v>1398</v>
      </c>
      <c r="C55" s="1229"/>
      <c r="D55" s="1229"/>
      <c r="E55" s="1229"/>
      <c r="F55" s="1229"/>
    </row>
  </sheetData>
  <sheetProtection algorithmName="SHA-512" hashValue="yNwGdtHawoCd0InX9Ohoc+TuKJPrz24vyEwEtw9tJQ8F3KLtUz4855UIRmsf6prP1TeLL82Ji8LNqWEgw/SEaQ==" saltValue="ptVQnbuMDuPPpcbhzPBzHg==" spinCount="100000" sheet="1" objects="1" scenarios="1"/>
  <mergeCells count="44">
    <mergeCell ref="C47:D47"/>
    <mergeCell ref="B55:F55"/>
    <mergeCell ref="C52:D52"/>
    <mergeCell ref="B53:D53"/>
    <mergeCell ref="C48:D48"/>
    <mergeCell ref="C49:D49"/>
    <mergeCell ref="C50:D50"/>
    <mergeCell ref="C51:D51"/>
    <mergeCell ref="C42:D42"/>
    <mergeCell ref="C43:D43"/>
    <mergeCell ref="C44:D44"/>
    <mergeCell ref="C45:D45"/>
    <mergeCell ref="C46:D46"/>
    <mergeCell ref="C37:D37"/>
    <mergeCell ref="C38:D38"/>
    <mergeCell ref="C40:D40"/>
    <mergeCell ref="C39:D39"/>
    <mergeCell ref="C41:D41"/>
    <mergeCell ref="C31:D31"/>
    <mergeCell ref="C32:D32"/>
    <mergeCell ref="C33:D33"/>
    <mergeCell ref="C34:D34"/>
    <mergeCell ref="C35:D35"/>
    <mergeCell ref="C24:D24"/>
    <mergeCell ref="C27:D27"/>
    <mergeCell ref="C28:D28"/>
    <mergeCell ref="C30:D30"/>
    <mergeCell ref="C21:D21"/>
    <mergeCell ref="C22:D22"/>
    <mergeCell ref="C23:D23"/>
    <mergeCell ref="B5:F5"/>
    <mergeCell ref="C7:D7"/>
    <mergeCell ref="C8:D8"/>
    <mergeCell ref="C9:D9"/>
    <mergeCell ref="C10:D10"/>
    <mergeCell ref="C11:D11"/>
    <mergeCell ref="C13:D13"/>
    <mergeCell ref="C19:D19"/>
    <mergeCell ref="C12:D12"/>
    <mergeCell ref="C20:D20"/>
    <mergeCell ref="C14:D14"/>
    <mergeCell ref="C15:D15"/>
    <mergeCell ref="C17:D17"/>
    <mergeCell ref="C18:D18"/>
  </mergeCells>
  <phoneticPr fontId="18" type="noConversion"/>
  <printOptions horizontalCentered="1"/>
  <pageMargins left="0.75" right="0.75" top="0.47" bottom="0.51" header="0.42" footer="0.26"/>
  <pageSetup scale="80" orientation="portrait" horizontalDpi="4294967293"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5"/>
    <pageSetUpPr fitToPage="1"/>
  </sheetPr>
  <dimension ref="B1:N22"/>
  <sheetViews>
    <sheetView showGridLines="0" showRowColHeaders="0" workbookViewId="0">
      <selection activeCell="B2" sqref="B2:M2"/>
    </sheetView>
  </sheetViews>
  <sheetFormatPr defaultRowHeight="12.75"/>
  <cols>
    <col min="1" max="1" width="2.59765625" customWidth="1"/>
    <col min="4" max="4" width="13.73046875" customWidth="1"/>
    <col min="5" max="13" width="6.73046875" customWidth="1"/>
  </cols>
  <sheetData>
    <row r="1" spans="2:14" ht="58.5" customHeight="1">
      <c r="B1" s="1369" t="s">
        <v>521</v>
      </c>
      <c r="C1" s="1370"/>
      <c r="D1" s="1370"/>
      <c r="E1" s="1370"/>
      <c r="F1" s="1370"/>
      <c r="G1" s="1370"/>
      <c r="H1" s="1370"/>
      <c r="I1" s="1370"/>
      <c r="J1" s="1370"/>
      <c r="K1" s="1181"/>
      <c r="L1" s="1181"/>
      <c r="M1" s="1181"/>
      <c r="N1" s="24"/>
    </row>
    <row r="2" spans="2:14" ht="44.25" customHeight="1">
      <c r="B2" s="1371" t="s">
        <v>1750</v>
      </c>
      <c r="C2" s="1372"/>
      <c r="D2" s="1372"/>
      <c r="E2" s="1372"/>
      <c r="F2" s="1372"/>
      <c r="G2" s="1372"/>
      <c r="H2" s="1372"/>
      <c r="I2" s="1372"/>
      <c r="J2" s="1372"/>
      <c r="K2" s="1372"/>
      <c r="L2" s="1372"/>
      <c r="M2" s="1372"/>
      <c r="N2" s="24"/>
    </row>
    <row r="3" spans="2:14" ht="14.25" thickBot="1">
      <c r="B3" s="209" t="s">
        <v>74</v>
      </c>
      <c r="C3" s="207"/>
      <c r="D3" s="207"/>
      <c r="E3" s="208"/>
      <c r="F3" s="208"/>
      <c r="G3" s="208"/>
      <c r="H3" s="208"/>
      <c r="I3" s="208"/>
      <c r="J3" s="208"/>
      <c r="K3" s="208"/>
      <c r="L3" s="208"/>
      <c r="M3" s="208"/>
    </row>
    <row r="4" spans="2:14" ht="47.25" customHeight="1" thickTop="1">
      <c r="B4" s="203"/>
      <c r="C4" s="123"/>
      <c r="D4" s="201" t="s">
        <v>309</v>
      </c>
      <c r="E4" s="1373" t="s">
        <v>1145</v>
      </c>
      <c r="F4" s="1374"/>
      <c r="G4" s="1374"/>
      <c r="H4" s="1374"/>
      <c r="I4" s="1374"/>
      <c r="J4" s="1374"/>
      <c r="K4" s="1374"/>
      <c r="L4" s="1374"/>
      <c r="M4" s="1375"/>
    </row>
    <row r="5" spans="2:14" ht="57" customHeight="1">
      <c r="B5" s="203"/>
      <c r="C5" s="123"/>
      <c r="D5" s="201" t="s">
        <v>311</v>
      </c>
      <c r="E5" s="1362" t="s">
        <v>1140</v>
      </c>
      <c r="F5" s="1363"/>
      <c r="G5" s="1363"/>
      <c r="H5" s="1363"/>
      <c r="I5" s="1363"/>
      <c r="J5" s="1363"/>
      <c r="K5" s="1363"/>
      <c r="L5" s="1363"/>
      <c r="M5" s="1364"/>
    </row>
    <row r="6" spans="2:14" ht="43.5" customHeight="1">
      <c r="B6" s="203"/>
      <c r="C6" s="123"/>
      <c r="D6" s="201" t="s">
        <v>678</v>
      </c>
      <c r="E6" s="1362" t="s">
        <v>708</v>
      </c>
      <c r="F6" s="1363"/>
      <c r="G6" s="1363"/>
      <c r="H6" s="1363"/>
      <c r="I6" s="1363"/>
      <c r="J6" s="1363"/>
      <c r="K6" s="1363"/>
      <c r="L6" s="1363"/>
      <c r="M6" s="1364"/>
    </row>
    <row r="7" spans="2:14" ht="55.5" customHeight="1">
      <c r="B7" s="203"/>
      <c r="C7" s="123"/>
      <c r="D7" s="201" t="s">
        <v>312</v>
      </c>
      <c r="E7" s="1362" t="s">
        <v>73</v>
      </c>
      <c r="F7" s="1363"/>
      <c r="G7" s="1363"/>
      <c r="H7" s="1363"/>
      <c r="I7" s="1363"/>
      <c r="J7" s="1363"/>
      <c r="K7" s="1363"/>
      <c r="L7" s="1363"/>
      <c r="M7" s="1364"/>
    </row>
    <row r="8" spans="2:14" ht="28.5" customHeight="1" thickBot="1">
      <c r="B8" s="204"/>
      <c r="C8" s="205"/>
      <c r="D8" s="206" t="s">
        <v>710</v>
      </c>
      <c r="E8" s="1359" t="s">
        <v>1146</v>
      </c>
      <c r="F8" s="1360"/>
      <c r="G8" s="1360"/>
      <c r="H8" s="1360"/>
      <c r="I8" s="1360"/>
      <c r="J8" s="1360"/>
      <c r="K8" s="1360"/>
      <c r="L8" s="1360"/>
      <c r="M8" s="1361"/>
    </row>
    <row r="9" spans="2:14" ht="13.15" thickTop="1"/>
    <row r="10" spans="2:14">
      <c r="D10" s="202"/>
    </row>
    <row r="11" spans="2:14" ht="14.25" thickBot="1">
      <c r="B11" s="215" t="s">
        <v>75</v>
      </c>
      <c r="C11" s="213"/>
      <c r="D11" s="214"/>
      <c r="E11" s="377"/>
    </row>
    <row r="12" spans="2:14" ht="69.75" customHeight="1" thickTop="1">
      <c r="B12" s="210"/>
      <c r="C12" s="211"/>
      <c r="D12" s="212" t="s">
        <v>313</v>
      </c>
      <c r="E12" s="1366" t="s">
        <v>1147</v>
      </c>
      <c r="F12" s="1367"/>
      <c r="G12" s="1367"/>
      <c r="H12" s="1367"/>
      <c r="I12" s="1367"/>
      <c r="J12" s="1367"/>
      <c r="K12" s="1367"/>
      <c r="L12" s="1367"/>
      <c r="M12" s="1368"/>
    </row>
    <row r="13" spans="2:14" ht="57" customHeight="1">
      <c r="B13" s="203"/>
      <c r="C13" s="123"/>
      <c r="D13" s="201" t="s">
        <v>311</v>
      </c>
      <c r="E13" s="1362" t="s">
        <v>1140</v>
      </c>
      <c r="F13" s="1363"/>
      <c r="G13" s="1363"/>
      <c r="H13" s="1363"/>
      <c r="I13" s="1363"/>
      <c r="J13" s="1363"/>
      <c r="K13" s="1363"/>
      <c r="L13" s="1363"/>
      <c r="M13" s="1364"/>
    </row>
    <row r="14" spans="2:14" ht="56.25" customHeight="1">
      <c r="B14" s="203"/>
      <c r="C14" s="123"/>
      <c r="D14" s="201" t="s">
        <v>503</v>
      </c>
      <c r="E14" s="1362" t="s">
        <v>9</v>
      </c>
      <c r="F14" s="1363"/>
      <c r="G14" s="1363"/>
      <c r="H14" s="1363"/>
      <c r="I14" s="1363"/>
      <c r="J14" s="1363"/>
      <c r="K14" s="1363"/>
      <c r="L14" s="1363"/>
      <c r="M14" s="1364"/>
    </row>
    <row r="15" spans="2:14" ht="55.5" customHeight="1" thickBot="1">
      <c r="B15" s="204"/>
      <c r="C15" s="205"/>
      <c r="D15" s="206" t="s">
        <v>312</v>
      </c>
      <c r="E15" s="1365" t="s">
        <v>73</v>
      </c>
      <c r="F15" s="1360"/>
      <c r="G15" s="1360"/>
      <c r="H15" s="1360"/>
      <c r="I15" s="1360"/>
      <c r="J15" s="1360"/>
      <c r="K15" s="1360"/>
      <c r="L15" s="1360"/>
      <c r="M15" s="1361"/>
    </row>
    <row r="16" spans="2:14" ht="13.15" thickTop="1"/>
    <row r="17" spans="2:13" ht="13.15" thickBot="1"/>
    <row r="18" spans="2:13" ht="30" customHeight="1" thickTop="1" thickBot="1">
      <c r="B18" s="216" t="s">
        <v>76</v>
      </c>
      <c r="C18" s="217"/>
      <c r="D18" s="217"/>
      <c r="E18" s="1353" t="s">
        <v>709</v>
      </c>
      <c r="F18" s="1353"/>
      <c r="G18" s="1353"/>
      <c r="H18" s="1353"/>
      <c r="I18" s="1353"/>
      <c r="J18" s="1353"/>
      <c r="K18" s="1353"/>
      <c r="L18" s="1353"/>
      <c r="M18" s="1354"/>
    </row>
    <row r="19" spans="2:13" ht="13.5" thickTop="1" thickBot="1"/>
    <row r="20" spans="2:13" ht="43.5" customHeight="1" thickTop="1" thickBot="1">
      <c r="B20" s="265"/>
      <c r="C20" s="266"/>
      <c r="D20" s="267" t="s">
        <v>583</v>
      </c>
      <c r="E20" s="1355" t="s">
        <v>582</v>
      </c>
      <c r="F20" s="1356"/>
      <c r="G20" s="1356"/>
      <c r="H20" s="1356"/>
      <c r="I20" s="1356"/>
      <c r="J20" s="1356"/>
      <c r="K20" s="1356"/>
      <c r="L20" s="1356"/>
      <c r="M20" s="1357"/>
    </row>
    <row r="21" spans="2:13" ht="13.15" thickTop="1"/>
    <row r="22" spans="2:13" ht="42" customHeight="1">
      <c r="B22" s="1358" t="s">
        <v>1397</v>
      </c>
      <c r="C22" s="1358"/>
      <c r="D22" s="1358"/>
      <c r="E22" s="1358"/>
      <c r="F22" s="1358"/>
      <c r="G22" s="1358"/>
      <c r="H22" s="1358"/>
      <c r="I22" s="1358"/>
      <c r="J22" s="1358"/>
      <c r="K22" s="1358"/>
      <c r="L22" s="1358"/>
      <c r="M22" s="1358"/>
    </row>
  </sheetData>
  <sheetProtection algorithmName="SHA-512" hashValue="KdRVo4i9PWqz33sSRtXDcHuw+M5ygWEh1Gu1uE1TmuDJFWJ5RjCq37jzNrpk6cULNrJKiELWlCbiCpIYUoHRKA==" saltValue="gA4ReSG0AcPkvr0e8JorcQ==" spinCount="100000" sheet="1" objects="1" scenarios="1"/>
  <mergeCells count="14">
    <mergeCell ref="B1:M1"/>
    <mergeCell ref="E5:M5"/>
    <mergeCell ref="E6:M6"/>
    <mergeCell ref="E7:M7"/>
    <mergeCell ref="B2:M2"/>
    <mergeCell ref="E4:M4"/>
    <mergeCell ref="E18:M18"/>
    <mergeCell ref="E20:M20"/>
    <mergeCell ref="B22:M22"/>
    <mergeCell ref="E8:M8"/>
    <mergeCell ref="E14:M14"/>
    <mergeCell ref="E13:M13"/>
    <mergeCell ref="E15:M15"/>
    <mergeCell ref="E12:M12"/>
  </mergeCells>
  <phoneticPr fontId="18" type="noConversion"/>
  <printOptions horizontalCentered="1"/>
  <pageMargins left="0.75" right="0.75" top="0.56000000000000005" bottom="1" header="0.5" footer="0.5"/>
  <pageSetup scale="86" orientation="portrait" horizontalDpi="4294967293" r:id="rId1"/>
  <headerFooter alignWithMargins="0">
    <oddFooter>&amp;R&amp;A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5"/>
    <pageSetUpPr autoPageBreaks="0"/>
  </sheetPr>
  <dimension ref="B1:I21"/>
  <sheetViews>
    <sheetView showGridLines="0" workbookViewId="0">
      <selection activeCell="B1" sqref="B1:I1"/>
    </sheetView>
  </sheetViews>
  <sheetFormatPr defaultRowHeight="12.75"/>
  <cols>
    <col min="1" max="1" width="5" customWidth="1"/>
  </cols>
  <sheetData>
    <row r="1" spans="2:9" ht="47.25" customHeight="1">
      <c r="B1" s="1376" t="s">
        <v>1751</v>
      </c>
      <c r="C1" s="1377"/>
      <c r="D1" s="1377"/>
      <c r="E1" s="1377"/>
      <c r="F1" s="1377"/>
      <c r="G1" s="1377"/>
      <c r="H1" s="1377"/>
      <c r="I1" s="1377"/>
    </row>
    <row r="3" spans="2:9" ht="17.25">
      <c r="B3" s="91"/>
      <c r="C3" s="92"/>
      <c r="D3" s="92"/>
      <c r="E3" s="1378" t="s">
        <v>756</v>
      </c>
      <c r="F3" s="1378"/>
      <c r="G3" s="92"/>
      <c r="H3" s="92"/>
      <c r="I3" s="92"/>
    </row>
    <row r="4" spans="2:9" ht="17.25">
      <c r="B4" s="120" t="s">
        <v>522</v>
      </c>
      <c r="C4" s="92"/>
      <c r="D4" s="92"/>
      <c r="E4" s="116"/>
      <c r="F4" s="116"/>
      <c r="G4" s="92"/>
      <c r="H4" s="92"/>
      <c r="I4" s="92"/>
    </row>
    <row r="5" spans="2:9" ht="48.75" customHeight="1">
      <c r="B5" s="1381" t="s">
        <v>212</v>
      </c>
      <c r="C5" s="1382"/>
      <c r="D5" s="1382"/>
      <c r="E5" s="1382"/>
      <c r="F5" s="1382"/>
      <c r="G5" s="1382"/>
      <c r="H5" s="1382"/>
      <c r="I5" s="1382"/>
    </row>
    <row r="6" spans="2:9" ht="48.75" customHeight="1">
      <c r="B6" s="1381" t="s">
        <v>564</v>
      </c>
      <c r="C6" s="1181"/>
      <c r="D6" s="1181"/>
      <c r="E6" s="1181"/>
      <c r="F6" s="1181"/>
      <c r="G6" s="1181"/>
      <c r="H6" s="1181"/>
      <c r="I6" s="1181"/>
    </row>
    <row r="7" spans="2:9" ht="101.25" customHeight="1">
      <c r="B7" s="1188" t="s">
        <v>563</v>
      </c>
      <c r="C7" s="1358"/>
      <c r="D7" s="1358"/>
      <c r="E7" s="1358"/>
      <c r="F7" s="1358"/>
      <c r="G7" s="1358"/>
      <c r="H7" s="1358"/>
      <c r="I7" s="1358"/>
    </row>
    <row r="8" spans="2:9" ht="33" customHeight="1">
      <c r="B8" s="1379" t="s">
        <v>40</v>
      </c>
      <c r="C8" s="1380"/>
      <c r="D8" s="1380"/>
      <c r="E8" s="1380"/>
      <c r="F8" s="1380"/>
      <c r="G8" s="1380"/>
      <c r="H8" s="1380"/>
      <c r="I8" s="1380"/>
    </row>
    <row r="9" spans="2:9" ht="48.75" customHeight="1">
      <c r="B9" s="1188" t="s">
        <v>757</v>
      </c>
      <c r="C9" s="1181"/>
      <c r="D9" s="1181"/>
      <c r="E9" s="1181"/>
      <c r="F9" s="1181"/>
      <c r="G9" s="1181"/>
      <c r="H9" s="1181"/>
      <c r="I9" s="1181"/>
    </row>
    <row r="10" spans="2:9" ht="35.25" customHeight="1">
      <c r="B10" s="1188" t="s">
        <v>565</v>
      </c>
      <c r="C10" s="1181"/>
      <c r="D10" s="1181"/>
      <c r="E10" s="1181"/>
      <c r="F10" s="1181"/>
      <c r="G10" s="1181"/>
      <c r="H10" s="1181"/>
      <c r="I10" s="1181"/>
    </row>
    <row r="11" spans="2:9" ht="63" customHeight="1">
      <c r="B11" s="1188" t="s">
        <v>1057</v>
      </c>
      <c r="C11" s="1181"/>
      <c r="D11" s="1181"/>
      <c r="E11" s="1181"/>
      <c r="F11" s="1181"/>
      <c r="G11" s="1181"/>
      <c r="H11" s="1181"/>
      <c r="I11" s="1181"/>
    </row>
    <row r="12" spans="2:9" ht="37.5" customHeight="1">
      <c r="B12" s="1188" t="s">
        <v>567</v>
      </c>
      <c r="C12" s="1181"/>
      <c r="D12" s="1181"/>
      <c r="E12" s="1181"/>
      <c r="F12" s="1181"/>
      <c r="G12" s="1181"/>
      <c r="H12" s="1181"/>
      <c r="I12" s="1181"/>
    </row>
    <row r="13" spans="2:9" ht="48.75" customHeight="1">
      <c r="B13" s="1188" t="s">
        <v>1029</v>
      </c>
      <c r="C13" s="1181"/>
      <c r="D13" s="1181"/>
      <c r="E13" s="1181"/>
      <c r="F13" s="1181"/>
      <c r="G13" s="1181"/>
      <c r="H13" s="1181"/>
      <c r="I13" s="1181"/>
    </row>
    <row r="14" spans="2:9" ht="32.25" customHeight="1">
      <c r="B14" s="1379" t="s">
        <v>41</v>
      </c>
      <c r="C14" s="1380"/>
      <c r="D14" s="1380"/>
      <c r="E14" s="1380"/>
      <c r="F14" s="1380"/>
      <c r="G14" s="1380"/>
      <c r="H14" s="1380"/>
      <c r="I14" s="1380"/>
    </row>
    <row r="15" spans="2:9" ht="48.75" customHeight="1">
      <c r="B15" s="1188" t="s">
        <v>201</v>
      </c>
      <c r="C15" s="1181"/>
      <c r="D15" s="1181"/>
      <c r="E15" s="1181"/>
      <c r="F15" s="1181"/>
      <c r="G15" s="1181"/>
      <c r="H15" s="1181"/>
      <c r="I15" s="1181"/>
    </row>
    <row r="16" spans="2:9" ht="35.25" customHeight="1">
      <c r="B16" s="1188" t="s">
        <v>566</v>
      </c>
      <c r="C16" s="1181"/>
      <c r="D16" s="1181"/>
      <c r="E16" s="1181"/>
      <c r="F16" s="1181"/>
      <c r="G16" s="1181"/>
      <c r="H16" s="1181"/>
      <c r="I16" s="1181"/>
    </row>
    <row r="17" spans="2:9" ht="37.5" customHeight="1">
      <c r="B17" s="1188" t="s">
        <v>711</v>
      </c>
      <c r="C17" s="1181"/>
      <c r="D17" s="1181"/>
      <c r="E17" s="1181"/>
      <c r="F17" s="1181"/>
      <c r="G17" s="1181"/>
      <c r="H17" s="1181"/>
      <c r="I17" s="1181"/>
    </row>
    <row r="18" spans="2:9" ht="63" customHeight="1">
      <c r="B18" s="1188" t="s">
        <v>202</v>
      </c>
      <c r="C18" s="1181"/>
      <c r="D18" s="1181"/>
      <c r="E18" s="1181"/>
      <c r="F18" s="1181"/>
      <c r="G18" s="1181"/>
      <c r="H18" s="1181"/>
      <c r="I18" s="1181"/>
    </row>
    <row r="19" spans="2:9" ht="31.5" customHeight="1">
      <c r="B19" s="1379" t="s">
        <v>42</v>
      </c>
      <c r="C19" s="1380"/>
      <c r="D19" s="1380"/>
      <c r="E19" s="1380"/>
      <c r="F19" s="1380"/>
      <c r="G19" s="1380"/>
      <c r="H19" s="1380"/>
      <c r="I19" s="1380"/>
    </row>
    <row r="20" spans="2:9" ht="24" customHeight="1">
      <c r="B20" s="1188" t="s">
        <v>568</v>
      </c>
      <c r="C20" s="1181"/>
      <c r="D20" s="1181"/>
      <c r="E20" s="1181"/>
      <c r="F20" s="1181"/>
      <c r="G20" s="1181"/>
      <c r="H20" s="1181"/>
      <c r="I20" s="1181"/>
    </row>
    <row r="21" spans="2:9" ht="33.75" customHeight="1">
      <c r="B21" s="1188" t="s">
        <v>200</v>
      </c>
      <c r="C21" s="1181"/>
      <c r="D21" s="1181"/>
      <c r="E21" s="1181"/>
      <c r="F21" s="1181"/>
      <c r="G21" s="1181"/>
      <c r="H21" s="1181"/>
      <c r="I21" s="1181"/>
    </row>
  </sheetData>
  <sheetProtection algorithmName="SHA-512" hashValue="T529GKhOTesQT4OaXLRe/ckMBXf8bGoP/RNJvDuAwloCsxa8YO7nptRdKRgbGh2k9UM3EizK3Kmu3qW69LKWvg==" saltValue="Yy+sLzlB2OMlSAOmGOiulA==" spinCount="100000" sheet="1" objects="1" scenarios="1"/>
  <mergeCells count="19">
    <mergeCell ref="B10:I10"/>
    <mergeCell ref="B11:I11"/>
    <mergeCell ref="B12:I12"/>
    <mergeCell ref="B13:I13"/>
    <mergeCell ref="B19:I19"/>
    <mergeCell ref="B21:I21"/>
    <mergeCell ref="B14:I14"/>
    <mergeCell ref="B15:I15"/>
    <mergeCell ref="B16:I16"/>
    <mergeCell ref="B17:I17"/>
    <mergeCell ref="B18:I18"/>
    <mergeCell ref="B20:I20"/>
    <mergeCell ref="B1:I1"/>
    <mergeCell ref="E3:F3"/>
    <mergeCell ref="B8:I8"/>
    <mergeCell ref="B9:I9"/>
    <mergeCell ref="B7:I7"/>
    <mergeCell ref="B5:I5"/>
    <mergeCell ref="B6:I6"/>
  </mergeCells>
  <phoneticPr fontId="18" type="noConversion"/>
  <pageMargins left="0.75" right="0.75" top="0.64" bottom="1" header="0.5" footer="0.5"/>
  <pageSetup orientation="portrait" horizontalDpi="4294967293"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5"/>
    <pageSetUpPr fitToPage="1"/>
  </sheetPr>
  <dimension ref="B1:J100"/>
  <sheetViews>
    <sheetView workbookViewId="0">
      <selection activeCell="C62" sqref="C62"/>
    </sheetView>
  </sheetViews>
  <sheetFormatPr defaultColWidth="9.1328125" defaultRowHeight="12.75"/>
  <cols>
    <col min="1" max="1" width="2.265625" style="2" customWidth="1"/>
    <col min="2" max="2" width="40" style="2" customWidth="1"/>
    <col min="3" max="3" width="28.265625" style="220" customWidth="1"/>
    <col min="4" max="4" width="24.265625" style="220" customWidth="1"/>
    <col min="5" max="5" width="15.73046875" style="220" customWidth="1"/>
    <col min="6" max="6" width="8.86328125" customWidth="1"/>
    <col min="7" max="7" width="3.86328125" customWidth="1"/>
    <col min="8" max="8" width="11" customWidth="1"/>
    <col min="9" max="9" width="13.59765625" customWidth="1"/>
    <col min="10" max="10" width="9" customWidth="1"/>
    <col min="11" max="16384" width="9.1328125" style="2"/>
  </cols>
  <sheetData>
    <row r="1" spans="2:6" ht="13.15">
      <c r="B1" s="345" t="s">
        <v>238</v>
      </c>
      <c r="D1" s="18"/>
      <c r="E1"/>
    </row>
    <row r="2" spans="2:6" ht="13.15" thickBot="1"/>
    <row r="3" spans="2:6" ht="13.5" thickTop="1">
      <c r="B3" s="221" t="s">
        <v>531</v>
      </c>
      <c r="C3" s="222"/>
    </row>
    <row r="4" spans="2:6">
      <c r="B4" s="223" t="s">
        <v>532</v>
      </c>
      <c r="C4" s="224" t="str">
        <f>'2. EAL Surfer - Tier 1 EALs'!H3</f>
        <v>DIBROMO,1,2- CHLOROPROPANE,3-</v>
      </c>
    </row>
    <row r="5" spans="2:6">
      <c r="B5" s="223" t="s">
        <v>504</v>
      </c>
      <c r="C5" s="224" t="str">
        <f>'2. EAL Surfer - Tier 1 EALs'!D5</f>
        <v>Unrestricted</v>
      </c>
    </row>
    <row r="6" spans="2:6">
      <c r="B6" s="223" t="s">
        <v>267</v>
      </c>
      <c r="C6" s="225" t="str">
        <f>'2. EAL Surfer - Tier 1 EALs'!D7</f>
        <v>Drinking Water Resource</v>
      </c>
    </row>
    <row r="7" spans="2:6" ht="25.9" thickBot="1">
      <c r="B7" s="226" t="s">
        <v>723</v>
      </c>
      <c r="C7" s="244" t="str">
        <f>'2. EAL Surfer - Tier 1 EALs'!D10</f>
        <v>&lt; 150m</v>
      </c>
    </row>
    <row r="8" spans="2:6" ht="13.15" thickTop="1">
      <c r="B8" s="228" t="s">
        <v>554</v>
      </c>
      <c r="C8" s="222" t="str">
        <f>IF('2. EAL Surfer - Tier 1 EALs'!D22=0,"-",'2. EAL Surfer - Tier 1 EALs'!D22)</f>
        <v>-</v>
      </c>
    </row>
    <row r="9" spans="2:6">
      <c r="B9" s="233" t="s">
        <v>555</v>
      </c>
      <c r="C9" s="225" t="str">
        <f>IF('2. EAL Surfer - Tier 1 EALs'!D24=0,"-",'2. EAL Surfer - Tier 1 EALs'!D24)</f>
        <v>-</v>
      </c>
    </row>
    <row r="10" spans="2:6" ht="14.65" thickBot="1">
      <c r="B10" s="226" t="s">
        <v>556</v>
      </c>
      <c r="C10" s="227" t="str">
        <f>IF('2. EAL Surfer - Tier 1 EALs'!D26=0,"-",'2. EAL Surfer - Tier 1 EALs'!D26)</f>
        <v>-</v>
      </c>
    </row>
    <row r="11" spans="2:6" ht="13.5" thickTop="1" thickBot="1">
      <c r="B11" s="229"/>
    </row>
    <row r="12" spans="2:6" ht="27" customHeight="1" thickTop="1">
      <c r="B12" s="230" t="s">
        <v>46</v>
      </c>
      <c r="C12" s="231" t="s">
        <v>267</v>
      </c>
      <c r="D12" s="232" t="s">
        <v>723</v>
      </c>
      <c r="E12" s="232" t="s">
        <v>498</v>
      </c>
      <c r="F12" s="170"/>
    </row>
    <row r="13" spans="2:6">
      <c r="B13" s="233" t="s">
        <v>499</v>
      </c>
      <c r="C13" s="22" t="s">
        <v>607</v>
      </c>
      <c r="D13" s="220" t="s">
        <v>724</v>
      </c>
      <c r="E13" s="220" t="str">
        <f>IF(AND($C$6=C13,$C$7=D13),"YES","NO")</f>
        <v>NO</v>
      </c>
      <c r="F13" s="170"/>
    </row>
    <row r="14" spans="2:6">
      <c r="B14" s="233" t="s">
        <v>310</v>
      </c>
      <c r="C14" s="22" t="s">
        <v>607</v>
      </c>
      <c r="D14" s="220" t="s">
        <v>725</v>
      </c>
      <c r="E14" s="220" t="str">
        <f>IF(AND($C$6=C14,$C$7=D14),"YES","NO")</f>
        <v>YES</v>
      </c>
      <c r="F14" s="170"/>
    </row>
    <row r="15" spans="2:6">
      <c r="B15" s="233" t="s">
        <v>500</v>
      </c>
      <c r="C15" s="220" t="s">
        <v>274</v>
      </c>
      <c r="D15" s="220" t="s">
        <v>724</v>
      </c>
      <c r="E15" s="220" t="str">
        <f>IF(AND($C$6=C15,$C$7=D15),"YES","NO")</f>
        <v>NO</v>
      </c>
      <c r="F15" s="170"/>
    </row>
    <row r="16" spans="2:6">
      <c r="B16" s="233" t="s">
        <v>501</v>
      </c>
      <c r="C16" s="220" t="s">
        <v>274</v>
      </c>
      <c r="D16" s="220" t="s">
        <v>725</v>
      </c>
      <c r="E16" s="220" t="str">
        <f>IF(AND($C$6=C16,$C$7=D16),"YES","NO")</f>
        <v>NO</v>
      </c>
      <c r="F16" s="170"/>
    </row>
    <row r="17" spans="2:10">
      <c r="B17" s="233"/>
      <c r="F17" s="170"/>
    </row>
    <row r="18" spans="2:10" ht="13.15">
      <c r="B18" s="234" t="s">
        <v>316</v>
      </c>
      <c r="C18" s="220" t="str">
        <f>IF(E13="YES","Table A-1",IF(E14="YES","Table A-2",IF(E15="YES","Table B-1","Table B-2")))</f>
        <v>Table A-2</v>
      </c>
      <c r="F18" s="170"/>
    </row>
    <row r="19" spans="2:10">
      <c r="B19" s="223" t="s">
        <v>309</v>
      </c>
      <c r="C19" s="167">
        <f>IF(C46=0,"-",C46)</f>
        <v>5.7102531036448472E-3</v>
      </c>
      <c r="D19"/>
      <c r="E19"/>
      <c r="F19" s="170"/>
      <c r="H19" s="1087"/>
    </row>
    <row r="20" spans="2:10">
      <c r="B20" s="223" t="s">
        <v>726</v>
      </c>
      <c r="C20" s="235" t="str">
        <f>IF(C50=0,"-",C50)</f>
        <v>(Use soil gas)</v>
      </c>
      <c r="D20"/>
      <c r="E20"/>
      <c r="F20" s="170"/>
      <c r="H20" s="1087"/>
      <c r="J20" s="92"/>
    </row>
    <row r="21" spans="2:10">
      <c r="B21" s="223" t="s">
        <v>710</v>
      </c>
      <c r="C21" s="235">
        <f>IF(C56=0,"-",C56)</f>
        <v>8.061539999999999E-4</v>
      </c>
      <c r="D21"/>
      <c r="E21"/>
      <c r="F21" s="170"/>
      <c r="H21" s="1087"/>
    </row>
    <row r="22" spans="2:10">
      <c r="B22" s="223" t="s">
        <v>678</v>
      </c>
      <c r="C22" s="235" t="str">
        <f>IF(C60=0,"-",C60)</f>
        <v>site-specific</v>
      </c>
      <c r="D22"/>
      <c r="E22"/>
      <c r="F22" s="170"/>
      <c r="H22" s="1087"/>
    </row>
    <row r="23" spans="2:10">
      <c r="B23" s="223" t="s">
        <v>312</v>
      </c>
      <c r="C23" s="235">
        <f>IF(C68=0,"-",C68)</f>
        <v>500</v>
      </c>
      <c r="F23" s="251"/>
      <c r="H23" s="1087"/>
    </row>
    <row r="24" spans="2:10" ht="13.15">
      <c r="B24" s="223" t="s">
        <v>146</v>
      </c>
      <c r="C24" s="235" t="str">
        <f>IF(C70=0,"-",C70)</f>
        <v>-</v>
      </c>
      <c r="D24" s="276" t="s">
        <v>485</v>
      </c>
      <c r="F24" s="251"/>
      <c r="H24" s="1087"/>
    </row>
    <row r="25" spans="2:10" ht="13.5" thickBot="1">
      <c r="B25" s="252" t="s">
        <v>47</v>
      </c>
      <c r="C25" s="253">
        <f>C71</f>
        <v>8.061539999999999E-4</v>
      </c>
      <c r="D25" s="275" t="str">
        <f>C72</f>
        <v>Leaching</v>
      </c>
      <c r="E25" s="236"/>
      <c r="F25" s="170"/>
      <c r="H25" s="1087"/>
    </row>
    <row r="26" spans="2:10" ht="13.5" thickTop="1" thickBot="1">
      <c r="B26" s="237"/>
      <c r="C26" s="235"/>
      <c r="D26" s="235"/>
      <c r="E26" s="235"/>
      <c r="H26" s="1087"/>
    </row>
    <row r="27" spans="2:10" ht="26.65" thickTop="1">
      <c r="B27" s="230" t="s">
        <v>317</v>
      </c>
      <c r="C27" s="231" t="s">
        <v>267</v>
      </c>
      <c r="D27" s="232" t="s">
        <v>723</v>
      </c>
      <c r="E27" s="238" t="s">
        <v>498</v>
      </c>
      <c r="H27" s="1087"/>
    </row>
    <row r="28" spans="2:10">
      <c r="B28" s="233" t="s">
        <v>727</v>
      </c>
      <c r="C28" s="22" t="s">
        <v>607</v>
      </c>
      <c r="D28" s="220" t="s">
        <v>725</v>
      </c>
      <c r="E28" s="225" t="str">
        <f>IF(AND($C$6=C28,$C$7=D28),"YES","NO")</f>
        <v>YES</v>
      </c>
      <c r="H28" s="1087"/>
    </row>
    <row r="29" spans="2:10">
      <c r="B29" s="233" t="s">
        <v>728</v>
      </c>
      <c r="C29" s="22" t="s">
        <v>607</v>
      </c>
      <c r="D29" s="220" t="s">
        <v>724</v>
      </c>
      <c r="E29" s="225" t="str">
        <f>IF(AND($C$6=C29,$C$7=D29),"YES","NO")</f>
        <v>NO</v>
      </c>
      <c r="H29" s="1087"/>
    </row>
    <row r="30" spans="2:10">
      <c r="B30" s="233" t="s">
        <v>729</v>
      </c>
      <c r="C30" s="220" t="s">
        <v>274</v>
      </c>
      <c r="D30" s="220" t="s">
        <v>725</v>
      </c>
      <c r="E30" s="225" t="str">
        <f>IF(AND($C$6=C30,$C$7=D30),"YES","NO")</f>
        <v>NO</v>
      </c>
      <c r="H30" s="1087"/>
    </row>
    <row r="31" spans="2:10">
      <c r="B31" s="233" t="s">
        <v>730</v>
      </c>
      <c r="C31" s="220" t="s">
        <v>274</v>
      </c>
      <c r="D31" s="220" t="s">
        <v>724</v>
      </c>
      <c r="E31" s="225" t="str">
        <f>IF(AND($C$6=C31,$C$7=D31),"YES","NO")</f>
        <v>NO</v>
      </c>
      <c r="H31" s="1087"/>
    </row>
    <row r="32" spans="2:10">
      <c r="B32" s="223"/>
      <c r="C32" s="235"/>
      <c r="D32" s="235"/>
      <c r="E32" s="239"/>
      <c r="H32" s="1087"/>
    </row>
    <row r="33" spans="2:8" ht="13.15">
      <c r="B33" s="234" t="s">
        <v>731</v>
      </c>
      <c r="C33" s="235" t="str">
        <f>IF(E28="YES","Table D-1a",IF(E29="YES","Table D-1b",IF(E30="YES","Table D-1c","Table D-1d")))</f>
        <v>Table D-1a</v>
      </c>
      <c r="D33" s="235"/>
      <c r="E33" s="239"/>
      <c r="H33" s="1087"/>
    </row>
    <row r="34" spans="2:8">
      <c r="B34" s="223" t="s">
        <v>502</v>
      </c>
      <c r="C34" s="235">
        <f>IF(C75=0,"-",C75)</f>
        <v>0.04</v>
      </c>
      <c r="D34" s="235"/>
      <c r="E34" s="239"/>
      <c r="H34" s="1087"/>
    </row>
    <row r="35" spans="2:8">
      <c r="B35" s="223" t="s">
        <v>726</v>
      </c>
      <c r="C35" s="235" t="str">
        <f>IF(C79=0,"-",C79)</f>
        <v>(Use soil gas)</v>
      </c>
      <c r="D35" s="235"/>
      <c r="E35" s="239"/>
      <c r="H35" s="1087"/>
    </row>
    <row r="36" spans="2:8">
      <c r="B36" s="223" t="s">
        <v>503</v>
      </c>
      <c r="C36" s="235">
        <f>IF(C83=0,"-",C83)</f>
        <v>0.04</v>
      </c>
      <c r="D36" s="235"/>
      <c r="E36" s="239"/>
      <c r="H36" s="1087"/>
    </row>
    <row r="37" spans="2:8" ht="13.15">
      <c r="B37" s="223" t="s">
        <v>312</v>
      </c>
      <c r="C37" s="235">
        <f>IF(C87=0,"-",C87)</f>
        <v>10</v>
      </c>
      <c r="D37" s="276" t="s">
        <v>485</v>
      </c>
      <c r="E37" s="239"/>
      <c r="H37" s="1087"/>
    </row>
    <row r="38" spans="2:8" ht="13.5" thickBot="1">
      <c r="B38" s="252" t="s">
        <v>732</v>
      </c>
      <c r="C38" s="253">
        <f>C88</f>
        <v>0.04</v>
      </c>
      <c r="D38" s="275" t="str">
        <f>C89</f>
        <v>Drinking Water Toxicity</v>
      </c>
      <c r="E38" s="240"/>
      <c r="H38" s="1087"/>
    </row>
    <row r="39" spans="2:8" ht="13.15" thickTop="1">
      <c r="B39" s="237"/>
      <c r="C39" s="235"/>
      <c r="D39" s="235"/>
      <c r="E39" s="235"/>
      <c r="H39" s="1087"/>
    </row>
    <row r="40" spans="2:8" ht="13.15" thickBot="1">
      <c r="H40" s="1087"/>
    </row>
    <row r="41" spans="2:8" ht="13.9" thickTop="1" thickBot="1">
      <c r="B41" s="246" t="s">
        <v>213</v>
      </c>
      <c r="C41" s="247"/>
      <c r="D41" s="260" t="s">
        <v>308</v>
      </c>
      <c r="H41" s="1087"/>
    </row>
    <row r="42" spans="2:8" ht="13.5" thickTop="1">
      <c r="B42" s="196" t="s">
        <v>674</v>
      </c>
      <c r="C42" s="161"/>
      <c r="D42" s="17"/>
      <c r="H42" s="1087"/>
    </row>
    <row r="43" spans="2:8">
      <c r="B43" s="159" t="s">
        <v>194</v>
      </c>
      <c r="C43" s="167">
        <f>IF(VLOOKUP('2. EAL Surfer - Tier 1 EALs'!H3,'Table I-1 (Unrestricted SoilDE)'!A6:H159,2,FALSE)=0,"-",VLOOKUP('2. EAL Surfer - Tier 1 EALs'!H3,'Table I-1 (Unrestricted SoilDE)'!A6:H159,2,FALSE))</f>
        <v>5.7102531036448472E-3</v>
      </c>
      <c r="D43" s="19" t="s">
        <v>464</v>
      </c>
      <c r="H43" s="1087"/>
    </row>
    <row r="44" spans="2:8">
      <c r="B44" s="159" t="s">
        <v>195</v>
      </c>
      <c r="C44" s="167">
        <f>IF(VLOOKUP('2. EAL Surfer - Tier 1 EALs'!H3,'Table I-2 (C-I Soil DE)'!A6:G159,2,FALSE)=0,"-",VLOOKUP('2. EAL Surfer - Tier 1 EALs'!H3,'Table I-2 (C-I Soil DE)'!A6:G159,2,FALSE))</f>
        <v>6.983705961818E-2</v>
      </c>
      <c r="D44" s="19" t="s">
        <v>862</v>
      </c>
      <c r="H44" s="1087"/>
    </row>
    <row r="45" spans="2:8">
      <c r="B45" s="159" t="s">
        <v>790</v>
      </c>
      <c r="C45" s="167">
        <f>IF(VLOOKUP('2. EAL Surfer - Tier 1 EALs'!H3,'Table I-3 (Construction DE)'!A6:G159,2,FALSE)=0,"-",VLOOKUP('2. EAL Surfer - Tier 1 EALs'!H3,'Table I-3 (Construction DE)'!A6:G159,2,FALSE))</f>
        <v>0.37095077774838142</v>
      </c>
      <c r="D45" s="19" t="s">
        <v>611</v>
      </c>
      <c r="H45" s="1087"/>
    </row>
    <row r="46" spans="2:8" ht="13.5" thickBot="1">
      <c r="B46" s="164" t="s">
        <v>791</v>
      </c>
      <c r="C46" s="248">
        <f>IF((IF('2. EAL Surfer - Tier 1 EALs'!D5='2. EAL Surfer - Tier 1 EALs'!O13,C43,C44))=0,"-",(IF('2. EAL Surfer - Tier 1 EALs'!D5='2. EAL Surfer - Tier 1 EALs'!O13,C43,C44)))</f>
        <v>5.7102531036448472E-3</v>
      </c>
      <c r="D46" s="165" t="str">
        <f>IF('2. EAL Surfer - Tier 1 EALs'!D5='2. EAL Surfer - Tier 1 EALs'!O13,"Table I-1","Table I-2")</f>
        <v>Table I-1</v>
      </c>
      <c r="H46" s="1087"/>
    </row>
    <row r="47" spans="2:8" ht="13.5" thickTop="1">
      <c r="B47" s="197" t="s">
        <v>673</v>
      </c>
      <c r="C47" s="167"/>
      <c r="D47" s="117"/>
      <c r="H47" s="1087"/>
    </row>
    <row r="48" spans="2:8">
      <c r="B48" s="159" t="s">
        <v>194</v>
      </c>
      <c r="C48" s="167" t="str">
        <f>IF(VLOOKUP('2. EAL Surfer - Tier 1 EALs'!H3,'Table C-1b (Soil to IA)'!A5:F158,5,FALSE)="","-",VLOOKUP('2. EAL Surfer - Tier 1 EALs'!H3,'Table C-1b (Soil to IA)'!A5:F158,5,FALSE))</f>
        <v>(Use soil gas)</v>
      </c>
      <c r="D48" s="160" t="s">
        <v>839</v>
      </c>
      <c r="H48" s="1087"/>
    </row>
    <row r="49" spans="2:8">
      <c r="B49" s="159" t="s">
        <v>195</v>
      </c>
      <c r="C49" s="167" t="str">
        <f>IF(VLOOKUP('2. EAL Surfer - Tier 1 EALs'!H3,'Table C-1b (Soil to IA)'!A5:F158,6,FALSE)="","-",VLOOKUP('2. EAL Surfer - Tier 1 EALs'!H3,'Table C-1b (Soil to IA)'!A5:F158,6,FALSE))</f>
        <v>(Use soil gas)</v>
      </c>
      <c r="D49" s="160" t="s">
        <v>839</v>
      </c>
      <c r="H49" s="1087"/>
    </row>
    <row r="50" spans="2:8" ht="13.5" thickBot="1">
      <c r="B50" s="163" t="s">
        <v>192</v>
      </c>
      <c r="C50" s="249" t="str">
        <f>IF((IF('2. EAL Surfer - Tier 1 EALs'!D5='2. EAL Surfer - Tier 1 EALs'!O13,C48,C49))=0,"-",(IF('2. EAL Surfer - Tier 1 EALs'!D5='2. EAL Surfer - Tier 1 EALs'!O13,C48,C49)))</f>
        <v>(Use soil gas)</v>
      </c>
      <c r="D50" s="160" t="s">
        <v>839</v>
      </c>
      <c r="H50" s="1087"/>
    </row>
    <row r="51" spans="2:8" ht="13.5" thickTop="1">
      <c r="B51" s="196" t="s">
        <v>272</v>
      </c>
      <c r="C51" s="169"/>
      <c r="D51" s="158"/>
      <c r="H51" s="1087"/>
    </row>
    <row r="52" spans="2:8">
      <c r="B52" s="159" t="s">
        <v>863</v>
      </c>
      <c r="C52" s="167">
        <f>IF(VLOOKUP('2. EAL Surfer - Tier 1 EALs'!H3,'Table E-1 Leaching Soil'!B7:P160,12,FALSE)="","-",VLOOKUP('2. EAL Surfer - Tier 1 EALs'!H3,'Table E-1 Leaching Soil'!B7:P160,12,FALSE))</f>
        <v>8.061539999999999E-4</v>
      </c>
      <c r="D52" s="160" t="s">
        <v>840</v>
      </c>
      <c r="H52" s="1087"/>
    </row>
    <row r="53" spans="2:8">
      <c r="B53" s="159" t="s">
        <v>864</v>
      </c>
      <c r="C53" s="167">
        <f>IF(VLOOKUP('2. EAL Surfer - Tier 1 EALs'!H3,'Table E-1 Leaching Soil'!B7:P160,13,FALSE)="","-",VLOOKUP('2. EAL Surfer - Tier 1 EALs'!H3,'Table E-1 Leaching Soil'!B7:P160,13,FALSE))</f>
        <v>8.061539999999999E-4</v>
      </c>
      <c r="D53" s="160" t="s">
        <v>840</v>
      </c>
      <c r="H53" s="1087"/>
    </row>
    <row r="54" spans="2:8">
      <c r="B54" s="159" t="s">
        <v>865</v>
      </c>
      <c r="C54" s="167">
        <f>IF(VLOOKUP('2. EAL Surfer - Tier 1 EALs'!H3,'Table E-1 Leaching Soil'!B7:P160,14,FALSE)="","-",VLOOKUP('2. EAL Surfer - Tier 1 EALs'!H3,'Table E-1 Leaching Soil'!B7:P160,14,FALSE))</f>
        <v>8.061539999999999E-4</v>
      </c>
      <c r="D54" s="160" t="s">
        <v>840</v>
      </c>
      <c r="H54" s="1087"/>
    </row>
    <row r="55" spans="2:8">
      <c r="B55" s="159" t="s">
        <v>866</v>
      </c>
      <c r="C55" s="167">
        <f>IF(VLOOKUP('2. EAL Surfer - Tier 1 EALs'!H3,'Table E-1 Leaching Soil'!B7:P160,15,FALSE)="","-",VLOOKUP('2. EAL Surfer - Tier 1 EALs'!H3,'Table E-1 Leaching Soil'!B7:P160,15,FALSE))</f>
        <v>8.061539999999999E-4</v>
      </c>
      <c r="D55" s="160" t="s">
        <v>840</v>
      </c>
      <c r="H55" s="1087"/>
    </row>
    <row r="56" spans="2:8" ht="13.5" thickBot="1">
      <c r="B56" s="164" t="s">
        <v>193</v>
      </c>
      <c r="C56" s="248">
        <f>IF(IF(E28="YES",C52,IF(E29="YES",C53,IF(E30="YES",C54,C55)))=0,"-",IF(E28="YES",C52,IF(E29="YES",C53,IF(E30="YES",C54,C55))))</f>
        <v>8.061539999999999E-4</v>
      </c>
      <c r="D56" s="270" t="s">
        <v>840</v>
      </c>
      <c r="H56" s="1087"/>
    </row>
    <row r="57" spans="2:8" ht="13.5" thickTop="1">
      <c r="B57" s="197" t="s">
        <v>672</v>
      </c>
      <c r="C57" s="167"/>
      <c r="D57" s="160"/>
      <c r="H57" s="1087"/>
    </row>
    <row r="58" spans="2:8">
      <c r="B58" s="159" t="s">
        <v>194</v>
      </c>
      <c r="C58" s="167" t="str">
        <f>IF(VLOOKUP('2. EAL Surfer - Tier 1 EALs'!H3,'Table L (Soil Ecotoxicity)'!A5:C158,2,FALSE)=0,"-",VLOOKUP('2. EAL Surfer - Tier 1 EALs'!H3,'Table L (Soil Ecotoxicity)'!A5:C158,2,FALSE))</f>
        <v>site-specific</v>
      </c>
      <c r="D58" s="160" t="s">
        <v>838</v>
      </c>
      <c r="H58" s="1087"/>
    </row>
    <row r="59" spans="2:8">
      <c r="B59" s="159" t="s">
        <v>195</v>
      </c>
      <c r="C59" s="167" t="str">
        <f>IF(VLOOKUP('2. EAL Surfer - Tier 1 EALs'!H3,'Table L (Soil Ecotoxicity)'!A5:C158,3,FALSE)=0,"-",VLOOKUP('2. EAL Surfer - Tier 1 EALs'!H3,'Table L (Soil Ecotoxicity)'!A5:C158,3,FALSE))</f>
        <v>site-specific</v>
      </c>
      <c r="D59" s="160" t="s">
        <v>838</v>
      </c>
      <c r="H59" s="1087"/>
    </row>
    <row r="60" spans="2:8" ht="13.5" thickBot="1">
      <c r="B60" s="163" t="s">
        <v>37</v>
      </c>
      <c r="C60" s="249" t="str">
        <f>IF((IF('2. EAL Surfer - Tier 1 EALs'!D5='2. EAL Surfer - Tier 1 EALs'!O13,'Surfer Compiler HDOH'!C58,'Surfer Compiler HDOH'!C59))=0,"-",(IF('2. EAL Surfer - Tier 1 EALs'!D5='2. EAL Surfer - Tier 1 EALs'!O13,'Surfer Compiler HDOH'!C58,'Surfer Compiler HDOH'!C59)))</f>
        <v>site-specific</v>
      </c>
      <c r="D60" s="160" t="s">
        <v>838</v>
      </c>
      <c r="H60" s="1087"/>
    </row>
    <row r="61" spans="2:8" ht="13.5" thickTop="1">
      <c r="B61" s="196" t="s">
        <v>270</v>
      </c>
      <c r="C61" s="169"/>
      <c r="D61" s="158"/>
      <c r="H61" s="1087"/>
    </row>
    <row r="62" spans="2:8">
      <c r="B62" s="159" t="s">
        <v>278</v>
      </c>
      <c r="C62" s="167">
        <f>IF(VLOOKUP('2. EAL Surfer - Tier 1 EALs'!H3,'Table F-2 (Exposed Soils)'!A4:J157,2,FALSE)="","-",VLOOKUP('2. EAL Surfer - Tier 1 EALs'!H3,'Table F-2 (Exposed Soils)'!A4:J157,2,FALSE))</f>
        <v>500</v>
      </c>
      <c r="D62" s="160" t="s">
        <v>837</v>
      </c>
      <c r="H62" s="1087"/>
    </row>
    <row r="63" spans="2:8">
      <c r="B63" s="159" t="s">
        <v>279</v>
      </c>
      <c r="C63" s="167">
        <f>IF(VLOOKUP('2. EAL Surfer - Tier 1 EALs'!H3,'Table F-3 (Isolated Soils)'!A4:J157,2,FALSE)="","-",VLOOKUP('2. EAL Surfer - Tier 1 EALs'!H3,'Table F-3 (Isolated Soils)'!A4:J157,2,FALSE))</f>
        <v>979.0010943396228</v>
      </c>
      <c r="D63" s="160" t="s">
        <v>463</v>
      </c>
      <c r="H63" s="1087"/>
    </row>
    <row r="64" spans="2:8" ht="13.15">
      <c r="B64" s="163" t="s">
        <v>952</v>
      </c>
      <c r="C64" s="249">
        <f>C62</f>
        <v>500</v>
      </c>
      <c r="D64" s="160"/>
      <c r="H64" s="1087"/>
    </row>
    <row r="65" spans="2:8">
      <c r="B65" s="159" t="s">
        <v>280</v>
      </c>
      <c r="C65" s="167">
        <f>IF(VLOOKUP('2. EAL Surfer - Tier 1 EALs'!H3,'Table F-2 (Exposed Soils)'!A4:J157,3,FALSE)="","-",VLOOKUP('2. EAL Surfer - Tier 1 EALs'!H3,'Table F-2 (Exposed Soils)'!A4:J157,3,FALSE))</f>
        <v>979.0010943396228</v>
      </c>
      <c r="D65" s="160" t="s">
        <v>837</v>
      </c>
      <c r="H65" s="1087"/>
    </row>
    <row r="66" spans="2:8">
      <c r="B66" s="159" t="s">
        <v>281</v>
      </c>
      <c r="C66" s="167">
        <f>IF(VLOOKUP('2. EAL Surfer - Tier 1 EALs'!H3,'Table F-3 (Isolated Soils)'!A4:J157,3,FALSE)="","-",VLOOKUP('2. EAL Surfer - Tier 1 EALs'!H3,'Table F-3 (Isolated Soils)'!A4:J157,3,FALSE))</f>
        <v>979.0010943396228</v>
      </c>
      <c r="D66" s="160" t="s">
        <v>463</v>
      </c>
      <c r="H66" s="1087"/>
    </row>
    <row r="67" spans="2:8" ht="13.15">
      <c r="B67" s="163" t="s">
        <v>953</v>
      </c>
      <c r="C67" s="249">
        <f>C65</f>
        <v>979.0010943396228</v>
      </c>
      <c r="D67" s="160"/>
      <c r="H67" s="1087"/>
    </row>
    <row r="68" spans="2:8" ht="13.5" thickBot="1">
      <c r="B68" s="164" t="s">
        <v>581</v>
      </c>
      <c r="C68" s="248">
        <f>IF((IF('2. EAL Surfer - Tier 1 EALs'!D5='2. EAL Surfer - Tier 1 EALs'!O13,'Surfer Compiler HDOH'!C64,'Surfer Compiler HDOH'!C67))=0,"-",(IF('2. EAL Surfer - Tier 1 EALs'!D5='2. EAL Surfer - Tier 1 EALs'!O13,'Surfer Compiler HDOH'!C64,'Surfer Compiler HDOH'!C67)))</f>
        <v>500</v>
      </c>
      <c r="D68" s="270" t="s">
        <v>837</v>
      </c>
      <c r="H68" s="1087"/>
    </row>
    <row r="69" spans="2:8" ht="13.5" thickTop="1">
      <c r="B69" s="163" t="s">
        <v>47</v>
      </c>
      <c r="C69" s="198">
        <f>MIN(C46,C50,C56,C60,C68)</f>
        <v>8.061539999999999E-4</v>
      </c>
      <c r="D69" s="162"/>
      <c r="H69" s="1087"/>
    </row>
    <row r="70" spans="2:8" ht="13.15">
      <c r="B70" s="163" t="s">
        <v>146</v>
      </c>
      <c r="C70" s="198" t="str">
        <f>IF(VLOOKUP('2. EAL Surfer - Tier 1 EALs'!H3,'2. EAL Surfer - Tier 1 EALs'!O33:X186,10,FALSE)=2,(IF(VLOOKUP('2. EAL Surfer - Tier 1 EALs'!H3,'Table K (Soil Background)'!A4:E157,5,FALSE)="","?",VLOOKUP('2. EAL Surfer - Tier 1 EALs'!H3,'Table K (Soil Background)'!A4:E157,5,FALSE))),"-")</f>
        <v>-</v>
      </c>
      <c r="D70" s="162"/>
      <c r="H70" s="1087"/>
    </row>
    <row r="71" spans="2:8" ht="13.15">
      <c r="B71" s="163" t="s">
        <v>214</v>
      </c>
      <c r="C71" s="198">
        <f>IF(OR(C70="-",C70="?"),C69,IF(C70&gt;C69,C70,C69))</f>
        <v>8.061539999999999E-4</v>
      </c>
      <c r="D71" s="166"/>
      <c r="H71" s="1087"/>
    </row>
    <row r="72" spans="2:8" ht="14.25" customHeight="1" thickBot="1">
      <c r="B72" s="164" t="s">
        <v>677</v>
      </c>
      <c r="C72" s="165" t="str">
        <f>IF(C71=C70,"Background",(IF(C71=C46,B42,IF(C71=C50,B47,IF(C71=C56,B51,IF(C71=C60,B57,B61))))))</f>
        <v>Leaching</v>
      </c>
      <c r="D72" s="167"/>
      <c r="H72" s="1087"/>
    </row>
    <row r="73" spans="2:8" ht="13.5" thickTop="1" thickBot="1">
      <c r="B73" s="168"/>
      <c r="C73" s="167"/>
      <c r="D73" s="167"/>
      <c r="H73" s="1087"/>
    </row>
    <row r="74" spans="2:8" ht="15.75" customHeight="1" thickTop="1" thickBot="1">
      <c r="B74" s="243" t="s">
        <v>215</v>
      </c>
      <c r="C74" s="250"/>
      <c r="D74" s="260" t="s">
        <v>308</v>
      </c>
      <c r="H74" s="1087"/>
    </row>
    <row r="75" spans="2:8" ht="13.9" thickTop="1" thickBot="1">
      <c r="B75" s="196" t="s">
        <v>870</v>
      </c>
      <c r="C75" s="274">
        <f>IF('2. EAL Surfer - Tier 1 EALs'!D7='2. EAL Surfer - Tier 1 EALs'!P14,"-",(IF(VLOOKUP('2. EAL Surfer - Tier 1 EALs'!H3,'Table D-3a (Final DW-Toxicity)'!A5:H158,2,FALSE)="","-",VLOOKUP('2. EAL Surfer - Tier 1 EALs'!H3,'Table D-3a (Final DW-Toxicity)'!A5:H158,2,FALSE))))</f>
        <v>0.04</v>
      </c>
      <c r="D75" s="200" t="s">
        <v>808</v>
      </c>
      <c r="H75" s="1087"/>
    </row>
    <row r="76" spans="2:8" ht="13.15">
      <c r="B76" s="254" t="s">
        <v>673</v>
      </c>
      <c r="C76" s="255"/>
      <c r="D76" s="256"/>
      <c r="H76" s="1087"/>
    </row>
    <row r="77" spans="2:8">
      <c r="B77" s="159" t="s">
        <v>194</v>
      </c>
      <c r="C77" s="167" t="str">
        <f>IF(VLOOKUP('2. EAL Surfer - Tier 1 EALs'!H3,'Table C-1a (GW to IA)'!A5:F158,5,FALSE)="","-",VLOOKUP('2. EAL Surfer - Tier 1 EALs'!H3,'Table C-1a (GW to IA)'!A5:F158,5,FALSE))</f>
        <v>(Use soil gas)</v>
      </c>
      <c r="D77" s="117" t="s">
        <v>721</v>
      </c>
      <c r="H77" s="1087"/>
    </row>
    <row r="78" spans="2:8">
      <c r="B78" s="159" t="s">
        <v>195</v>
      </c>
      <c r="C78" s="167" t="str">
        <f>IF(VLOOKUP('2. EAL Surfer - Tier 1 EALs'!H3,'Table C-1a (GW to IA)'!A5:F158,6,FALSE)="","-",VLOOKUP('2. EAL Surfer - Tier 1 EALs'!H3,'Table C-1a (GW to IA)'!A5:F158,6,FALSE))</f>
        <v>(Use soil gas)</v>
      </c>
      <c r="D78" s="117" t="s">
        <v>721</v>
      </c>
      <c r="H78" s="1087"/>
    </row>
    <row r="79" spans="2:8" ht="13.5" thickBot="1">
      <c r="B79" s="257" t="s">
        <v>192</v>
      </c>
      <c r="C79" s="272" t="str">
        <f>IF(IF('2. EAL Surfer - Tier 1 EALs'!D5='2. EAL Surfer - Tier 1 EALs'!O13,C77,C78)=0,"-",IF('2. EAL Surfer - Tier 1 EALs'!D5='2. EAL Surfer - Tier 1 EALs'!O13,C77,C78))</f>
        <v>(Use soil gas)</v>
      </c>
      <c r="D79" s="271" t="s">
        <v>721</v>
      </c>
      <c r="H79" s="1087"/>
    </row>
    <row r="80" spans="2:8" ht="13.15">
      <c r="B80" s="197" t="s">
        <v>675</v>
      </c>
      <c r="C80" s="167"/>
      <c r="D80" s="117"/>
      <c r="H80" s="1087"/>
    </row>
    <row r="81" spans="2:8">
      <c r="B81" s="159" t="s">
        <v>867</v>
      </c>
      <c r="C81" s="167">
        <f>IF(VLOOKUP('2. EAL Surfer - Tier 1 EALs'!H3,'Table D-4a (Aquatic Goals Sum)'!A5:G158,2,FALSE)="","-",VLOOKUP('2. EAL Surfer - Tier 1 EALs'!H3,'Table D-4a (Aquatic Goals Sum)'!A5:G158,2,FALSE))</f>
        <v>0.04</v>
      </c>
      <c r="D81" s="117" t="s">
        <v>403</v>
      </c>
      <c r="H81" s="1087"/>
    </row>
    <row r="82" spans="2:8">
      <c r="B82" s="159" t="s">
        <v>868</v>
      </c>
      <c r="C82" s="167">
        <f>IF(VLOOKUP('2. EAL Surfer - Tier 1 EALs'!H3,'Table D-4a (Aquatic Goals Sum)'!A5:G158,3,FALSE)="","-",VLOOKUP('2. EAL Surfer - Tier 1 EALs'!H3,'Table D-4a (Aquatic Goals Sum)'!A5:G158,3,FALSE))</f>
        <v>0.04</v>
      </c>
      <c r="D82" s="117" t="s">
        <v>403</v>
      </c>
      <c r="H82" s="1087"/>
    </row>
    <row r="83" spans="2:8" ht="13.5" thickBot="1">
      <c r="B83" s="163" t="s">
        <v>869</v>
      </c>
      <c r="C83" s="249">
        <f>IF(IF('2. EAL Surfer - Tier 1 EALs'!D10='2. EAL Surfer - Tier 1 EALs'!S13,C81,C82)=0,"-",IF('2. EAL Surfer - Tier 1 EALs'!D10='2. EAL Surfer - Tier 1 EALs'!S13,C81,C82))</f>
        <v>0.04</v>
      </c>
      <c r="D83" s="117" t="s">
        <v>403</v>
      </c>
      <c r="H83" s="1087"/>
    </row>
    <row r="84" spans="2:8" ht="13.15">
      <c r="B84" s="254" t="s">
        <v>270</v>
      </c>
      <c r="C84" s="255"/>
      <c r="D84" s="256"/>
      <c r="H84" s="1087"/>
    </row>
    <row r="85" spans="2:8">
      <c r="B85" s="159" t="s">
        <v>502</v>
      </c>
      <c r="C85" s="167">
        <f>VLOOKUP('2. EAL Surfer - Tier 1 EALs'!H3,'Table G-1 (GW-DW Ceiling)'!A4:G157,2,FALSE)</f>
        <v>10</v>
      </c>
      <c r="D85" s="117" t="s">
        <v>720</v>
      </c>
      <c r="H85" s="1087"/>
    </row>
    <row r="86" spans="2:8">
      <c r="B86" s="159" t="s">
        <v>263</v>
      </c>
      <c r="C86" s="167">
        <f>VLOOKUP('2. EAL Surfer - Tier 1 EALs'!H3,'Table G-2 (GW-NDW Ceiling)'!A4:G157,2,FALSE)</f>
        <v>100</v>
      </c>
      <c r="D86" s="117" t="s">
        <v>210</v>
      </c>
      <c r="H86" s="1087"/>
    </row>
    <row r="87" spans="2:8" ht="13.5" thickBot="1">
      <c r="B87" s="164" t="s">
        <v>792</v>
      </c>
      <c r="C87" s="248">
        <f>IF(IF('2. EAL Surfer - Tier 1 EALs'!D7='2. EAL Surfer - Tier 1 EALs'!P13,C85,C86)=0,"-",IF('2. EAL Surfer - Tier 1 EALs'!D7='2. EAL Surfer - Tier 1 EALs'!P13,C85,C86))</f>
        <v>10</v>
      </c>
      <c r="D87" s="165" t="str">
        <f>IF('2. EAL Surfer - Tier 1 EALs'!D7='2. EAL Surfer - Tier 1 EALs'!P13,"Table G-1","Table G-2")</f>
        <v>Table G-1</v>
      </c>
      <c r="H87" s="1087"/>
    </row>
    <row r="88" spans="2:8" ht="13.5" thickTop="1">
      <c r="B88" s="157" t="s">
        <v>216</v>
      </c>
      <c r="C88" s="200">
        <f>MIN(C75,C79,C83,C87)</f>
        <v>0.04</v>
      </c>
      <c r="D88" s="166"/>
      <c r="H88" s="1087"/>
    </row>
    <row r="89" spans="2:8" ht="13.5" thickBot="1">
      <c r="B89" s="164" t="s">
        <v>677</v>
      </c>
      <c r="C89" s="165" t="str">
        <f>IF(C88=C75,B75,IF(C88=C79,B79,IF(C88=C83,B80,B84)))</f>
        <v>Drinking Water Toxicity</v>
      </c>
      <c r="D89" s="167"/>
      <c r="H89" s="1087"/>
    </row>
    <row r="90" spans="2:8" ht="13.5" thickTop="1" thickBot="1">
      <c r="B90" s="168"/>
      <c r="C90" s="167"/>
      <c r="D90" s="167"/>
      <c r="H90" s="1087"/>
    </row>
    <row r="91" spans="2:8" ht="15.75" thickTop="1" thickBot="1">
      <c r="B91" s="258" t="s">
        <v>217</v>
      </c>
      <c r="C91" s="259"/>
      <c r="D91" s="260" t="s">
        <v>308</v>
      </c>
      <c r="H91" s="1087"/>
    </row>
    <row r="92" spans="2:8" ht="13.15">
      <c r="B92" s="254" t="s">
        <v>934</v>
      </c>
      <c r="C92" s="255"/>
      <c r="D92" s="256"/>
      <c r="H92" s="1087"/>
    </row>
    <row r="93" spans="2:8">
      <c r="B93" s="159" t="s">
        <v>194</v>
      </c>
      <c r="C93" s="167">
        <f>IF(VLOOKUP('2. EAL Surfer - Tier 1 EALs'!H3,'Table C-3 (Indoor Air Goals)'!A8:L161,6,FALSE)="","-",VLOOKUP('2. EAL Surfer - Tier 1 EALs'!H3,'Table C-3 (Indoor Air Goals)'!A8:L161,6,FALSE))</f>
        <v>1.6898148148148143E-4</v>
      </c>
      <c r="D93" s="117" t="s">
        <v>733</v>
      </c>
      <c r="H93" s="1087"/>
    </row>
    <row r="94" spans="2:8">
      <c r="B94" s="159" t="s">
        <v>195</v>
      </c>
      <c r="C94" s="167">
        <f>IF(VLOOKUP('2. EAL Surfer - Tier 1 EALs'!H3,'Table C-3 (Indoor Air Goals)'!A8:L161,9,FALSE)="","-",VLOOKUP('2. EAL Surfer - Tier 1 EALs'!H3,'Table C-3 (Indoor Air Goals)'!A8:L161,9,FALSE))</f>
        <v>2.0439999999999998E-3</v>
      </c>
      <c r="D94" s="117" t="s">
        <v>733</v>
      </c>
      <c r="H94" s="1087"/>
    </row>
    <row r="95" spans="2:8" ht="13.5" thickBot="1">
      <c r="B95" s="257" t="s">
        <v>264</v>
      </c>
      <c r="C95" s="272">
        <f>IF(IF('2. EAL Surfer - Tier 1 EALs'!D5='2. EAL Surfer - Tier 1 EALs'!O13,C93,C94)=0,"",IF('2. EAL Surfer - Tier 1 EALs'!D5='2. EAL Surfer - Tier 1 EALs'!O13,C93,C94))</f>
        <v>1.6898148148148143E-4</v>
      </c>
      <c r="D95" s="271" t="s">
        <v>733</v>
      </c>
      <c r="H95" s="1087"/>
    </row>
    <row r="96" spans="2:8" ht="13.15">
      <c r="B96" s="197" t="s">
        <v>676</v>
      </c>
      <c r="C96" s="167"/>
      <c r="D96" s="117"/>
      <c r="H96" s="1087"/>
    </row>
    <row r="97" spans="2:8">
      <c r="B97" s="159" t="s">
        <v>194</v>
      </c>
      <c r="C97" s="167">
        <f>IF(VLOOKUP('2. EAL Surfer - Tier 1 EALs'!H3,'Table C-2 (Soil Vapor to IA)'!A7:I160,4,FALSE)="","-",VLOOKUP('2. EAL Surfer - Tier 1 EALs'!H3,'Table C-2 (Soil Vapor to IA)'!A7:I160,4,FALSE))</f>
        <v>0.33796296296296285</v>
      </c>
      <c r="D97" s="117" t="s">
        <v>734</v>
      </c>
      <c r="H97" s="1087"/>
    </row>
    <row r="98" spans="2:8">
      <c r="B98" s="159" t="s">
        <v>195</v>
      </c>
      <c r="C98" s="167">
        <f>IF(VLOOKUP('2. EAL Surfer - Tier 1 EALs'!H3,'Table C-2 (Soil Vapor to IA)'!A7:I160,7,FALSE)="","-",VLOOKUP('2. EAL Surfer - Tier 1 EALs'!H3,'Table C-2 (Soil Vapor to IA)'!A7:I160,7,FALSE))</f>
        <v>8.1759999999999984</v>
      </c>
      <c r="D98" s="117" t="s">
        <v>734</v>
      </c>
      <c r="H98" s="1087"/>
    </row>
    <row r="99" spans="2:8" ht="13.5" thickBot="1">
      <c r="B99" s="164" t="s">
        <v>265</v>
      </c>
      <c r="C99" s="248">
        <f>IF(IF('2. EAL Surfer - Tier 1 EALs'!D5='2. EAL Surfer - Tier 1 EALs'!O13,C97,C98)=0,"",IF('2. EAL Surfer - Tier 1 EALs'!D5='2. EAL Surfer - Tier 1 EALs'!O13,C97,C98))</f>
        <v>0.33796296296296285</v>
      </c>
      <c r="D99" s="165" t="s">
        <v>734</v>
      </c>
      <c r="H99" s="1087"/>
    </row>
    <row r="100" spans="2:8" ht="13.15" thickTop="1"/>
  </sheetData>
  <sheetProtection algorithmName="SHA-512" hashValue="HWFYQOqwX2QS4tNghrAiL6hn+gtcdR+wzgJMKCcR3vB/8RH2aD7IwTT6iCOnC7tHxm/3+iUBKcPGS+SEEtWiLA==" saltValue="7hT9JDpxoIou58BrETjunA==" spinCount="100000" sheet="1" objects="1" scenarios="1"/>
  <phoneticPr fontId="18" type="noConversion"/>
  <pageMargins left="0.75" right="0.75" top="0.24" bottom="0.28000000000000003" header="0.17" footer="0.16"/>
  <pageSetup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55</vt:i4>
      </vt:variant>
    </vt:vector>
  </HeadingPairs>
  <TitlesOfParts>
    <vt:vector size="110" baseType="lpstr">
      <vt:lpstr>Updates 2026</vt:lpstr>
      <vt:lpstr>1. EAL Surfer - Instructions</vt:lpstr>
      <vt:lpstr>2. EAL Surfer - Tier 1 EALs</vt:lpstr>
      <vt:lpstr>3. EAL Surfer - Detailed EALs</vt:lpstr>
      <vt:lpstr>4. EAL Surfer - Surfer Report</vt:lpstr>
      <vt:lpstr>5.ESL Surfer - Chemical Summary</vt:lpstr>
      <vt:lpstr>6. Advanced EHE Options</vt:lpstr>
      <vt:lpstr>7. EAL Surfer - Glossary</vt:lpstr>
      <vt:lpstr>Surfer Compiler HDOH</vt:lpstr>
      <vt:lpstr>Summary Table A (Soil &amp; GW)</vt:lpstr>
      <vt:lpstr>Summary Table B (Soil &amp; GW)</vt:lpstr>
      <vt:lpstr>Summary Table C (IA &amp; Soil Vap)</vt:lpstr>
      <vt:lpstr>Summary Table D (SW)</vt:lpstr>
      <vt:lpstr>Summary Table E Leaching SV</vt:lpstr>
      <vt:lpstr>Summary Table F (CAS #s)</vt:lpstr>
      <vt:lpstr>Table A-1 (DW,SW&gt;150m)</vt:lpstr>
      <vt:lpstr>Table A-2 (DW, SW&lt;150m)</vt:lpstr>
      <vt:lpstr>Table B-1 (NDW,SW&gt;150m)</vt:lpstr>
      <vt:lpstr>Table B-2 (NDW, SW&lt;150m)</vt:lpstr>
      <vt:lpstr>Table C-1a (GW to IA)</vt:lpstr>
      <vt:lpstr>Table C-1b (Soil to IA)</vt:lpstr>
      <vt:lpstr>Table C-2 (Soil Vapor to IA)</vt:lpstr>
      <vt:lpstr>Table C-3 (Indoor Air Goals)</vt:lpstr>
      <vt:lpstr>Table D-1a (DW, SW&lt;150m)</vt:lpstr>
      <vt:lpstr>Table D-1b (DW, SW&gt;150m)</vt:lpstr>
      <vt:lpstr>Table D-1c (NDW, SW&lt;150m)</vt:lpstr>
      <vt:lpstr>Table D-1d (NDW, SW&gt;150m)</vt:lpstr>
      <vt:lpstr>Table D-2a (SW-Fresh)</vt:lpstr>
      <vt:lpstr>Table D-2b (SW-Marine)</vt:lpstr>
      <vt:lpstr>Table D-2c (SW-Estuary)</vt:lpstr>
      <vt:lpstr>Table D-3a (Final DW-Toxicity)</vt:lpstr>
      <vt:lpstr>Table D-3b  (Risk-Based DW ALs)</vt:lpstr>
      <vt:lpstr>Table D-4a (Aquatic Goals Sum)</vt:lpstr>
      <vt:lpstr>Table D-4b (Chronic Summary)</vt:lpstr>
      <vt:lpstr>Table D-4c (Acute Summary)</vt:lpstr>
      <vt:lpstr>Table D-4d (Aquatic Hawaii)</vt:lpstr>
      <vt:lpstr>Table D-4e (Aquatic USEPA, etc)</vt:lpstr>
      <vt:lpstr>Table D-4f (Aquatic Bioacc.)</vt:lpstr>
      <vt:lpstr>Table D-5 (Agricultural Use)</vt:lpstr>
      <vt:lpstr>Table E-1 Leaching Soil</vt:lpstr>
      <vt:lpstr>Table E-2 Leaching Soil Vapor</vt:lpstr>
      <vt:lpstr>Table F-1 (Ceiling Level Index)</vt:lpstr>
      <vt:lpstr>Table F-2 (Exposed Soils)</vt:lpstr>
      <vt:lpstr>Table F-3 (Isolated Soils)</vt:lpstr>
      <vt:lpstr>Table G-1 (GW-DW Ceiling)</vt:lpstr>
      <vt:lpstr>Table G-2 (GW-NDW Ceiling)</vt:lpstr>
      <vt:lpstr>Table G-3 (SW-DW Ceiling)</vt:lpstr>
      <vt:lpstr>Table G-4 (SW-NDW Ceiling)</vt:lpstr>
      <vt:lpstr>Table H (Constants)</vt:lpstr>
      <vt:lpstr>Table I-1 (Unrestricted SoilDE)</vt:lpstr>
      <vt:lpstr>Table I-2 (C-I Soil DE)</vt:lpstr>
      <vt:lpstr>Table I-3 (Construction DE)</vt:lpstr>
      <vt:lpstr>Table J (Target Health Effects)</vt:lpstr>
      <vt:lpstr>Table K (Soil Background)</vt:lpstr>
      <vt:lpstr>Table L (Soil Ecotoxicity)</vt:lpstr>
      <vt:lpstr>'1. EAL Surfer - Instructions'!Print_Area</vt:lpstr>
      <vt:lpstr>'2. EAL Surfer - Tier 1 EALs'!Print_Area</vt:lpstr>
      <vt:lpstr>'3. EAL Surfer - Detailed EALs'!Print_Area</vt:lpstr>
      <vt:lpstr>'4. EAL Surfer - Surfer Report'!Print_Area</vt:lpstr>
      <vt:lpstr>'5.ESL Surfer - Chemical Summary'!Print_Area</vt:lpstr>
      <vt:lpstr>'6. Advanced EHE Options'!Print_Area</vt:lpstr>
      <vt:lpstr>'Summary Table A (Soil &amp; GW)'!Print_Area</vt:lpstr>
      <vt:lpstr>'Summary Table E Leaching SV'!Print_Area</vt:lpstr>
      <vt:lpstr>'Table D-4e (Aquatic USEPA, etc)'!Print_Area</vt:lpstr>
      <vt:lpstr>'Table H (Constants)'!Print_Area</vt:lpstr>
      <vt:lpstr>'Table K (Soil Background)'!Print_Area</vt:lpstr>
      <vt:lpstr>'Summary Table A (Soil &amp; GW)'!Print_Titles</vt:lpstr>
      <vt:lpstr>'Summary Table B (Soil &amp; GW)'!Print_Titles</vt:lpstr>
      <vt:lpstr>'Summary Table C (IA &amp; Soil Vap)'!Print_Titles</vt:lpstr>
      <vt:lpstr>'Summary Table D (SW)'!Print_Titles</vt:lpstr>
      <vt:lpstr>'Summary Table E Leaching SV'!Print_Titles</vt:lpstr>
      <vt:lpstr>'Table A-1 (DW,SW&gt;150m)'!Print_Titles</vt:lpstr>
      <vt:lpstr>'Table A-2 (DW, SW&lt;150m)'!Print_Titles</vt:lpstr>
      <vt:lpstr>'Table B-1 (NDW,SW&gt;150m)'!Print_Titles</vt:lpstr>
      <vt:lpstr>'Table B-2 (NDW, SW&lt;150m)'!Print_Titles</vt:lpstr>
      <vt:lpstr>'Table C-1a (GW to IA)'!Print_Titles</vt:lpstr>
      <vt:lpstr>'Table C-1b (Soil to IA)'!Print_Titles</vt:lpstr>
      <vt:lpstr>'Table C-2 (Soil Vapor to IA)'!Print_Titles</vt:lpstr>
      <vt:lpstr>'Table C-3 (Indoor Air Goals)'!Print_Titles</vt:lpstr>
      <vt:lpstr>'Table D-1a (DW, SW&lt;150m)'!Print_Titles</vt:lpstr>
      <vt:lpstr>'Table D-1b (DW, SW&gt;150m)'!Print_Titles</vt:lpstr>
      <vt:lpstr>'Table D-1c (NDW, SW&lt;150m)'!Print_Titles</vt:lpstr>
      <vt:lpstr>'Table D-1d (NDW, SW&gt;150m)'!Print_Titles</vt:lpstr>
      <vt:lpstr>'Table D-2a (SW-Fresh)'!Print_Titles</vt:lpstr>
      <vt:lpstr>'Table D-2b (SW-Marine)'!Print_Titles</vt:lpstr>
      <vt:lpstr>'Table D-2c (SW-Estuary)'!Print_Titles</vt:lpstr>
      <vt:lpstr>'Table D-3a (Final DW-Toxicity)'!Print_Titles</vt:lpstr>
      <vt:lpstr>'Table D-3b  (Risk-Based DW ALs)'!Print_Titles</vt:lpstr>
      <vt:lpstr>'Table D-4a (Aquatic Goals Sum)'!Print_Titles</vt:lpstr>
      <vt:lpstr>'Table D-4b (Chronic Summary)'!Print_Titles</vt:lpstr>
      <vt:lpstr>'Table D-4c (Acute Summary)'!Print_Titles</vt:lpstr>
      <vt:lpstr>'Table D-4d (Aquatic Hawaii)'!Print_Titles</vt:lpstr>
      <vt:lpstr>'Table D-4e (Aquatic USEPA, etc)'!Print_Titles</vt:lpstr>
      <vt:lpstr>'Table D-4f (Aquatic Bioacc.)'!Print_Titles</vt:lpstr>
      <vt:lpstr>'Table D-5 (Agricultural Use)'!Print_Titles</vt:lpstr>
      <vt:lpstr>'Table E-1 Leaching Soil'!Print_Titles</vt:lpstr>
      <vt:lpstr>'Table E-2 Leaching Soil Vapor'!Print_Titles</vt:lpstr>
      <vt:lpstr>'Table F-2 (Exposed Soils)'!Print_Titles</vt:lpstr>
      <vt:lpstr>'Table F-3 (Isolated Soils)'!Print_Titles</vt:lpstr>
      <vt:lpstr>'Table G-1 (GW-DW Ceiling)'!Print_Titles</vt:lpstr>
      <vt:lpstr>'Table G-2 (GW-NDW Ceiling)'!Print_Titles</vt:lpstr>
      <vt:lpstr>'Table G-3 (SW-DW Ceiling)'!Print_Titles</vt:lpstr>
      <vt:lpstr>'Table G-4 (SW-NDW Ceiling)'!Print_Titles</vt:lpstr>
      <vt:lpstr>'Table H (Constants)'!Print_Titles</vt:lpstr>
      <vt:lpstr>'Table I-1 (Unrestricted SoilDE)'!Print_Titles</vt:lpstr>
      <vt:lpstr>'Table I-2 (C-I Soil DE)'!Print_Titles</vt:lpstr>
      <vt:lpstr>'Table I-3 (Construction DE)'!Print_Titles</vt:lpstr>
      <vt:lpstr>'Table J (Target Health Effects)'!Print_Titles</vt:lpstr>
      <vt:lpstr>'Table K (Soil Background)'!Print_Titles</vt:lpstr>
      <vt:lpstr>'Table L (Soil Ecotoxicity)'!Print_Titles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Honua Palolo</dc:creator>
  <cp:lastModifiedBy>Honua Palolo</cp:lastModifiedBy>
  <cp:lastPrinted>2024-06-11T18:00:26Z</cp:lastPrinted>
  <dcterms:created xsi:type="dcterms:W3CDTF">1999-05-06T02:39:42Z</dcterms:created>
  <dcterms:modified xsi:type="dcterms:W3CDTF">2026-05-15T05:58:20Z</dcterms:modified>
</cp:coreProperties>
</file>