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honua\Documents\Work\PFASs\PFAS EALs\AA PFAS EALs Guidance\PFAS EALs (Jan 2026)\"/>
    </mc:Choice>
  </mc:AlternateContent>
  <xr:revisionPtr revIDLastSave="0" documentId="13_ncr:1_{E59FAA25-212C-4A00-99F2-B8E68CD94283}" xr6:coauthVersionLast="47" xr6:coauthVersionMax="47" xr10:uidLastSave="{00000000-0000-0000-0000-000000000000}"/>
  <bookViews>
    <workbookView xWindow="525" yWindow="1020" windowWidth="20078" windowHeight="12855" tabRatio="876" activeTab="1" xr2:uid="{00000000-000D-0000-FFFF-FFFF00000000}"/>
  </bookViews>
  <sheets>
    <sheet name="Updates" sheetId="89" r:id="rId1"/>
    <sheet name="1. Total PFAS Calculator" sheetId="98" r:id="rId2"/>
    <sheet name="2. Sample Data Input" sheetId="103" r:id="rId3"/>
    <sheet name="3. PFAS Summary Action Levels" sheetId="113" r:id="rId4"/>
    <sheet name="4. Solids Total PFASs Risk" sheetId="114" r:id="rId5"/>
    <sheet name="5. Liquids Total PFASs Risk" sheetId="115" r:id="rId6"/>
    <sheet name="6. Aquatic Toxicity Risk" sheetId="112" r:id="rId7"/>
    <sheet name="Default Action Level Constants" sheetId="116" r:id="rId8"/>
  </sheets>
  <definedNames>
    <definedName name="_xlnm.Print_Area" localSheetId="1">'1. Total PFAS Calculator'!$B$2:$I$49</definedName>
    <definedName name="_xlnm.Print_Area" localSheetId="2">'2. Sample Data Input'!$B$1:$E$34</definedName>
    <definedName name="_xlnm.Print_Area" localSheetId="3">'3. PFAS Summary Action Levels'!$B$3:$I$32</definedName>
    <definedName name="_xlnm.Print_Area" localSheetId="4">'4. Solids Total PFASs Risk'!$B$1:$P$35</definedName>
    <definedName name="_xlnm.Print_Area" localSheetId="5">'5. Liquids Total PFASs Risk'!$B$1:$P$34</definedName>
    <definedName name="_xlnm.Print_Area" localSheetId="6">'6. Aquatic Toxicity Risk'!$B$1:$K$28</definedName>
    <definedName name="_xlnm.Print_Area" localSheetId="7">'Default Action Level Constants'!$B$2:$Q$42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15" l="1"/>
  <c r="O27" i="115"/>
  <c r="N27" i="115"/>
  <c r="M27" i="115"/>
  <c r="L27" i="115"/>
  <c r="K27" i="115"/>
  <c r="J27" i="115"/>
  <c r="I27" i="115"/>
  <c r="H27" i="115"/>
  <c r="G27" i="115"/>
  <c r="O27" i="114"/>
  <c r="N27" i="114"/>
  <c r="P27" i="114" s="1"/>
  <c r="M27" i="114"/>
  <c r="L27" i="114"/>
  <c r="K27" i="114"/>
  <c r="J27" i="114"/>
  <c r="I27" i="114"/>
  <c r="E26" i="112"/>
  <c r="F26" i="112"/>
  <c r="G26" i="112"/>
  <c r="H26" i="112"/>
  <c r="I26" i="112"/>
  <c r="J26" i="112"/>
  <c r="K26" i="112"/>
  <c r="F26" i="115"/>
  <c r="G26" i="115"/>
  <c r="H26" i="115"/>
  <c r="I26" i="115"/>
  <c r="J26" i="115"/>
  <c r="K26" i="115"/>
  <c r="L26" i="115"/>
  <c r="M26" i="115"/>
  <c r="N26" i="115"/>
  <c r="P26" i="115" s="1"/>
  <c r="O26" i="115"/>
  <c r="F26" i="114"/>
  <c r="G26" i="114"/>
  <c r="J26" i="114" s="1"/>
  <c r="H26" i="114"/>
  <c r="I26" i="114" l="1"/>
  <c r="K26" i="114"/>
  <c r="N26" i="114"/>
  <c r="P26" i="114" s="1"/>
  <c r="M26" i="114"/>
  <c r="O26" i="114" s="1"/>
  <c r="L26" i="114"/>
  <c r="E32" i="103"/>
  <c r="D32" i="103"/>
  <c r="E38" i="98"/>
  <c r="F42" i="98"/>
  <c r="H42" i="98"/>
  <c r="G8" i="115"/>
  <c r="H8" i="115"/>
  <c r="G9" i="115"/>
  <c r="H9" i="115"/>
  <c r="G10" i="115"/>
  <c r="H10" i="115"/>
  <c r="G11" i="115"/>
  <c r="H11" i="115"/>
  <c r="G12" i="115"/>
  <c r="H12" i="115"/>
  <c r="G13" i="115"/>
  <c r="H13" i="115"/>
  <c r="G14" i="115"/>
  <c r="H14" i="115"/>
  <c r="G15" i="115"/>
  <c r="H15" i="115"/>
  <c r="G16" i="115"/>
  <c r="H16" i="115"/>
  <c r="G17" i="115"/>
  <c r="H17" i="115"/>
  <c r="G18" i="115"/>
  <c r="H18" i="115"/>
  <c r="G19" i="115"/>
  <c r="H19" i="115"/>
  <c r="G20" i="115"/>
  <c r="H20" i="115"/>
  <c r="G21" i="115"/>
  <c r="H21" i="115"/>
  <c r="G22" i="115"/>
  <c r="H22" i="115"/>
  <c r="G23" i="115"/>
  <c r="H23" i="115"/>
  <c r="G24" i="115"/>
  <c r="H24" i="115"/>
  <c r="G25" i="115"/>
  <c r="H25" i="115"/>
  <c r="H7" i="115"/>
  <c r="G7" i="115"/>
  <c r="G8" i="114"/>
  <c r="H8" i="114"/>
  <c r="G9" i="114"/>
  <c r="H9" i="114"/>
  <c r="G10" i="114"/>
  <c r="H10" i="114"/>
  <c r="G11" i="114"/>
  <c r="H11" i="114"/>
  <c r="G12" i="114"/>
  <c r="H12" i="114"/>
  <c r="G13" i="114"/>
  <c r="H13" i="114"/>
  <c r="G14" i="114"/>
  <c r="H14" i="114"/>
  <c r="G15" i="114"/>
  <c r="H15" i="114"/>
  <c r="G16" i="114"/>
  <c r="H16" i="114"/>
  <c r="G17" i="114"/>
  <c r="H17" i="114"/>
  <c r="G18" i="114"/>
  <c r="H18" i="114"/>
  <c r="G19" i="114"/>
  <c r="H19" i="114"/>
  <c r="G20" i="114"/>
  <c r="H20" i="114"/>
  <c r="G21" i="114"/>
  <c r="H21" i="114"/>
  <c r="G22" i="114"/>
  <c r="H22" i="114"/>
  <c r="G23" i="114"/>
  <c r="H23" i="114"/>
  <c r="G24" i="114"/>
  <c r="H24" i="114"/>
  <c r="G25" i="114"/>
  <c r="H25" i="114"/>
  <c r="H7" i="114"/>
  <c r="G7" i="114"/>
  <c r="F18" i="115"/>
  <c r="G27" i="114" l="1"/>
  <c r="H27" i="114"/>
  <c r="I14" i="115"/>
  <c r="K14" i="115" s="1"/>
  <c r="I13" i="115"/>
  <c r="K13" i="115" s="1"/>
  <c r="E13" i="112"/>
  <c r="F13" i="112"/>
  <c r="I13" i="112"/>
  <c r="J13" i="112"/>
  <c r="F13" i="115"/>
  <c r="F13" i="114"/>
  <c r="M13" i="114" s="1"/>
  <c r="H32" i="98"/>
  <c r="H31" i="98"/>
  <c r="C3" i="112"/>
  <c r="C2" i="112"/>
  <c r="C1" i="112"/>
  <c r="C3" i="103"/>
  <c r="C2" i="103"/>
  <c r="C1" i="103"/>
  <c r="C3" i="114"/>
  <c r="C2" i="114"/>
  <c r="C1" i="114"/>
  <c r="C2" i="115"/>
  <c r="C3" i="115"/>
  <c r="C1" i="115"/>
  <c r="E39" i="98"/>
  <c r="L28" i="115"/>
  <c r="L28" i="114"/>
  <c r="F9" i="114"/>
  <c r="M9" i="114" s="1"/>
  <c r="F10" i="114"/>
  <c r="M10" i="114" s="1"/>
  <c r="O10" i="114" s="1"/>
  <c r="F19" i="114"/>
  <c r="M19" i="114" s="1"/>
  <c r="F12" i="114"/>
  <c r="M12" i="114" s="1"/>
  <c r="O12" i="114" s="1"/>
  <c r="F15" i="114"/>
  <c r="M15" i="114" s="1"/>
  <c r="F17" i="114"/>
  <c r="M17" i="114" s="1"/>
  <c r="F21" i="114"/>
  <c r="F23" i="114"/>
  <c r="M23" i="114" s="1"/>
  <c r="O23" i="114" s="1"/>
  <c r="F25" i="114"/>
  <c r="M25" i="114" s="1"/>
  <c r="O25" i="114" s="1"/>
  <c r="F11" i="115"/>
  <c r="F16" i="115"/>
  <c r="F20" i="115"/>
  <c r="F24" i="115"/>
  <c r="I8" i="115"/>
  <c r="K8" i="115" s="1"/>
  <c r="I9" i="115"/>
  <c r="I10" i="115"/>
  <c r="K10" i="115" s="1"/>
  <c r="I11" i="115"/>
  <c r="K11" i="115" s="1"/>
  <c r="I12" i="115"/>
  <c r="K12" i="115" s="1"/>
  <c r="I20" i="115"/>
  <c r="K20" i="115" s="1"/>
  <c r="I21" i="115"/>
  <c r="K21" i="115" s="1"/>
  <c r="I22" i="115"/>
  <c r="K22" i="115" s="1"/>
  <c r="I23" i="115"/>
  <c r="K23" i="115" s="1"/>
  <c r="I24" i="115"/>
  <c r="K24" i="115" s="1"/>
  <c r="I25" i="115"/>
  <c r="K25" i="115" s="1"/>
  <c r="L30" i="115"/>
  <c r="L30" i="114"/>
  <c r="F16" i="114"/>
  <c r="M16" i="114" s="1"/>
  <c r="F8" i="115"/>
  <c r="F9" i="115"/>
  <c r="F10" i="115"/>
  <c r="F12" i="115"/>
  <c r="F14" i="115"/>
  <c r="M14" i="115" s="1"/>
  <c r="O14" i="115" s="1"/>
  <c r="F15" i="115"/>
  <c r="F17" i="115"/>
  <c r="F19" i="115"/>
  <c r="F21" i="115"/>
  <c r="F22" i="115"/>
  <c r="F23" i="115"/>
  <c r="F25" i="115"/>
  <c r="F7" i="115"/>
  <c r="F8" i="114"/>
  <c r="M8" i="114" s="1"/>
  <c r="F11" i="114"/>
  <c r="M11" i="114" s="1"/>
  <c r="F14" i="114"/>
  <c r="M14" i="114" s="1"/>
  <c r="O14" i="114" s="1"/>
  <c r="F18" i="114"/>
  <c r="M18" i="114" s="1"/>
  <c r="F20" i="114"/>
  <c r="M20" i="114" s="1"/>
  <c r="F22" i="114"/>
  <c r="F24" i="114"/>
  <c r="M24" i="114" s="1"/>
  <c r="O24" i="114" s="1"/>
  <c r="F7" i="114"/>
  <c r="M7" i="114" s="1"/>
  <c r="D11" i="103"/>
  <c r="I8" i="112"/>
  <c r="J8" i="112"/>
  <c r="I9" i="112"/>
  <c r="J9" i="112"/>
  <c r="I10" i="112"/>
  <c r="J10" i="112"/>
  <c r="I11" i="112"/>
  <c r="J11" i="112"/>
  <c r="I12" i="112"/>
  <c r="J12" i="112"/>
  <c r="I14" i="112"/>
  <c r="J14" i="112"/>
  <c r="I15" i="112"/>
  <c r="J15" i="112"/>
  <c r="I16" i="112"/>
  <c r="J16" i="112"/>
  <c r="I17" i="112"/>
  <c r="J17" i="112"/>
  <c r="I18" i="112"/>
  <c r="J18" i="112"/>
  <c r="I19" i="112"/>
  <c r="J19" i="112"/>
  <c r="I20" i="112"/>
  <c r="J20" i="112"/>
  <c r="I21" i="112"/>
  <c r="J21" i="112"/>
  <c r="I22" i="112"/>
  <c r="J22" i="112"/>
  <c r="I23" i="112"/>
  <c r="J23" i="112"/>
  <c r="I24" i="112"/>
  <c r="J24" i="112"/>
  <c r="I25" i="112"/>
  <c r="J25" i="112"/>
  <c r="J7" i="112"/>
  <c r="I7" i="112"/>
  <c r="E8" i="112"/>
  <c r="F8" i="112"/>
  <c r="E9" i="112"/>
  <c r="F9" i="112"/>
  <c r="E10" i="112"/>
  <c r="F10" i="112"/>
  <c r="E11" i="112"/>
  <c r="F11" i="112"/>
  <c r="E12" i="112"/>
  <c r="F12" i="112"/>
  <c r="E14" i="112"/>
  <c r="F14" i="112"/>
  <c r="E15" i="112"/>
  <c r="F15" i="112"/>
  <c r="E16" i="112"/>
  <c r="F16" i="112"/>
  <c r="E17" i="112"/>
  <c r="F17" i="112"/>
  <c r="E18" i="112"/>
  <c r="F18" i="112"/>
  <c r="E19" i="112"/>
  <c r="F19" i="112"/>
  <c r="E20" i="112"/>
  <c r="F20" i="112"/>
  <c r="E21" i="112"/>
  <c r="F21" i="112"/>
  <c r="E22" i="112"/>
  <c r="F22" i="112"/>
  <c r="E23" i="112"/>
  <c r="F23" i="112"/>
  <c r="E24" i="112"/>
  <c r="F24" i="112"/>
  <c r="E25" i="112"/>
  <c r="F25" i="112"/>
  <c r="E7" i="112"/>
  <c r="F7" i="112"/>
  <c r="C32" i="103"/>
  <c r="B7" i="103"/>
  <c r="E11" i="103"/>
  <c r="E27" i="98"/>
  <c r="L29" i="114"/>
  <c r="M21" i="114"/>
  <c r="O21" i="114" s="1"/>
  <c r="M22" i="114"/>
  <c r="O22" i="114" s="1"/>
  <c r="J7" i="114"/>
  <c r="L14" i="115" l="1"/>
  <c r="O19" i="114"/>
  <c r="O8" i="114"/>
  <c r="L13" i="115"/>
  <c r="L31" i="114"/>
  <c r="L32" i="114" s="1"/>
  <c r="N8" i="115"/>
  <c r="P8" i="115" s="1"/>
  <c r="N12" i="115"/>
  <c r="P12" i="115" s="1"/>
  <c r="G25" i="112"/>
  <c r="H25" i="112" s="1"/>
  <c r="L21" i="115"/>
  <c r="I25" i="114"/>
  <c r="K25" i="114" s="1"/>
  <c r="J22" i="114"/>
  <c r="M25" i="115"/>
  <c r="O25" i="115" s="1"/>
  <c r="L25" i="115"/>
  <c r="J25" i="114"/>
  <c r="I21" i="114"/>
  <c r="K21" i="114" s="1"/>
  <c r="I18" i="115"/>
  <c r="N18" i="115" s="1"/>
  <c r="I16" i="115"/>
  <c r="L16" i="115" s="1"/>
  <c r="I23" i="114"/>
  <c r="K23" i="114" s="1"/>
  <c r="J23" i="115"/>
  <c r="L23" i="115"/>
  <c r="G8" i="112"/>
  <c r="K8" i="112" s="1"/>
  <c r="I24" i="114"/>
  <c r="K24" i="114" s="1"/>
  <c r="J23" i="114"/>
  <c r="J21" i="114"/>
  <c r="M24" i="115"/>
  <c r="O24" i="115" s="1"/>
  <c r="L24" i="115"/>
  <c r="M22" i="115"/>
  <c r="O22" i="115" s="1"/>
  <c r="L22" i="115"/>
  <c r="J24" i="114"/>
  <c r="I22" i="114"/>
  <c r="K22" i="114" s="1"/>
  <c r="J20" i="114"/>
  <c r="I16" i="114"/>
  <c r="J15" i="114"/>
  <c r="I12" i="114"/>
  <c r="K12" i="114" s="1"/>
  <c r="J11" i="114"/>
  <c r="I9" i="114"/>
  <c r="I7" i="115"/>
  <c r="K7" i="115" s="1"/>
  <c r="J13" i="114"/>
  <c r="I19" i="114"/>
  <c r="J18" i="114"/>
  <c r="I14" i="114"/>
  <c r="K14" i="114" s="1"/>
  <c r="I10" i="114"/>
  <c r="J8" i="114"/>
  <c r="M11" i="115"/>
  <c r="L11" i="115"/>
  <c r="M9" i="115"/>
  <c r="L9" i="115"/>
  <c r="M15" i="115"/>
  <c r="I7" i="114"/>
  <c r="K7" i="114" s="1"/>
  <c r="J19" i="114"/>
  <c r="I17" i="114"/>
  <c r="J16" i="114"/>
  <c r="J12" i="114"/>
  <c r="J9" i="114"/>
  <c r="M20" i="115"/>
  <c r="L20" i="115"/>
  <c r="I13" i="114"/>
  <c r="K13" i="114" s="1"/>
  <c r="O17" i="114"/>
  <c r="N10" i="115"/>
  <c r="P10" i="115" s="1"/>
  <c r="I20" i="114"/>
  <c r="K20" i="114" s="1"/>
  <c r="I18" i="114"/>
  <c r="J17" i="114"/>
  <c r="I15" i="114"/>
  <c r="K15" i="114" s="1"/>
  <c r="J14" i="114"/>
  <c r="I11" i="114"/>
  <c r="K11" i="114" s="1"/>
  <c r="J10" i="114"/>
  <c r="I8" i="114"/>
  <c r="K8" i="114" s="1"/>
  <c r="I19" i="115"/>
  <c r="N19" i="115" s="1"/>
  <c r="I17" i="115"/>
  <c r="I15" i="115"/>
  <c r="K15" i="115" s="1"/>
  <c r="M12" i="115"/>
  <c r="O12" i="115" s="1"/>
  <c r="L12" i="115"/>
  <c r="M10" i="115"/>
  <c r="O10" i="115" s="1"/>
  <c r="L10" i="115"/>
  <c r="L8" i="115"/>
  <c r="N25" i="115"/>
  <c r="P25" i="115" s="1"/>
  <c r="J22" i="115"/>
  <c r="M16" i="115"/>
  <c r="M7" i="115"/>
  <c r="M8" i="115"/>
  <c r="J14" i="115"/>
  <c r="N21" i="115"/>
  <c r="P21" i="115" s="1"/>
  <c r="G19" i="112"/>
  <c r="K19" i="112" s="1"/>
  <c r="G12" i="112"/>
  <c r="K12" i="112" s="1"/>
  <c r="M29" i="114"/>
  <c r="J24" i="115"/>
  <c r="J12" i="115"/>
  <c r="M19" i="115"/>
  <c r="N22" i="115"/>
  <c r="P22" i="115" s="1"/>
  <c r="N14" i="115"/>
  <c r="P14" i="115" s="1"/>
  <c r="J10" i="115"/>
  <c r="G24" i="112"/>
  <c r="K24" i="112" s="1"/>
  <c r="G18" i="112"/>
  <c r="K18" i="112" s="1"/>
  <c r="G9" i="112"/>
  <c r="K9" i="112" s="1"/>
  <c r="M18" i="115"/>
  <c r="M21" i="115"/>
  <c r="O21" i="115" s="1"/>
  <c r="J25" i="115"/>
  <c r="J13" i="115"/>
  <c r="G23" i="112"/>
  <c r="K23" i="112" s="1"/>
  <c r="G21" i="112"/>
  <c r="K21" i="112" s="1"/>
  <c r="G17" i="112"/>
  <c r="K17" i="112" s="1"/>
  <c r="G15" i="112"/>
  <c r="K15" i="112" s="1"/>
  <c r="G10" i="112"/>
  <c r="K10" i="112" s="1"/>
  <c r="M17" i="115"/>
  <c r="G7" i="112"/>
  <c r="K7" i="112" s="1"/>
  <c r="G22" i="112"/>
  <c r="K22" i="112" s="1"/>
  <c r="G20" i="112"/>
  <c r="K20" i="112" s="1"/>
  <c r="G16" i="112"/>
  <c r="K16" i="112" s="1"/>
  <c r="G11" i="112"/>
  <c r="K11" i="112" s="1"/>
  <c r="M23" i="115"/>
  <c r="O23" i="115" s="1"/>
  <c r="G14" i="112"/>
  <c r="K14" i="112" s="1"/>
  <c r="G13" i="112"/>
  <c r="K13" i="112" s="1"/>
  <c r="N13" i="115"/>
  <c r="P13" i="115" s="1"/>
  <c r="M13" i="115"/>
  <c r="O16" i="115" l="1"/>
  <c r="O9" i="115"/>
  <c r="O17" i="115"/>
  <c r="O19" i="115"/>
  <c r="O8" i="115"/>
  <c r="O11" i="115"/>
  <c r="O13" i="115"/>
  <c r="O20" i="115"/>
  <c r="H16" i="112"/>
  <c r="K17" i="114"/>
  <c r="O13" i="114"/>
  <c r="O9" i="114"/>
  <c r="O15" i="114"/>
  <c r="O16" i="114"/>
  <c r="O18" i="114"/>
  <c r="O20" i="114"/>
  <c r="O11" i="114"/>
  <c r="O7" i="114"/>
  <c r="H24" i="112"/>
  <c r="H13" i="112"/>
  <c r="H8" i="112"/>
  <c r="H15" i="112"/>
  <c r="H18" i="112"/>
  <c r="H7" i="112"/>
  <c r="H17" i="112"/>
  <c r="H11" i="112"/>
  <c r="H20" i="112"/>
  <c r="H19" i="112"/>
  <c r="H10" i="112"/>
  <c r="H21" i="112"/>
  <c r="H9" i="112"/>
  <c r="K25" i="112"/>
  <c r="H14" i="112"/>
  <c r="H22" i="112"/>
  <c r="H12" i="112"/>
  <c r="H23" i="112"/>
  <c r="K19" i="114"/>
  <c r="K10" i="114"/>
  <c r="L8" i="114"/>
  <c r="N8" i="114"/>
  <c r="P8" i="114" s="1"/>
  <c r="L16" i="114"/>
  <c r="N16" i="114"/>
  <c r="L18" i="114"/>
  <c r="N18" i="114"/>
  <c r="N12" i="114"/>
  <c r="P12" i="114" s="1"/>
  <c r="L12" i="114"/>
  <c r="L25" i="114"/>
  <c r="N25" i="114"/>
  <c r="P25" i="114" s="1"/>
  <c r="L15" i="114"/>
  <c r="N15" i="114"/>
  <c r="P15" i="114" s="1"/>
  <c r="L20" i="114"/>
  <c r="N20" i="114"/>
  <c r="P20" i="114" s="1"/>
  <c r="L13" i="114"/>
  <c r="N13" i="114"/>
  <c r="P13" i="114" s="1"/>
  <c r="L7" i="114"/>
  <c r="N7" i="114"/>
  <c r="P7" i="114" s="1"/>
  <c r="L10" i="114"/>
  <c r="N10" i="114"/>
  <c r="P10" i="114" s="1"/>
  <c r="L19" i="114"/>
  <c r="N19" i="114"/>
  <c r="L9" i="114"/>
  <c r="N9" i="114"/>
  <c r="L24" i="114"/>
  <c r="N24" i="114"/>
  <c r="P24" i="114" s="1"/>
  <c r="L21" i="114"/>
  <c r="N21" i="114"/>
  <c r="P21" i="114" s="1"/>
  <c r="L11" i="114"/>
  <c r="N11" i="114"/>
  <c r="P11" i="114" s="1"/>
  <c r="L17" i="114"/>
  <c r="N17" i="114"/>
  <c r="L14" i="114"/>
  <c r="N14" i="114"/>
  <c r="P14" i="114" s="1"/>
  <c r="L22" i="114"/>
  <c r="N22" i="114"/>
  <c r="P22" i="114" s="1"/>
  <c r="L23" i="114"/>
  <c r="N23" i="114"/>
  <c r="P23" i="114" s="1"/>
  <c r="L18" i="115"/>
  <c r="L15" i="115"/>
  <c r="N16" i="115"/>
  <c r="N17" i="115"/>
  <c r="L17" i="115"/>
  <c r="N15" i="115"/>
  <c r="P15" i="115" s="1"/>
  <c r="L7" i="115"/>
  <c r="L19" i="115"/>
  <c r="N24" i="115"/>
  <c r="P24" i="115" s="1"/>
  <c r="J18" i="115"/>
  <c r="J9" i="115"/>
  <c r="J20" i="115"/>
  <c r="N23" i="115"/>
  <c r="P23" i="115" s="1"/>
  <c r="N7" i="115"/>
  <c r="P7" i="115" s="1"/>
  <c r="O18" i="115"/>
  <c r="N20" i="115"/>
  <c r="P20" i="115" s="1"/>
  <c r="J8" i="115"/>
  <c r="J21" i="115"/>
  <c r="N11" i="115"/>
  <c r="P11" i="115" s="1"/>
  <c r="J7" i="115"/>
  <c r="J16" i="115"/>
  <c r="J15" i="115"/>
  <c r="J19" i="115"/>
  <c r="J17" i="115"/>
  <c r="J11" i="115"/>
  <c r="N9" i="115"/>
  <c r="P16" i="115" l="1"/>
  <c r="O7" i="115"/>
  <c r="O15" i="115"/>
  <c r="P16" i="114"/>
  <c r="P19" i="114"/>
  <c r="K16" i="114"/>
  <c r="K9" i="114"/>
  <c r="K18" i="114"/>
  <c r="E40" i="98"/>
  <c r="P17" i="114"/>
  <c r="G39" i="98"/>
  <c r="L29" i="115"/>
  <c r="L31" i="115" s="1"/>
  <c r="E41" i="98" s="1"/>
  <c r="K18" i="115"/>
  <c r="K9" i="115"/>
  <c r="K16" i="115"/>
  <c r="K19" i="115"/>
  <c r="K17" i="115"/>
  <c r="P18" i="115" l="1"/>
  <c r="P19" i="115"/>
  <c r="P17" i="115"/>
  <c r="P9" i="115"/>
  <c r="P9" i="114"/>
  <c r="P18" i="114"/>
  <c r="E43" i="98"/>
  <c r="F39" i="98" s="1"/>
  <c r="G40" i="98"/>
  <c r="M29" i="115"/>
  <c r="L32" i="115"/>
  <c r="G41" i="98" s="1"/>
  <c r="F40" i="98" l="1"/>
  <c r="B45" i="98"/>
  <c r="F41" i="98"/>
  <c r="G43" i="98"/>
  <c r="H39" i="98" s="1"/>
  <c r="F43" i="98" l="1"/>
  <c r="H41" i="98"/>
  <c r="B46" i="98"/>
  <c r="H40" i="98"/>
  <c r="H43" i="98" l="1"/>
</calcChain>
</file>

<file path=xl/sharedStrings.xml><?xml version="1.0" encoding="utf-8"?>
<sst xmlns="http://schemas.openxmlformats.org/spreadsheetml/2006/main" count="624" uniqueCount="323">
  <si>
    <t>Notes</t>
  </si>
  <si>
    <t>Commercial/Industrial</t>
  </si>
  <si>
    <t>Construction/Trench Worker</t>
  </si>
  <si>
    <t xml:space="preserve">References: </t>
  </si>
  <si>
    <t>45187-15-3</t>
  </si>
  <si>
    <t>108427-53-8</t>
  </si>
  <si>
    <t>146689-46-5</t>
  </si>
  <si>
    <t>45298-90-6</t>
  </si>
  <si>
    <t>126105-34-8</t>
  </si>
  <si>
    <t>45048-62-2</t>
  </si>
  <si>
    <t>45167-47-3</t>
  </si>
  <si>
    <t>92612-52-7</t>
  </si>
  <si>
    <t>120885-29-2</t>
  </si>
  <si>
    <t>45285-51-6</t>
  </si>
  <si>
    <t>72007-68-2</t>
  </si>
  <si>
    <t>73829-36-4</t>
  </si>
  <si>
    <t>196859-54-8</t>
  </si>
  <si>
    <t>171978-95-3</t>
  </si>
  <si>
    <t>862374-87-6</t>
  </si>
  <si>
    <t>365971-87-5</t>
  </si>
  <si>
    <t>Molecular
Weight</t>
  </si>
  <si>
    <r>
      <t>Perfluorobutane sulfonate (PFBS</t>
    </r>
    <r>
      <rPr>
        <vertAlign val="superscript"/>
        <sz val="10"/>
        <rFont val="Calibri"/>
        <family val="2"/>
      </rPr>
      <t>-</t>
    </r>
    <r>
      <rPr>
        <sz val="10"/>
        <rFont val="Calibri"/>
        <family val="2"/>
      </rPr>
      <t>)</t>
    </r>
  </si>
  <si>
    <r>
      <t>Perfluorohexane sulfonate (PFHxS</t>
    </r>
    <r>
      <rPr>
        <vertAlign val="superscript"/>
        <sz val="10"/>
        <rFont val="Calibri"/>
        <family val="2"/>
      </rPr>
      <t>-</t>
    </r>
    <r>
      <rPr>
        <sz val="10"/>
        <rFont val="Calibri"/>
        <family val="2"/>
      </rPr>
      <t>)</t>
    </r>
  </si>
  <si>
    <r>
      <t>Perfluorooctane sulfonate (PFOS</t>
    </r>
    <r>
      <rPr>
        <vertAlign val="superscript"/>
        <sz val="10"/>
        <rFont val="Calibri"/>
        <family val="2"/>
      </rPr>
      <t>-</t>
    </r>
    <r>
      <rPr>
        <sz val="10"/>
        <rFont val="Calibri"/>
        <family val="2"/>
      </rPr>
      <t>)</t>
    </r>
  </si>
  <si>
    <r>
      <t>Perfluorodecane sulfonate (PFDS</t>
    </r>
    <r>
      <rPr>
        <vertAlign val="superscript"/>
        <sz val="10"/>
        <rFont val="Calibri"/>
        <family val="2"/>
      </rPr>
      <t>-</t>
    </r>
    <r>
      <rPr>
        <sz val="10"/>
        <rFont val="Calibri"/>
        <family val="2"/>
      </rPr>
      <t>)</t>
    </r>
  </si>
  <si>
    <r>
      <t>Perfluoro butanoate (PFBA</t>
    </r>
    <r>
      <rPr>
        <vertAlign val="superscript"/>
        <sz val="10"/>
        <rFont val="Calibri"/>
        <family val="2"/>
      </rPr>
      <t>-</t>
    </r>
    <r>
      <rPr>
        <sz val="10"/>
        <rFont val="Calibri"/>
        <family val="2"/>
      </rPr>
      <t>)</t>
    </r>
  </si>
  <si>
    <r>
      <t>Perfluoro pentanoate (PFPeA</t>
    </r>
    <r>
      <rPr>
        <vertAlign val="superscript"/>
        <sz val="10"/>
        <rFont val="Calibri"/>
        <family val="2"/>
      </rPr>
      <t>-</t>
    </r>
    <r>
      <rPr>
        <sz val="10"/>
        <rFont val="Calibri"/>
        <family val="2"/>
      </rPr>
      <t>)</t>
    </r>
  </si>
  <si>
    <r>
      <t>Perfluoro hexanoate (PFHxA</t>
    </r>
    <r>
      <rPr>
        <vertAlign val="superscript"/>
        <sz val="10"/>
        <rFont val="Calibri"/>
        <family val="2"/>
      </rPr>
      <t>-</t>
    </r>
    <r>
      <rPr>
        <sz val="10"/>
        <rFont val="Calibri"/>
        <family val="2"/>
      </rPr>
      <t>)</t>
    </r>
  </si>
  <si>
    <r>
      <t>Perfluoro heptanoate (PFHpA</t>
    </r>
    <r>
      <rPr>
        <vertAlign val="superscript"/>
        <sz val="10"/>
        <rFont val="Calibri"/>
        <family val="2"/>
      </rPr>
      <t>-</t>
    </r>
    <r>
      <rPr>
        <sz val="10"/>
        <rFont val="Calibri"/>
        <family val="2"/>
      </rPr>
      <t>)</t>
    </r>
  </si>
  <si>
    <r>
      <t>Perfluoro octanoate (PFOA</t>
    </r>
    <r>
      <rPr>
        <vertAlign val="superscript"/>
        <sz val="10"/>
        <rFont val="Calibri"/>
        <family val="2"/>
      </rPr>
      <t>-</t>
    </r>
    <r>
      <rPr>
        <sz val="10"/>
        <rFont val="Calibri"/>
        <family val="2"/>
      </rPr>
      <t>)</t>
    </r>
  </si>
  <si>
    <r>
      <t>Perfluoro nonanoate (PFNA</t>
    </r>
    <r>
      <rPr>
        <vertAlign val="superscript"/>
        <sz val="10"/>
        <rFont val="Calibri"/>
        <family val="2"/>
      </rPr>
      <t>-</t>
    </r>
    <r>
      <rPr>
        <sz val="10"/>
        <rFont val="Calibri"/>
        <family val="2"/>
      </rPr>
      <t>)</t>
    </r>
  </si>
  <si>
    <r>
      <t>Perfluoro decanoate (PFDA</t>
    </r>
    <r>
      <rPr>
        <vertAlign val="superscript"/>
        <sz val="10"/>
        <rFont val="Calibri"/>
        <family val="2"/>
      </rPr>
      <t>-</t>
    </r>
    <r>
      <rPr>
        <sz val="10"/>
        <rFont val="Calibri"/>
        <family val="2"/>
      </rPr>
      <t>)</t>
    </r>
  </si>
  <si>
    <r>
      <t>Perfluoro undecanoate (PFUnDA</t>
    </r>
    <r>
      <rPr>
        <vertAlign val="superscript"/>
        <sz val="10"/>
        <rFont val="Calibri"/>
        <family val="2"/>
      </rPr>
      <t>-</t>
    </r>
    <r>
      <rPr>
        <sz val="10"/>
        <rFont val="Calibri"/>
        <family val="2"/>
      </rPr>
      <t>)</t>
    </r>
  </si>
  <si>
    <r>
      <t>Perfluoro dodecanoate (PFDoDA</t>
    </r>
    <r>
      <rPr>
        <vertAlign val="superscript"/>
        <sz val="10"/>
        <rFont val="Calibri"/>
        <family val="2"/>
      </rPr>
      <t>-</t>
    </r>
    <r>
      <rPr>
        <sz val="10"/>
        <rFont val="Calibri"/>
        <family val="2"/>
      </rPr>
      <t>)</t>
    </r>
  </si>
  <si>
    <r>
      <t>Perfluoro tridecanoate (PFTrDA</t>
    </r>
    <r>
      <rPr>
        <vertAlign val="superscript"/>
        <sz val="10"/>
        <rFont val="Calibri"/>
        <family val="2"/>
      </rPr>
      <t>-</t>
    </r>
    <r>
      <rPr>
        <sz val="10"/>
        <rFont val="Calibri"/>
        <family val="2"/>
      </rPr>
      <t>)</t>
    </r>
  </si>
  <si>
    <r>
      <t>Perfluoro tetradecanoate (PFTeDA</t>
    </r>
    <r>
      <rPr>
        <vertAlign val="superscript"/>
        <sz val="10"/>
        <rFont val="Calibri"/>
        <family val="2"/>
      </rPr>
      <t>-</t>
    </r>
    <r>
      <rPr>
        <sz val="10"/>
        <rFont val="Calibri"/>
        <family val="2"/>
      </rPr>
      <t>)</t>
    </r>
  </si>
  <si>
    <t>Unrestricted (e.g., Residential)</t>
  </si>
  <si>
    <r>
      <t>Perfluoroheptane sulfonate (PFHpS</t>
    </r>
    <r>
      <rPr>
        <vertAlign val="superscript"/>
        <sz val="10"/>
        <color theme="1"/>
        <rFont val="Calibri"/>
        <family val="2"/>
      </rPr>
      <t>-</t>
    </r>
    <r>
      <rPr>
        <sz val="10"/>
        <color theme="1"/>
        <rFont val="Calibri"/>
        <family val="2"/>
      </rPr>
      <t>)</t>
    </r>
  </si>
  <si>
    <r>
      <t>Perfluoro propanoate (PFPrA</t>
    </r>
    <r>
      <rPr>
        <vertAlign val="superscript"/>
        <sz val="10"/>
        <rFont val="Calibri"/>
        <family val="2"/>
      </rPr>
      <t>-</t>
    </r>
    <r>
      <rPr>
        <sz val="10"/>
        <rFont val="Calibri"/>
        <family val="2"/>
      </rPr>
      <t>)</t>
    </r>
  </si>
  <si>
    <r>
      <t>C4F9SO3</t>
    </r>
    <r>
      <rPr>
        <vertAlign val="superscript"/>
        <sz val="10"/>
        <color rgb="FF231F20"/>
        <rFont val="Calibri"/>
        <family val="2"/>
        <scheme val="minor"/>
      </rPr>
      <t>-</t>
    </r>
  </si>
  <si>
    <r>
      <t>C6F13SO3</t>
    </r>
    <r>
      <rPr>
        <vertAlign val="superscript"/>
        <sz val="10"/>
        <color rgb="FF231F20"/>
        <rFont val="Calibri"/>
        <family val="2"/>
        <scheme val="minor"/>
      </rPr>
      <t>-</t>
    </r>
  </si>
  <si>
    <r>
      <t>C7F15SO3</t>
    </r>
    <r>
      <rPr>
        <vertAlign val="superscript"/>
        <sz val="10"/>
        <color rgb="FF231F20"/>
        <rFont val="Calibri"/>
        <family val="2"/>
        <scheme val="minor"/>
      </rPr>
      <t>-</t>
    </r>
  </si>
  <si>
    <r>
      <t>C8F17SO3</t>
    </r>
    <r>
      <rPr>
        <vertAlign val="superscript"/>
        <sz val="10"/>
        <color rgb="FF231F20"/>
        <rFont val="Calibri"/>
        <family val="2"/>
        <scheme val="minor"/>
      </rPr>
      <t>-</t>
    </r>
  </si>
  <si>
    <r>
      <t>C10F21SO3</t>
    </r>
    <r>
      <rPr>
        <vertAlign val="superscript"/>
        <sz val="10"/>
        <color rgb="FF231F20"/>
        <rFont val="Calibri"/>
        <family val="2"/>
        <scheme val="minor"/>
      </rPr>
      <t>-</t>
    </r>
  </si>
  <si>
    <r>
      <t>C3F7COO</t>
    </r>
    <r>
      <rPr>
        <vertAlign val="superscript"/>
        <sz val="10"/>
        <color rgb="FF231F20"/>
        <rFont val="Calibri"/>
        <family val="2"/>
        <scheme val="minor"/>
      </rPr>
      <t>-</t>
    </r>
  </si>
  <si>
    <r>
      <t>C4F9COO</t>
    </r>
    <r>
      <rPr>
        <vertAlign val="superscript"/>
        <sz val="10"/>
        <color rgb="FF231F20"/>
        <rFont val="Calibri"/>
        <family val="2"/>
        <scheme val="minor"/>
      </rPr>
      <t>-</t>
    </r>
  </si>
  <si>
    <r>
      <t>C3F5O2</t>
    </r>
    <r>
      <rPr>
        <vertAlign val="superscript"/>
        <sz val="10"/>
        <rFont val="Calibri"/>
        <family val="2"/>
        <scheme val="minor"/>
      </rPr>
      <t>-</t>
    </r>
  </si>
  <si>
    <r>
      <t>C5F11CO2</t>
    </r>
    <r>
      <rPr>
        <vertAlign val="superscript"/>
        <sz val="10"/>
        <color rgb="FF231F20"/>
        <rFont val="Calibri"/>
        <family val="2"/>
        <scheme val="minor"/>
      </rPr>
      <t>-</t>
    </r>
  </si>
  <si>
    <r>
      <t>C6F13CO2</t>
    </r>
    <r>
      <rPr>
        <vertAlign val="superscript"/>
        <sz val="10"/>
        <color rgb="FF231F20"/>
        <rFont val="Calibri"/>
        <family val="2"/>
        <scheme val="minor"/>
      </rPr>
      <t>-</t>
    </r>
  </si>
  <si>
    <r>
      <t>C7F15CO2</t>
    </r>
    <r>
      <rPr>
        <vertAlign val="superscript"/>
        <sz val="10"/>
        <color rgb="FF231F20"/>
        <rFont val="Calibri"/>
        <family val="2"/>
        <scheme val="minor"/>
      </rPr>
      <t>-</t>
    </r>
  </si>
  <si>
    <r>
      <t>C8F17CO2</t>
    </r>
    <r>
      <rPr>
        <vertAlign val="superscript"/>
        <sz val="10"/>
        <color rgb="FF231F20"/>
        <rFont val="Calibri"/>
        <family val="2"/>
        <scheme val="minor"/>
      </rPr>
      <t>-</t>
    </r>
  </si>
  <si>
    <r>
      <t>C9F19CO2</t>
    </r>
    <r>
      <rPr>
        <vertAlign val="superscript"/>
        <sz val="10"/>
        <color rgb="FF231F20"/>
        <rFont val="Calibri"/>
        <family val="2"/>
        <scheme val="minor"/>
      </rPr>
      <t>-</t>
    </r>
  </si>
  <si>
    <r>
      <t>C10F21CO2</t>
    </r>
    <r>
      <rPr>
        <vertAlign val="superscript"/>
        <sz val="10"/>
        <color rgb="FF231F20"/>
        <rFont val="Calibri"/>
        <family val="2"/>
        <scheme val="minor"/>
      </rPr>
      <t>-</t>
    </r>
  </si>
  <si>
    <r>
      <t>C11F23CO2</t>
    </r>
    <r>
      <rPr>
        <vertAlign val="superscript"/>
        <sz val="10"/>
        <color rgb="FF231F20"/>
        <rFont val="Calibri"/>
        <family val="2"/>
        <scheme val="minor"/>
      </rPr>
      <t>-</t>
    </r>
  </si>
  <si>
    <r>
      <t>C12F25CO2</t>
    </r>
    <r>
      <rPr>
        <vertAlign val="superscript"/>
        <sz val="10"/>
        <color rgb="FF231F20"/>
        <rFont val="Calibri"/>
        <family val="2"/>
        <scheme val="minor"/>
      </rPr>
      <t>-</t>
    </r>
  </si>
  <si>
    <r>
      <t>C13F27CO2</t>
    </r>
    <r>
      <rPr>
        <vertAlign val="superscript"/>
        <sz val="10"/>
        <color rgb="FF231F20"/>
        <rFont val="Calibri"/>
        <family val="2"/>
        <scheme val="minor"/>
      </rPr>
      <t>-</t>
    </r>
  </si>
  <si>
    <t># Fluorines</t>
  </si>
  <si>
    <r>
      <rPr>
        <vertAlign val="superscript"/>
        <sz val="10"/>
        <rFont val="Calibri"/>
        <family val="2"/>
      </rPr>
      <t>7</t>
    </r>
    <r>
      <rPr>
        <sz val="10"/>
        <rFont val="Calibri"/>
        <family val="2"/>
      </rPr>
      <t>Perfluoropentanesulfonate (PFPeS-)</t>
    </r>
  </si>
  <si>
    <t>Sample ID:</t>
  </si>
  <si>
    <t>44864-55-3</t>
  </si>
  <si>
    <t>Chemical
Formula</t>
  </si>
  <si>
    <t>Project Name:</t>
  </si>
  <si>
    <t>Step 1. Sample Information:</t>
  </si>
  <si>
    <t>Step 3. Select Current or Anticipated Land Use from pulldown list (Receptor):</t>
  </si>
  <si>
    <r>
      <rPr>
        <b/>
        <vertAlign val="superscript"/>
        <sz val="10"/>
        <color rgb="FF000000"/>
        <rFont val="Calibri"/>
        <family val="2"/>
      </rPr>
      <t>1</t>
    </r>
    <r>
      <rPr>
        <b/>
        <sz val="10"/>
        <color rgb="FF000000"/>
        <rFont val="Calibri"/>
        <family val="2"/>
      </rPr>
      <t>CAS #</t>
    </r>
  </si>
  <si>
    <r>
      <rPr>
        <b/>
        <vertAlign val="superscript"/>
        <sz val="10"/>
        <color rgb="FF000000"/>
        <rFont val="Calibri"/>
        <family val="2"/>
      </rPr>
      <t>1</t>
    </r>
    <r>
      <rPr>
        <b/>
        <sz val="10"/>
        <color rgb="FF000000"/>
        <rFont val="Calibri"/>
        <family val="2"/>
      </rPr>
      <t>Chemical</t>
    </r>
  </si>
  <si>
    <t>Date:</t>
  </si>
  <si>
    <t>Totals:</t>
  </si>
  <si>
    <t>Calculations</t>
  </si>
  <si>
    <t>Pre- &amp; Post-TOPs Data</t>
  </si>
  <si>
    <t>Input Pre-TOPs Concentration (ng/L)</t>
  </si>
  <si>
    <t>Input Pre-TOPs Concentration (µg/Kg)</t>
  </si>
  <si>
    <t>Input Post-TOPs Concentration (ng/L)</t>
  </si>
  <si>
    <t>Input Post-TOPs Concentration (µg/Kg)</t>
  </si>
  <si>
    <t>INPUT SAMPLE DATA</t>
  </si>
  <si>
    <t>Total Post-TOPs PFASs (ng/L):</t>
  </si>
  <si>
    <t>Total Post-TOPs PFASs (µg/Kg):</t>
  </si>
  <si>
    <t>Heading Options</t>
  </si>
  <si>
    <t>Tapwater Action Level (ng/L)</t>
  </si>
  <si>
    <t>Reference</t>
  </si>
  <si>
    <t>Soil Action Level (µg/Kg)</t>
  </si>
  <si>
    <t>Concentration (µg/kg)</t>
  </si>
  <si>
    <t>Concentration (ng/L)</t>
  </si>
  <si>
    <t>Total PFASs Risk Calculator</t>
  </si>
  <si>
    <t>Caution! Final Hazard Index &gt;1; additional review of potential health risk required.</t>
  </si>
  <si>
    <r>
      <t xml:space="preserve">Final Hazard Index </t>
    </r>
    <r>
      <rPr>
        <b/>
        <u/>
        <sz val="12"/>
        <color rgb="FF000000"/>
        <rFont val="Calibri"/>
        <family val="2"/>
      </rPr>
      <t>&lt;</t>
    </r>
    <r>
      <rPr>
        <b/>
        <sz val="12"/>
        <color rgb="FF000000"/>
        <rFont val="Calibri"/>
        <family val="2"/>
      </rPr>
      <t>1. Input sample data do not indicate a potential health risk.</t>
    </r>
  </si>
  <si>
    <r>
      <rPr>
        <b/>
        <vertAlign val="superscript"/>
        <sz val="10"/>
        <color rgb="FF000000"/>
        <rFont val="Calibri"/>
        <family val="2"/>
      </rPr>
      <t>2</t>
    </r>
    <r>
      <rPr>
        <b/>
        <sz val="10"/>
        <color rgb="FF000000"/>
        <rFont val="Calibri"/>
        <family val="2"/>
      </rPr>
      <t>CAS #</t>
    </r>
  </si>
  <si>
    <r>
      <rPr>
        <b/>
        <vertAlign val="superscript"/>
        <sz val="10"/>
        <color rgb="FF000000"/>
        <rFont val="Calibri"/>
        <family val="2"/>
      </rPr>
      <t>2</t>
    </r>
    <r>
      <rPr>
        <b/>
        <sz val="10"/>
        <color rgb="FF000000"/>
        <rFont val="Calibri"/>
        <family val="2"/>
      </rPr>
      <t>Chemical</t>
    </r>
  </si>
  <si>
    <t>Reference:</t>
  </si>
  <si>
    <t>Aquatic Toxicity
Action Level (Chronic)
(ng/L)</t>
  </si>
  <si>
    <t>Aquatic Toxicity
Action Level (Acute)
(ng/L)</t>
  </si>
  <si>
    <t>Aquatic Toxicity
Action Level (Chronic)</t>
  </si>
  <si>
    <t>Aquatic Toxicity
Action Level (Acute)</t>
  </si>
  <si>
    <t>Input Post-TOPs
Concentration Liquids
(ng/L)</t>
  </si>
  <si>
    <t>Input Absorbable Organic Fluorine Concentration (ng/L):</t>
  </si>
  <si>
    <t>Input Extractable Organic Fluorine Concentration (µg/Kg):</t>
  </si>
  <si>
    <t>PFAS Group</t>
  </si>
  <si>
    <t>CAS #</t>
  </si>
  <si>
    <t>Chemical</t>
  </si>
  <si>
    <t>Refer to accompaning, PFAS Technical Memorandum for earlier updates</t>
  </si>
  <si>
    <t>Step 2. Select Media Type from pulldown list:</t>
  </si>
  <si>
    <r>
      <rPr>
        <b/>
        <vertAlign val="superscript"/>
        <sz val="10"/>
        <rFont val="Arial"/>
        <family val="2"/>
      </rPr>
      <t>1</t>
    </r>
    <r>
      <rPr>
        <b/>
        <sz val="10"/>
        <rFont val="Arial"/>
        <family val="2"/>
      </rPr>
      <t>Input Excess Fluorine Mass Adjustment Factor (default = 1.73):</t>
    </r>
  </si>
  <si>
    <t>Input Sample TOF (µg/kg):</t>
  </si>
  <si>
    <t>Input Sample TOF (ng/L):</t>
  </si>
  <si>
    <t>Other:</t>
  </si>
  <si>
    <r>
      <rPr>
        <b/>
        <sz val="12"/>
        <rFont val="Calibri"/>
        <family val="2"/>
      </rPr>
      <t>Step 1.</t>
    </r>
    <r>
      <rPr>
        <sz val="12"/>
        <rFont val="Calibri"/>
        <family val="2"/>
      </rPr>
      <t xml:space="preserve"> Input Project Name, Sample Identification Code, Date and other desired information.</t>
    </r>
  </si>
  <si>
    <r>
      <rPr>
        <b/>
        <sz val="12"/>
        <rFont val="Calibri"/>
        <family val="2"/>
      </rPr>
      <t>Step 2.</t>
    </r>
    <r>
      <rPr>
        <sz val="12"/>
        <rFont val="Calibri"/>
        <family val="2"/>
      </rPr>
      <t xml:space="preserve"> Select sample media type ("Solid" = Soil, Biosolids, Sediment, etc.; "Liquid" = Drinking Water, Wastewater, Irrigation Water, Groundwater, etc.).</t>
    </r>
  </si>
  <si>
    <t>Instructions:</t>
  </si>
  <si>
    <r>
      <rPr>
        <b/>
        <sz val="12"/>
        <rFont val="Calibri"/>
        <family val="2"/>
      </rPr>
      <t>Step 3.</t>
    </r>
    <r>
      <rPr>
        <sz val="12"/>
        <rFont val="Calibri"/>
        <family val="2"/>
      </rPr>
      <t xml:space="preserve"> Select Land Use Exposure Scenario from Pulldown List (applies to Soil only).</t>
    </r>
  </si>
  <si>
    <t>Hawaii Department of Health, Hazard Evaluation and Emergency Response</t>
  </si>
  <si>
    <r>
      <t xml:space="preserve">1. </t>
    </r>
    <r>
      <rPr>
        <b/>
        <sz val="10"/>
        <rFont val="Calibri"/>
        <family val="2"/>
      </rPr>
      <t>CAS # and compound name</t>
    </r>
    <r>
      <rPr>
        <sz val="10"/>
        <rFont val="Calibri"/>
        <family val="2"/>
      </rPr>
      <t xml:space="preserve"> refer to anion form of PFAS, assumed to be dominant in environmental samples (noted by "-" sign after abbreviation; refer to "PFASs Nomenclature -Anions" worksheet and accompanying Technical Memorandum.</t>
    </r>
  </si>
  <si>
    <t>Worksheet 4: Calculation of Total PFASs Risk - Solids</t>
  </si>
  <si>
    <t>Worksheet 5: Calculation of Total PFASs Risk - Liquids</t>
  </si>
  <si>
    <r>
      <rPr>
        <b/>
        <sz val="10"/>
        <rFont val="Calibri"/>
        <family val="2"/>
      </rPr>
      <t>2. CAS # and compound name</t>
    </r>
    <r>
      <rPr>
        <sz val="10"/>
        <rFont val="Calibri"/>
        <family val="2"/>
      </rPr>
      <t xml:space="preserve"> refer to anion form of PFAS, assumed to be dominant in environmental samples (noted by "-" sign after abbreviation; refer to "PFASs Nomenclature -Anions" worksheet and accompanying Technical Memorandum.</t>
    </r>
  </si>
  <si>
    <r>
      <rPr>
        <b/>
        <sz val="12"/>
        <rFont val="Calibri"/>
        <family val="2"/>
      </rPr>
      <t>1. Write Protection password "PFAS."</t>
    </r>
    <r>
      <rPr>
        <sz val="12"/>
        <rFont val="Calibri"/>
        <family val="2"/>
      </rPr>
      <t xml:space="preserve"> Remove </t>
    </r>
    <r>
      <rPr>
        <sz val="12"/>
        <color theme="1"/>
        <rFont val="Calibri"/>
        <family val="2"/>
      </rPr>
      <t>Write Protection</t>
    </r>
    <r>
      <rPr>
        <sz val="12"/>
        <rFont val="Calibri"/>
        <family val="2"/>
      </rPr>
      <t xml:space="preserve"> (under Review tab) to input alternative spreadsheet approaches or configuration. Provide in report for review by overseeing agency as necessary.</t>
    </r>
  </si>
  <si>
    <t>Perfluoropentanesulfonate (PFPeS-)</t>
  </si>
  <si>
    <t>Drinking Water Action Level</t>
  </si>
  <si>
    <t>Unrestricted</t>
  </si>
  <si>
    <t>Commercial/
Industrial</t>
  </si>
  <si>
    <t>Construction/
Trench Worker</t>
  </si>
  <si>
    <t>Excess Fluorine Hazard Quotient:</t>
  </si>
  <si>
    <r>
      <rPr>
        <b/>
        <sz val="12"/>
        <rFont val="Times New Roman"/>
        <family val="1"/>
      </rPr>
      <t xml:space="preserve">February 10, 2024: </t>
    </r>
    <r>
      <rPr>
        <sz val="12"/>
        <rFont val="Times New Roman"/>
        <family val="1"/>
      </rPr>
      <t>Drinking Water and Soil Action levels for PFBS</t>
    </r>
    <r>
      <rPr>
        <vertAlign val="superscript"/>
        <sz val="12"/>
        <rFont val="Times New Roman"/>
        <family val="1"/>
      </rPr>
      <t>-</t>
    </r>
    <r>
      <rPr>
        <sz val="12"/>
        <rFont val="Times New Roman"/>
        <family val="1"/>
      </rPr>
      <t xml:space="preserve"> and PFPeS</t>
    </r>
    <r>
      <rPr>
        <vertAlign val="superscript"/>
        <sz val="12"/>
        <rFont val="Times New Roman"/>
        <family val="1"/>
      </rPr>
      <t xml:space="preserve">- </t>
    </r>
    <r>
      <rPr>
        <sz val="12"/>
        <rFont val="Times New Roman"/>
        <family val="1"/>
      </rPr>
      <t>corrected.</t>
    </r>
  </si>
  <si>
    <r>
      <t>C5F11SO3</t>
    </r>
    <r>
      <rPr>
        <vertAlign val="superscript"/>
        <sz val="10"/>
        <rFont val="Calibri"/>
        <family val="2"/>
      </rPr>
      <t>-</t>
    </r>
  </si>
  <si>
    <r>
      <rPr>
        <b/>
        <sz val="12"/>
        <rFont val="Times New Roman"/>
        <family val="1"/>
      </rPr>
      <t>June 18, 2024:</t>
    </r>
    <r>
      <rPr>
        <sz val="12"/>
        <rFont val="Times New Roman"/>
        <family val="1"/>
      </rPr>
      <t xml:space="preserve"> Formatting for input sample Date corrected (no effect on calculator).</t>
    </r>
  </si>
  <si>
    <r>
      <rPr>
        <b/>
        <sz val="12"/>
        <rFont val="Times New Roman"/>
        <family val="1"/>
      </rPr>
      <t>June 30, 2024:</t>
    </r>
    <r>
      <rPr>
        <sz val="12"/>
        <rFont val="Times New Roman"/>
        <family val="1"/>
      </rPr>
      <t xml:space="preserve"> Formula for PFPeS</t>
    </r>
    <r>
      <rPr>
        <vertAlign val="superscript"/>
        <sz val="12"/>
        <rFont val="Times New Roman"/>
        <family val="1"/>
      </rPr>
      <t>-</t>
    </r>
    <r>
      <rPr>
        <sz val="12"/>
        <rFont val="Times New Roman"/>
        <family val="1"/>
      </rPr>
      <t xml:space="preserve"> corrected (no effect on calculator).</t>
    </r>
  </si>
  <si>
    <t>% Total Risk</t>
  </si>
  <si>
    <r>
      <rPr>
        <b/>
        <sz val="12"/>
        <rFont val="Times New Roman"/>
        <family val="1"/>
      </rPr>
      <t xml:space="preserve">July 3, 2024: </t>
    </r>
    <r>
      <rPr>
        <sz val="12"/>
        <rFont val="Times New Roman"/>
        <family val="1"/>
      </rPr>
      <t>Percent Total Risk calculation for individual PFASs added to Soil and Liquid Total PFAS Risk worksheets.</t>
    </r>
  </si>
  <si>
    <r>
      <rPr>
        <b/>
        <vertAlign val="superscript"/>
        <sz val="12"/>
        <color theme="1"/>
        <rFont val="Arial"/>
        <family val="2"/>
      </rPr>
      <t>1</t>
    </r>
    <r>
      <rPr>
        <b/>
        <sz val="12"/>
        <rFont val="Arial"/>
        <family val="2"/>
      </rPr>
      <t>Pre- &amp; Post-TOPs Data</t>
    </r>
  </si>
  <si>
    <t>1. Leave cell blank if "ND" or no data.</t>
  </si>
  <si>
    <r>
      <rPr>
        <b/>
        <vertAlign val="superscript"/>
        <sz val="10"/>
        <color rgb="FF000000"/>
        <rFont val="Calibri"/>
        <family val="2"/>
        <scheme val="minor"/>
      </rPr>
      <t>1</t>
    </r>
    <r>
      <rPr>
        <b/>
        <sz val="10"/>
        <color rgb="FF000000"/>
        <rFont val="Calibri"/>
        <family val="2"/>
        <scheme val="minor"/>
      </rPr>
      <t>CAS #</t>
    </r>
  </si>
  <si>
    <r>
      <rPr>
        <b/>
        <vertAlign val="superscript"/>
        <sz val="10"/>
        <color rgb="FF000000"/>
        <rFont val="Calibri"/>
        <family val="2"/>
        <scheme val="minor"/>
      </rPr>
      <t>1</t>
    </r>
    <r>
      <rPr>
        <b/>
        <sz val="10"/>
        <color rgb="FF000000"/>
        <rFont val="Calibri"/>
        <family val="2"/>
        <scheme val="minor"/>
      </rPr>
      <t>Chemical</t>
    </r>
  </si>
  <si>
    <r>
      <t>Perfluorobutane sulfonate (PFBS</t>
    </r>
    <r>
      <rPr>
        <vertAlign val="superscript"/>
        <sz val="10"/>
        <rFont val="Calibri"/>
        <family val="2"/>
        <scheme val="minor"/>
      </rPr>
      <t>-</t>
    </r>
    <r>
      <rPr>
        <sz val="10"/>
        <rFont val="Calibri"/>
        <family val="2"/>
        <scheme val="minor"/>
      </rPr>
      <t>)</t>
    </r>
  </si>
  <si>
    <r>
      <t>C5F11SO3</t>
    </r>
    <r>
      <rPr>
        <vertAlign val="superscript"/>
        <sz val="10"/>
        <rFont val="Calibri"/>
        <family val="2"/>
        <scheme val="minor"/>
      </rPr>
      <t>-</t>
    </r>
  </si>
  <si>
    <r>
      <t>Perfluorohexane sulfonate (PFHxS</t>
    </r>
    <r>
      <rPr>
        <vertAlign val="superscript"/>
        <sz val="10"/>
        <rFont val="Calibri"/>
        <family val="2"/>
        <scheme val="minor"/>
      </rPr>
      <t>-</t>
    </r>
    <r>
      <rPr>
        <sz val="10"/>
        <rFont val="Calibri"/>
        <family val="2"/>
        <scheme val="minor"/>
      </rPr>
      <t>)</t>
    </r>
  </si>
  <si>
    <r>
      <t>Perfluoroheptane sulfonate (PFHpS</t>
    </r>
    <r>
      <rPr>
        <vertAlign val="superscript"/>
        <sz val="10"/>
        <color theme="1"/>
        <rFont val="Calibri"/>
        <family val="2"/>
        <scheme val="minor"/>
      </rPr>
      <t>-</t>
    </r>
    <r>
      <rPr>
        <sz val="10"/>
        <color theme="1"/>
        <rFont val="Calibri"/>
        <family val="2"/>
        <scheme val="minor"/>
      </rPr>
      <t>)</t>
    </r>
  </si>
  <si>
    <r>
      <t>Perfluorooctane sulfonate (PFOS</t>
    </r>
    <r>
      <rPr>
        <vertAlign val="superscript"/>
        <sz val="10"/>
        <rFont val="Calibri"/>
        <family val="2"/>
        <scheme val="minor"/>
      </rPr>
      <t>-</t>
    </r>
    <r>
      <rPr>
        <sz val="10"/>
        <rFont val="Calibri"/>
        <family val="2"/>
        <scheme val="minor"/>
      </rPr>
      <t>)</t>
    </r>
  </si>
  <si>
    <r>
      <t>Perfluorodecane sulfonate (PFDS</t>
    </r>
    <r>
      <rPr>
        <vertAlign val="superscript"/>
        <sz val="10"/>
        <rFont val="Calibri"/>
        <family val="2"/>
        <scheme val="minor"/>
      </rPr>
      <t>-</t>
    </r>
    <r>
      <rPr>
        <sz val="10"/>
        <rFont val="Calibri"/>
        <family val="2"/>
        <scheme val="minor"/>
      </rPr>
      <t>)</t>
    </r>
  </si>
  <si>
    <r>
      <t>Perfluoro propanoate (PFPrA</t>
    </r>
    <r>
      <rPr>
        <vertAlign val="superscript"/>
        <sz val="10"/>
        <rFont val="Calibri"/>
        <family val="2"/>
        <scheme val="minor"/>
      </rPr>
      <t>-</t>
    </r>
    <r>
      <rPr>
        <sz val="10"/>
        <rFont val="Calibri"/>
        <family val="2"/>
        <scheme val="minor"/>
      </rPr>
      <t>)</t>
    </r>
  </si>
  <si>
    <r>
      <t>Perfluoro butanoate (PFBA</t>
    </r>
    <r>
      <rPr>
        <vertAlign val="superscript"/>
        <sz val="10"/>
        <rFont val="Calibri"/>
        <family val="2"/>
        <scheme val="minor"/>
      </rPr>
      <t>-</t>
    </r>
    <r>
      <rPr>
        <sz val="10"/>
        <rFont val="Calibri"/>
        <family val="2"/>
        <scheme val="minor"/>
      </rPr>
      <t>)</t>
    </r>
  </si>
  <si>
    <r>
      <t>Perfluoro pentanoate (PFPeA</t>
    </r>
    <r>
      <rPr>
        <vertAlign val="superscript"/>
        <sz val="10"/>
        <rFont val="Calibri"/>
        <family val="2"/>
        <scheme val="minor"/>
      </rPr>
      <t>-</t>
    </r>
    <r>
      <rPr>
        <sz val="10"/>
        <rFont val="Calibri"/>
        <family val="2"/>
        <scheme val="minor"/>
      </rPr>
      <t>)</t>
    </r>
  </si>
  <si>
    <r>
      <t>Perfluoro hexanoate (PFHxA</t>
    </r>
    <r>
      <rPr>
        <vertAlign val="superscript"/>
        <sz val="10"/>
        <rFont val="Calibri"/>
        <family val="2"/>
        <scheme val="minor"/>
      </rPr>
      <t>-</t>
    </r>
    <r>
      <rPr>
        <sz val="10"/>
        <rFont val="Calibri"/>
        <family val="2"/>
        <scheme val="minor"/>
      </rPr>
      <t>)</t>
    </r>
  </si>
  <si>
    <r>
      <t>Perfluoro heptanoate (PFHpA</t>
    </r>
    <r>
      <rPr>
        <vertAlign val="superscript"/>
        <sz val="10"/>
        <rFont val="Calibri"/>
        <family val="2"/>
        <scheme val="minor"/>
      </rPr>
      <t>-</t>
    </r>
    <r>
      <rPr>
        <sz val="10"/>
        <rFont val="Calibri"/>
        <family val="2"/>
        <scheme val="minor"/>
      </rPr>
      <t>)</t>
    </r>
  </si>
  <si>
    <r>
      <t>Perfluoro octanoate (PFOA</t>
    </r>
    <r>
      <rPr>
        <vertAlign val="superscript"/>
        <sz val="10"/>
        <rFont val="Calibri"/>
        <family val="2"/>
        <scheme val="minor"/>
      </rPr>
      <t>-</t>
    </r>
    <r>
      <rPr>
        <sz val="10"/>
        <rFont val="Calibri"/>
        <family val="2"/>
        <scheme val="minor"/>
      </rPr>
      <t>)</t>
    </r>
  </si>
  <si>
    <r>
      <t>Perfluoro nonanoate (PFNA</t>
    </r>
    <r>
      <rPr>
        <vertAlign val="superscript"/>
        <sz val="10"/>
        <rFont val="Calibri"/>
        <family val="2"/>
        <scheme val="minor"/>
      </rPr>
      <t>-</t>
    </r>
    <r>
      <rPr>
        <sz val="10"/>
        <rFont val="Calibri"/>
        <family val="2"/>
        <scheme val="minor"/>
      </rPr>
      <t>)</t>
    </r>
  </si>
  <si>
    <r>
      <t>Perfluoro decanoate (PFDA</t>
    </r>
    <r>
      <rPr>
        <vertAlign val="superscript"/>
        <sz val="10"/>
        <rFont val="Calibri"/>
        <family val="2"/>
        <scheme val="minor"/>
      </rPr>
      <t>-</t>
    </r>
    <r>
      <rPr>
        <sz val="10"/>
        <rFont val="Calibri"/>
        <family val="2"/>
        <scheme val="minor"/>
      </rPr>
      <t>)</t>
    </r>
  </si>
  <si>
    <r>
      <t>Perfluoro undecanoate (PFUnDA</t>
    </r>
    <r>
      <rPr>
        <vertAlign val="superscript"/>
        <sz val="10"/>
        <rFont val="Calibri"/>
        <family val="2"/>
        <scheme val="minor"/>
      </rPr>
      <t>-</t>
    </r>
    <r>
      <rPr>
        <sz val="10"/>
        <rFont val="Calibri"/>
        <family val="2"/>
        <scheme val="minor"/>
      </rPr>
      <t>)</t>
    </r>
  </si>
  <si>
    <r>
      <t>Perfluoro dodecanoate (PFDoDA</t>
    </r>
    <r>
      <rPr>
        <vertAlign val="superscript"/>
        <sz val="10"/>
        <rFont val="Calibri"/>
        <family val="2"/>
        <scheme val="minor"/>
      </rPr>
      <t>-</t>
    </r>
    <r>
      <rPr>
        <sz val="10"/>
        <rFont val="Calibri"/>
        <family val="2"/>
        <scheme val="minor"/>
      </rPr>
      <t>)</t>
    </r>
  </si>
  <si>
    <r>
      <t>Perfluoro tridecanoate (PFTrDA</t>
    </r>
    <r>
      <rPr>
        <vertAlign val="superscript"/>
        <sz val="10"/>
        <rFont val="Calibri"/>
        <family val="2"/>
        <scheme val="minor"/>
      </rPr>
      <t>-</t>
    </r>
    <r>
      <rPr>
        <sz val="10"/>
        <rFont val="Calibri"/>
        <family val="2"/>
        <scheme val="minor"/>
      </rPr>
      <t>)</t>
    </r>
  </si>
  <si>
    <r>
      <t>Perfluoro tetradecanoate (PFTeDA</t>
    </r>
    <r>
      <rPr>
        <vertAlign val="superscript"/>
        <sz val="10"/>
        <rFont val="Calibri"/>
        <family val="2"/>
        <scheme val="minor"/>
      </rPr>
      <t>-</t>
    </r>
    <r>
      <rPr>
        <sz val="10"/>
        <rFont val="Calibri"/>
        <family val="2"/>
        <scheme val="minor"/>
      </rPr>
      <t>)</t>
    </r>
  </si>
  <si>
    <r>
      <rPr>
        <b/>
        <sz val="12"/>
        <rFont val="Times New Roman"/>
        <family val="1"/>
      </rPr>
      <t>August 11, 2024:</t>
    </r>
    <r>
      <rPr>
        <sz val="12"/>
        <rFont val="Times New Roman"/>
        <family val="1"/>
      </rPr>
      <t xml:space="preserve"> Excess Fluorine Calculation footnotes corrected.</t>
    </r>
  </si>
  <si>
    <t>Step 5. Input TOF and Pre- &amp; Post-TOPs Sample Data on Worksheet 2.</t>
  </si>
  <si>
    <t>TABLE H. PHYSIO-CHEMICAL AND TOXICITY CONSTANTS USED IN MODELS.</t>
  </si>
  <si>
    <r>
      <rPr>
        <b/>
        <vertAlign val="superscript"/>
        <sz val="8"/>
        <color theme="1"/>
        <rFont val="Arial"/>
        <family val="2"/>
      </rPr>
      <t>1</t>
    </r>
    <r>
      <rPr>
        <b/>
        <sz val="8"/>
        <color theme="1"/>
        <rFont val="Arial"/>
        <family val="2"/>
      </rPr>
      <t>CAS #</t>
    </r>
  </si>
  <si>
    <r>
      <rPr>
        <b/>
        <vertAlign val="superscript"/>
        <sz val="8"/>
        <color theme="1"/>
        <rFont val="Arial"/>
        <family val="2"/>
      </rPr>
      <t>1</t>
    </r>
    <r>
      <rPr>
        <b/>
        <sz val="8"/>
        <color theme="1"/>
        <rFont val="Arial"/>
        <family val="2"/>
      </rPr>
      <t>Chemical</t>
    </r>
  </si>
  <si>
    <r>
      <rPr>
        <b/>
        <vertAlign val="superscript"/>
        <sz val="8"/>
        <color theme="1"/>
        <rFont val="Arial"/>
        <family val="2"/>
      </rPr>
      <t>2</t>
    </r>
    <r>
      <rPr>
        <b/>
        <sz val="8"/>
        <color theme="1"/>
        <rFont val="Arial"/>
        <family val="2"/>
      </rPr>
      <t>Physical
State</t>
    </r>
  </si>
  <si>
    <t>Organic
Carbon
Partition
coefficient,</t>
  </si>
  <si>
    <t>Diffusivity
in Air</t>
  </si>
  <si>
    <t>Diffusivity
in Water</t>
  </si>
  <si>
    <t>Pure
Component
Solubility
in Water</t>
  </si>
  <si>
    <r>
      <rPr>
        <b/>
        <vertAlign val="superscript"/>
        <sz val="8"/>
        <color theme="1"/>
        <rFont val="Arial"/>
        <family val="2"/>
      </rPr>
      <t>4</t>
    </r>
    <r>
      <rPr>
        <b/>
        <sz val="8"/>
        <color theme="1"/>
        <rFont val="Arial"/>
        <family val="2"/>
      </rPr>
      <t>Vapor
Pressure</t>
    </r>
  </si>
  <si>
    <t>Henry's
Law Constant</t>
  </si>
  <si>
    <t>GI Tract
Absorption
Factor</t>
  </si>
  <si>
    <t>Skin
Absorption
Factor</t>
  </si>
  <si>
    <t>Reference
Dose
(oral)</t>
  </si>
  <si>
    <t>Reference
Concentration
(inhalation)</t>
  </si>
  <si>
    <r>
      <t>K</t>
    </r>
    <r>
      <rPr>
        <b/>
        <vertAlign val="subscript"/>
        <sz val="8"/>
        <color theme="1"/>
        <rFont val="Arial"/>
        <family val="2"/>
      </rPr>
      <t>oc</t>
    </r>
  </si>
  <si>
    <r>
      <t>D</t>
    </r>
    <r>
      <rPr>
        <b/>
        <vertAlign val="subscript"/>
        <sz val="8"/>
        <color theme="1"/>
        <rFont val="Arial"/>
        <family val="2"/>
      </rPr>
      <t>a</t>
    </r>
  </si>
  <si>
    <r>
      <t>D</t>
    </r>
    <r>
      <rPr>
        <b/>
        <vertAlign val="subscript"/>
        <sz val="8"/>
        <color theme="1"/>
        <rFont val="Arial"/>
        <family val="2"/>
      </rPr>
      <t>w</t>
    </r>
  </si>
  <si>
    <t>S</t>
  </si>
  <si>
    <t>VP</t>
  </si>
  <si>
    <t>H</t>
  </si>
  <si>
    <t>H'</t>
  </si>
  <si>
    <t>GIABS</t>
  </si>
  <si>
    <t>ABS</t>
  </si>
  <si>
    <t>RfDo</t>
  </si>
  <si>
    <t>RfC</t>
  </si>
  <si>
    <t>MW</t>
  </si>
  <si>
    <r>
      <t>(cm</t>
    </r>
    <r>
      <rPr>
        <b/>
        <vertAlign val="superscript"/>
        <sz val="8"/>
        <color theme="1"/>
        <rFont val="Arial"/>
        <family val="2"/>
      </rPr>
      <t>3</t>
    </r>
    <r>
      <rPr>
        <b/>
        <sz val="8"/>
        <color theme="1"/>
        <rFont val="Arial"/>
        <family val="2"/>
      </rPr>
      <t>/g)</t>
    </r>
  </si>
  <si>
    <r>
      <t>(cm</t>
    </r>
    <r>
      <rPr>
        <b/>
        <vertAlign val="superscript"/>
        <sz val="8"/>
        <color theme="1"/>
        <rFont val="Arial"/>
        <family val="2"/>
      </rPr>
      <t>2</t>
    </r>
    <r>
      <rPr>
        <b/>
        <sz val="8"/>
        <color theme="1"/>
        <rFont val="Arial"/>
        <family val="2"/>
      </rPr>
      <t>/s)</t>
    </r>
  </si>
  <si>
    <t>(mg/L)</t>
  </si>
  <si>
    <t>(mm Hg)</t>
  </si>
  <si>
    <r>
      <t>(atm-m</t>
    </r>
    <r>
      <rPr>
        <b/>
        <vertAlign val="superscript"/>
        <sz val="8"/>
        <color theme="1"/>
        <rFont val="Arial"/>
        <family val="2"/>
      </rPr>
      <t>3</t>
    </r>
    <r>
      <rPr>
        <b/>
        <sz val="8"/>
        <color theme="1"/>
        <rFont val="Arial"/>
        <family val="2"/>
      </rPr>
      <t>/mol)</t>
    </r>
  </si>
  <si>
    <t>(unitless)</t>
  </si>
  <si>
    <t>(mg/kg-d)</t>
  </si>
  <si>
    <r>
      <t>(mg/m</t>
    </r>
    <r>
      <rPr>
        <b/>
        <vertAlign val="superscript"/>
        <sz val="8"/>
        <color theme="1"/>
        <rFont val="Arial"/>
        <family val="2"/>
      </rPr>
      <t>3</t>
    </r>
    <r>
      <rPr>
        <b/>
        <sz val="8"/>
        <color theme="1"/>
        <rFont val="Arial"/>
        <family val="2"/>
      </rPr>
      <t>)</t>
    </r>
  </si>
  <si>
    <r>
      <t>Perfluorobutane sulfonate (PFBS</t>
    </r>
    <r>
      <rPr>
        <vertAlign val="superscript"/>
        <sz val="8"/>
        <color theme="1"/>
        <rFont val="Arial"/>
        <family val="1"/>
        <charset val="204"/>
      </rPr>
      <t>-</t>
    </r>
    <r>
      <rPr>
        <sz val="8"/>
        <color theme="1"/>
        <rFont val="Arial"/>
        <family val="1"/>
        <charset val="204"/>
      </rPr>
      <t>)</t>
    </r>
  </si>
  <si>
    <t>175905-36-9</t>
  </si>
  <si>
    <r>
      <t>Perfluoropentane sulfonate (PFPeS</t>
    </r>
    <r>
      <rPr>
        <vertAlign val="superscript"/>
        <sz val="8"/>
        <color theme="1"/>
        <rFont val="Arial"/>
        <family val="2"/>
      </rPr>
      <t>-</t>
    </r>
    <r>
      <rPr>
        <sz val="8"/>
        <color theme="1"/>
        <rFont val="Arial"/>
        <family val="2"/>
      </rPr>
      <t>)</t>
    </r>
  </si>
  <si>
    <r>
      <t>Perfluorohexane sulfonate (PFHxS</t>
    </r>
    <r>
      <rPr>
        <vertAlign val="superscript"/>
        <sz val="8"/>
        <color theme="1"/>
        <rFont val="Arial"/>
        <family val="1"/>
        <charset val="204"/>
      </rPr>
      <t>-</t>
    </r>
    <r>
      <rPr>
        <sz val="8"/>
        <color theme="1"/>
        <rFont val="Arial"/>
        <family val="1"/>
        <charset val="204"/>
      </rPr>
      <t>)</t>
    </r>
  </si>
  <si>
    <r>
      <t>Perfluoroheptane sulfonate (PFHpS</t>
    </r>
    <r>
      <rPr>
        <vertAlign val="superscript"/>
        <sz val="8"/>
        <color theme="1"/>
        <rFont val="Arial"/>
        <family val="1"/>
        <charset val="204"/>
      </rPr>
      <t>-</t>
    </r>
    <r>
      <rPr>
        <sz val="8"/>
        <color theme="1"/>
        <rFont val="Arial"/>
        <family val="1"/>
        <charset val="204"/>
      </rPr>
      <t>)</t>
    </r>
  </si>
  <si>
    <r>
      <t>Perfluorooctane sulfonate (PFOS</t>
    </r>
    <r>
      <rPr>
        <vertAlign val="superscript"/>
        <sz val="8"/>
        <color theme="1"/>
        <rFont val="Arial"/>
        <family val="1"/>
        <charset val="204"/>
      </rPr>
      <t>-</t>
    </r>
    <r>
      <rPr>
        <sz val="8"/>
        <color theme="1"/>
        <rFont val="Arial"/>
        <family val="1"/>
        <charset val="204"/>
      </rPr>
      <t>)</t>
    </r>
  </si>
  <si>
    <r>
      <t>Perfluorodecane sulfonate (PFDS</t>
    </r>
    <r>
      <rPr>
        <vertAlign val="superscript"/>
        <sz val="8"/>
        <color theme="1"/>
        <rFont val="Arial"/>
        <family val="1"/>
        <charset val="204"/>
      </rPr>
      <t>-</t>
    </r>
    <r>
      <rPr>
        <sz val="8"/>
        <color theme="1"/>
        <rFont val="Arial"/>
        <family val="1"/>
        <charset val="204"/>
      </rPr>
      <t>)</t>
    </r>
  </si>
  <si>
    <t>14477-72-6</t>
  </si>
  <si>
    <t>L</t>
  </si>
  <si>
    <r>
      <t>Perfluoro propanoate (PFPrA</t>
    </r>
    <r>
      <rPr>
        <vertAlign val="superscript"/>
        <sz val="8"/>
        <color theme="1"/>
        <rFont val="Arial"/>
        <family val="2"/>
      </rPr>
      <t>-</t>
    </r>
    <r>
      <rPr>
        <sz val="8"/>
        <color theme="1"/>
        <rFont val="Arial"/>
        <family val="2"/>
      </rPr>
      <t>)</t>
    </r>
  </si>
  <si>
    <r>
      <t>Perfluoro butanoate (PFBA</t>
    </r>
    <r>
      <rPr>
        <vertAlign val="superscript"/>
        <sz val="8"/>
        <color theme="1"/>
        <rFont val="Arial"/>
        <family val="1"/>
        <charset val="204"/>
      </rPr>
      <t>-</t>
    </r>
    <r>
      <rPr>
        <sz val="8"/>
        <color theme="1"/>
        <rFont val="Arial"/>
        <family val="1"/>
        <charset val="204"/>
      </rPr>
      <t>)</t>
    </r>
  </si>
  <si>
    <r>
      <t>Perfluoro pentanoate (PFPeA</t>
    </r>
    <r>
      <rPr>
        <vertAlign val="superscript"/>
        <sz val="8"/>
        <color theme="1"/>
        <rFont val="Arial"/>
        <family val="1"/>
        <charset val="204"/>
      </rPr>
      <t>-</t>
    </r>
    <r>
      <rPr>
        <sz val="8"/>
        <color theme="1"/>
        <rFont val="Arial"/>
        <family val="1"/>
        <charset val="204"/>
      </rPr>
      <t>)</t>
    </r>
  </si>
  <si>
    <r>
      <t>Perfluoro hexanoate (PFHxA</t>
    </r>
    <r>
      <rPr>
        <vertAlign val="superscript"/>
        <sz val="8"/>
        <color theme="1"/>
        <rFont val="Arial"/>
        <family val="1"/>
        <charset val="204"/>
      </rPr>
      <t>-</t>
    </r>
    <r>
      <rPr>
        <sz val="8"/>
        <color theme="1"/>
        <rFont val="Arial"/>
        <family val="1"/>
        <charset val="204"/>
      </rPr>
      <t>)</t>
    </r>
  </si>
  <si>
    <r>
      <t>Perfluoro heptanoate (PFHpA</t>
    </r>
    <r>
      <rPr>
        <vertAlign val="superscript"/>
        <sz val="8"/>
        <color theme="1"/>
        <rFont val="Arial"/>
        <family val="1"/>
        <charset val="204"/>
      </rPr>
      <t>-</t>
    </r>
    <r>
      <rPr>
        <sz val="8"/>
        <color theme="1"/>
        <rFont val="Arial"/>
        <family val="1"/>
        <charset val="204"/>
      </rPr>
      <t>)</t>
    </r>
  </si>
  <si>
    <r>
      <t>Perfluoro octanoate (PFOA</t>
    </r>
    <r>
      <rPr>
        <vertAlign val="superscript"/>
        <sz val="8"/>
        <color theme="1"/>
        <rFont val="Arial"/>
        <family val="1"/>
        <charset val="204"/>
      </rPr>
      <t>-</t>
    </r>
    <r>
      <rPr>
        <sz val="8"/>
        <color theme="1"/>
        <rFont val="Arial"/>
        <family val="1"/>
        <charset val="204"/>
      </rPr>
      <t>)</t>
    </r>
  </si>
  <si>
    <r>
      <t>Perfluoro nonanoate (PFNA</t>
    </r>
    <r>
      <rPr>
        <vertAlign val="superscript"/>
        <sz val="8"/>
        <color theme="1"/>
        <rFont val="Arial"/>
        <family val="1"/>
        <charset val="204"/>
      </rPr>
      <t>-</t>
    </r>
    <r>
      <rPr>
        <sz val="8"/>
        <color theme="1"/>
        <rFont val="Arial"/>
        <family val="1"/>
        <charset val="204"/>
      </rPr>
      <t>)</t>
    </r>
  </si>
  <si>
    <r>
      <t>Perfluoro decanoate (PFDA</t>
    </r>
    <r>
      <rPr>
        <vertAlign val="superscript"/>
        <sz val="8"/>
        <color theme="1"/>
        <rFont val="Arial"/>
        <family val="1"/>
        <charset val="204"/>
      </rPr>
      <t>-</t>
    </r>
    <r>
      <rPr>
        <sz val="8"/>
        <color theme="1"/>
        <rFont val="Arial"/>
        <family val="1"/>
        <charset val="204"/>
      </rPr>
      <t>)</t>
    </r>
  </si>
  <si>
    <r>
      <t>Perfluoro undecanoate (PFUnDA</t>
    </r>
    <r>
      <rPr>
        <vertAlign val="superscript"/>
        <sz val="8"/>
        <color theme="1"/>
        <rFont val="Arial"/>
        <family val="1"/>
        <charset val="204"/>
      </rPr>
      <t>-</t>
    </r>
    <r>
      <rPr>
        <sz val="8"/>
        <color theme="1"/>
        <rFont val="Arial"/>
        <family val="1"/>
        <charset val="204"/>
      </rPr>
      <t>)</t>
    </r>
  </si>
  <si>
    <r>
      <t>Perfluoro dodecanoate (PFDoDA</t>
    </r>
    <r>
      <rPr>
        <vertAlign val="superscript"/>
        <sz val="8"/>
        <color theme="1"/>
        <rFont val="Arial"/>
        <family val="1"/>
        <charset val="204"/>
      </rPr>
      <t>-</t>
    </r>
    <r>
      <rPr>
        <sz val="8"/>
        <color theme="1"/>
        <rFont val="Arial"/>
        <family val="1"/>
        <charset val="204"/>
      </rPr>
      <t>)</t>
    </r>
  </si>
  <si>
    <r>
      <t>Perfluoro tridecanoate (PFTrDA</t>
    </r>
    <r>
      <rPr>
        <vertAlign val="superscript"/>
        <sz val="8"/>
        <color theme="1"/>
        <rFont val="Arial"/>
        <family val="1"/>
        <charset val="204"/>
      </rPr>
      <t>-</t>
    </r>
    <r>
      <rPr>
        <sz val="8"/>
        <color theme="1"/>
        <rFont val="Arial"/>
        <family val="1"/>
        <charset val="204"/>
      </rPr>
      <t>)</t>
    </r>
  </si>
  <si>
    <r>
      <t>Perfluoro tetradecanoate (PFTeDA</t>
    </r>
    <r>
      <rPr>
        <vertAlign val="superscript"/>
        <sz val="8"/>
        <color theme="1"/>
        <rFont val="Arial"/>
        <family val="1"/>
        <charset val="204"/>
      </rPr>
      <t>-</t>
    </r>
    <r>
      <rPr>
        <sz val="8"/>
        <color theme="1"/>
        <rFont val="Arial"/>
        <family val="1"/>
        <charset val="204"/>
      </rPr>
      <t>)</t>
    </r>
  </si>
  <si>
    <t>754-91-6</t>
  </si>
  <si>
    <t>Perfluroroctane sulfonamide (PFOSA)</t>
  </si>
  <si>
    <t>122499-17-6</t>
  </si>
  <si>
    <r>
      <t>2,3,3,3-tetrafluoro-2-(heptafluoropropoxy) propanoate (HFPO DA</t>
    </r>
    <r>
      <rPr>
        <vertAlign val="superscript"/>
        <sz val="8"/>
        <color theme="1"/>
        <rFont val="Arial"/>
        <family val="2"/>
      </rPr>
      <t>-</t>
    </r>
    <r>
      <rPr>
        <sz val="8"/>
        <color theme="1"/>
        <rFont val="Arial"/>
        <family val="1"/>
        <charset val="204"/>
      </rPr>
      <t>)</t>
    </r>
  </si>
  <si>
    <t>425670-75-3</t>
  </si>
  <si>
    <r>
      <t>6:2 Fluorotelomer sulfonate (6:2 FTS</t>
    </r>
    <r>
      <rPr>
        <vertAlign val="superscript"/>
        <sz val="8"/>
        <color theme="1"/>
        <rFont val="Arial"/>
        <family val="2"/>
      </rPr>
      <t>-</t>
    </r>
    <r>
      <rPr>
        <sz val="8"/>
        <color theme="1"/>
        <rFont val="Arial"/>
        <family val="1"/>
        <charset val="204"/>
      </rPr>
      <t>)</t>
    </r>
  </si>
  <si>
    <t>958445-44-8</t>
  </si>
  <si>
    <r>
      <t>Ammonium 4,8-Dioxa-3H-perfluoro nonanoate (ADONA</t>
    </r>
    <r>
      <rPr>
        <vertAlign val="superscript"/>
        <sz val="8"/>
        <color theme="1"/>
        <rFont val="Arial"/>
        <family val="2"/>
      </rPr>
      <t>-</t>
    </r>
    <r>
      <rPr>
        <sz val="8"/>
        <color theme="1"/>
        <rFont val="Arial"/>
        <family val="1"/>
        <charset val="204"/>
      </rPr>
      <t>)</t>
    </r>
  </si>
  <si>
    <t>647-42-7</t>
  </si>
  <si>
    <r>
      <t>6:2 Fluorotelomer alcohol (6:2 FTOH</t>
    </r>
    <r>
      <rPr>
        <vertAlign val="superscript"/>
        <sz val="8"/>
        <color theme="1"/>
        <rFont val="Arial"/>
        <family val="2"/>
      </rPr>
      <t>-</t>
    </r>
    <r>
      <rPr>
        <sz val="8"/>
        <color theme="1"/>
        <rFont val="Arial"/>
        <family val="2"/>
      </rPr>
      <t>)</t>
    </r>
  </si>
  <si>
    <t>678-39-7</t>
  </si>
  <si>
    <r>
      <t>8:2 Fluorotelomer alcohol (8:2 FTOH</t>
    </r>
    <r>
      <rPr>
        <vertAlign val="superscript"/>
        <sz val="8"/>
        <color theme="1"/>
        <rFont val="Arial"/>
        <family val="2"/>
      </rPr>
      <t>-</t>
    </r>
    <r>
      <rPr>
        <sz val="8"/>
        <color theme="1"/>
        <rFont val="Arial"/>
        <family val="2"/>
      </rPr>
      <t>)</t>
    </r>
  </si>
  <si>
    <t>88992-47-6</t>
  </si>
  <si>
    <r>
      <t>6:2 Fluorotelomer thioether amido sulfonate (6:2 FTTAoS</t>
    </r>
    <r>
      <rPr>
        <vertAlign val="superscript"/>
        <sz val="8"/>
        <color theme="1"/>
        <rFont val="Arial"/>
        <family val="2"/>
      </rPr>
      <t>-</t>
    </r>
    <r>
      <rPr>
        <sz val="8"/>
        <color theme="1"/>
        <rFont val="Arial"/>
        <family val="2"/>
      </rPr>
      <t>)</t>
    </r>
  </si>
  <si>
    <t>General Notes:</t>
  </si>
  <si>
    <t>Refer to PFAS Technical Memorandum Table 3b for reference documents used to compile physiochemical constants for individual PFAS.</t>
  </si>
  <si>
    <t>Refer to PFAS Technical Memorandum Table 4a for reference documents used to compile toxicity factors for individual PFAS.</t>
  </si>
  <si>
    <t>NV</t>
  </si>
  <si>
    <t>V</t>
  </si>
  <si>
    <t>SV</t>
  </si>
  <si>
    <r>
      <rPr>
        <b/>
        <sz val="12"/>
        <rFont val="Calibri"/>
        <family val="2"/>
      </rPr>
      <t>Step 7.</t>
    </r>
    <r>
      <rPr>
        <sz val="12"/>
        <rFont val="Calibri"/>
        <family val="2"/>
      </rPr>
      <t xml:space="preserve"> Assess potential soil leaching risk and other potential environmental concerns separately, as warranted (e.g., uptake into food crops; refer to accompanying guidance document).</t>
    </r>
  </si>
  <si>
    <t>Tapwater (ng/L):</t>
  </si>
  <si>
    <r>
      <t>Perfluoro ethanoate (PFEtA</t>
    </r>
    <r>
      <rPr>
        <vertAlign val="superscript"/>
        <sz val="8"/>
        <color theme="1"/>
        <rFont val="Arial"/>
        <family val="2"/>
      </rPr>
      <t>-</t>
    </r>
    <r>
      <rPr>
        <sz val="8"/>
        <color theme="1"/>
        <rFont val="Arial"/>
        <family val="2"/>
      </rPr>
      <t>) (Trifluoroacetate)</t>
    </r>
  </si>
  <si>
    <r>
      <rPr>
        <b/>
        <sz val="8"/>
        <color theme="1"/>
        <rFont val="Arial"/>
        <family val="2"/>
      </rPr>
      <t>1. Abbreviations</t>
    </r>
    <r>
      <rPr>
        <sz val="8"/>
        <color theme="1"/>
        <rFont val="Arial"/>
        <family val="2"/>
      </rPr>
      <t xml:space="preserve"> refer to anion form of compound, assumed to be dominant in environmental samples (noted by "-" sign after abbreviation; refer to Table 1a in November 2020 Technical Memorandum).</t>
    </r>
  </si>
  <si>
    <r>
      <t xml:space="preserve">2. Physical state of chemical </t>
    </r>
    <r>
      <rPr>
        <sz val="8"/>
        <color theme="1"/>
        <rFont val="Arial"/>
        <family val="2"/>
      </rPr>
      <t>at ambient conditions (V - volatile, NV - nonvolatile, SV-semivolatile, S - solid, L - liquid, G - gas). Chemical considered to be "volatile" if Henry's number (atm m3/mole) &gt;0.00001 and molecular weight &lt;200, and "semi-volatile" if molecular weight &gt;200.</t>
    </r>
  </si>
  <si>
    <r>
      <t>3. Confidence in Koc values low</t>
    </r>
    <r>
      <rPr>
        <sz val="8"/>
        <color theme="1"/>
        <rFont val="Arial"/>
        <family val="2"/>
      </rPr>
      <t xml:space="preserve"> (USEPA CompTox database - modeled).</t>
    </r>
  </si>
  <si>
    <r>
      <rPr>
        <b/>
        <sz val="8"/>
        <color theme="1"/>
        <rFont val="Arial"/>
        <family val="2"/>
      </rPr>
      <t>4. Confidence in pubished, modeled vapor pressures</t>
    </r>
    <r>
      <rPr>
        <sz val="8"/>
        <color theme="1"/>
        <rFont val="Arial"/>
        <family val="2"/>
      </rPr>
      <t xml:space="preserve"> is low (e.g., USEPA 2017); not considered in determination of a compound as volatile or semivolatile except in case of 6:2 FTOH.</t>
    </r>
  </si>
  <si>
    <r>
      <rPr>
        <b/>
        <sz val="8"/>
        <color theme="1"/>
        <rFont val="Arial"/>
        <family val="2"/>
      </rPr>
      <t>5. Dimensionless Henry’s Law constant</t>
    </r>
    <r>
      <rPr>
        <sz val="8"/>
        <color theme="1"/>
        <rFont val="Arial"/>
        <family val="2"/>
      </rPr>
      <t xml:space="preserve"> calculated based on Sander (2015) assuming a temperature of 25°C.</t>
    </r>
  </si>
  <si>
    <r>
      <rPr>
        <b/>
        <sz val="8"/>
        <color theme="1"/>
        <rFont val="Arial"/>
        <family val="2"/>
      </rPr>
      <t>6. Diffusivity constants for PFEtA</t>
    </r>
    <r>
      <rPr>
        <b/>
        <vertAlign val="superscript"/>
        <sz val="8"/>
        <color theme="1"/>
        <rFont val="Arial"/>
        <family val="2"/>
      </rPr>
      <t>-</t>
    </r>
    <r>
      <rPr>
        <sz val="8"/>
        <color theme="1"/>
        <rFont val="Arial"/>
        <family val="2"/>
      </rPr>
      <t xml:space="preserve"> not currently available. Constants for PFPrA- referenced and assumed similar.</t>
    </r>
  </si>
  <si>
    <r>
      <t>Step 4 (Optional). Input Alternative Action Levels for Excess Fluorine PFASs</t>
    </r>
    <r>
      <rPr>
        <b/>
        <sz val="10"/>
        <color theme="1"/>
        <rFont val="Calibri"/>
        <family val="2"/>
      </rPr>
      <t xml:space="preserve"> (default = PFPrA</t>
    </r>
    <r>
      <rPr>
        <b/>
        <vertAlign val="superscript"/>
        <sz val="10"/>
        <color theme="1"/>
        <rFont val="Calibri"/>
        <family val="2"/>
      </rPr>
      <t>-</t>
    </r>
    <r>
      <rPr>
        <b/>
        <sz val="10"/>
        <color theme="1"/>
        <rFont val="Calibri"/>
        <family val="2"/>
      </rPr>
      <t>)</t>
    </r>
    <r>
      <rPr>
        <b/>
        <sz val="12"/>
        <color theme="1"/>
        <rFont val="Calibri"/>
        <family val="2"/>
      </rPr>
      <t>:</t>
    </r>
  </si>
  <si>
    <r>
      <rPr>
        <b/>
        <sz val="12"/>
        <rFont val="Calibri"/>
        <family val="2"/>
      </rPr>
      <t xml:space="preserve">Step 4 (Optional). </t>
    </r>
    <r>
      <rPr>
        <sz val="12"/>
        <rFont val="Calibri"/>
        <family val="2"/>
      </rPr>
      <t>Input alternative Excess Organic Fluorine PFASs direct-exposure action level for soil and/or toxicity-based action level for drinking water. Provide technical justification for action levels in report. Action levels for PFPrA- used as default if left blank (refer to accompanying guidance document).</t>
    </r>
  </si>
  <si>
    <r>
      <t>C2F3O2</t>
    </r>
    <r>
      <rPr>
        <vertAlign val="superscript"/>
        <sz val="10"/>
        <rFont val="Calibri"/>
        <family val="2"/>
        <scheme val="minor"/>
      </rPr>
      <t>-</t>
    </r>
  </si>
  <si>
    <t>Soil (µg/kg):</t>
  </si>
  <si>
    <r>
      <t>Perfluoro ethanoate (PFEtA</t>
    </r>
    <r>
      <rPr>
        <vertAlign val="superscript"/>
        <sz val="8"/>
        <color theme="1"/>
        <rFont val="Arial"/>
        <family val="2"/>
      </rPr>
      <t>-</t>
    </r>
    <r>
      <rPr>
        <sz val="8"/>
        <color theme="1"/>
        <rFont val="Arial"/>
        <family val="2"/>
      </rPr>
      <t>)</t>
    </r>
    <r>
      <rPr>
        <sz val="8"/>
        <color theme="1"/>
        <rFont val="Calibri"/>
        <family val="2"/>
        <scheme val="minor"/>
      </rPr>
      <t xml:space="preserve"> (Trifluoroacetate)</t>
    </r>
  </si>
  <si>
    <t>%
Total Risk</t>
  </si>
  <si>
    <t>% Total
Concentration</t>
  </si>
  <si>
    <r>
      <rPr>
        <b/>
        <sz val="10"/>
        <rFont val="Calibri"/>
        <family val="2"/>
      </rPr>
      <t>1. Excess Fluorine-Mass Adjustment Factor</t>
    </r>
    <r>
      <rPr>
        <sz val="10"/>
        <rFont val="Calibri"/>
        <family val="2"/>
      </rPr>
      <t xml:space="preserve"> used to estimate the concentration PFASs associated with reported Total Organic Fluorine in excess of that attributable to Primary + Secondary Terminal PFASs. Excess Fluorine by default assumed to be dominated by undefined ultrashort PFAS compounds in the sample. Default Adjustment Factor stoichiometrically estimated as the molecular weight of PFPrA</t>
    </r>
    <r>
      <rPr>
        <vertAlign val="superscript"/>
        <sz val="10"/>
        <rFont val="Calibri"/>
        <family val="2"/>
      </rPr>
      <t>-</t>
    </r>
    <r>
      <rPr>
        <sz val="10"/>
        <rFont val="Calibri"/>
        <family val="2"/>
      </rPr>
      <t xml:space="preserve"> (162) divided by the atomic mass of fluorine (18.998) = 1.73.</t>
    </r>
  </si>
  <si>
    <t>Primary Terminal PFASs Makeup
(%)</t>
  </si>
  <si>
    <t>Secondary Terminal PFASs Makeup
(%)</t>
  </si>
  <si>
    <t>Primary
Terminal PFASs
Hazard Quotient</t>
  </si>
  <si>
    <t>Secondary
Terminal PFASs
Hazard Quotient</t>
  </si>
  <si>
    <t>Primary
Terminal PFASs</t>
  </si>
  <si>
    <t>Secondary
Terminal PFASs</t>
  </si>
  <si>
    <r>
      <rPr>
        <b/>
        <vertAlign val="superscript"/>
        <sz val="10"/>
        <rFont val="Calibri"/>
        <family val="2"/>
        <scheme val="minor"/>
      </rPr>
      <t>2</t>
    </r>
    <r>
      <rPr>
        <b/>
        <sz val="10"/>
        <rFont val="Calibri"/>
        <family val="2"/>
        <scheme val="minor"/>
      </rPr>
      <t>Input Pre-TOPs Concentration (µg/Kg)</t>
    </r>
  </si>
  <si>
    <r>
      <rPr>
        <b/>
        <vertAlign val="superscript"/>
        <sz val="10"/>
        <rFont val="Calibri"/>
        <family val="2"/>
        <scheme val="minor"/>
      </rPr>
      <t>3</t>
    </r>
    <r>
      <rPr>
        <b/>
        <sz val="10"/>
        <rFont val="Calibri"/>
        <family val="2"/>
        <scheme val="minor"/>
      </rPr>
      <t>Secondary Terminal PFAS Concentration
(</t>
    </r>
    <r>
      <rPr>
        <b/>
        <sz val="10"/>
        <rFont val="Calibri"/>
        <family val="2"/>
      </rPr>
      <t>µg/Kg</t>
    </r>
    <r>
      <rPr>
        <b/>
        <sz val="10"/>
        <rFont val="Calibri"/>
        <family val="2"/>
        <scheme val="minor"/>
      </rPr>
      <t>)</t>
    </r>
  </si>
  <si>
    <r>
      <rPr>
        <b/>
        <vertAlign val="superscript"/>
        <sz val="10"/>
        <color rgb="FF000000"/>
        <rFont val="Calibri"/>
        <family val="2"/>
        <scheme val="minor"/>
      </rPr>
      <t>4</t>
    </r>
    <r>
      <rPr>
        <b/>
        <sz val="10"/>
        <color rgb="FF000000"/>
        <rFont val="Calibri"/>
        <family val="2"/>
        <scheme val="minor"/>
      </rPr>
      <t>Predicted Total Organic Fluorine
(</t>
    </r>
    <r>
      <rPr>
        <b/>
        <sz val="10"/>
        <color rgb="FF000000"/>
        <rFont val="Calibri"/>
        <family val="2"/>
      </rPr>
      <t>µ</t>
    </r>
    <r>
      <rPr>
        <b/>
        <sz val="10"/>
        <color rgb="FF000000"/>
        <rFont val="Calibri"/>
        <family val="2"/>
        <scheme val="minor"/>
      </rPr>
      <t>g/Kg)</t>
    </r>
  </si>
  <si>
    <r>
      <t xml:space="preserve">2. Pre-TOPs data </t>
    </r>
    <r>
      <rPr>
        <sz val="10"/>
        <rFont val="Calibri"/>
        <family val="2"/>
      </rPr>
      <t>representative of Primary (original) Terminal PFASs.</t>
    </r>
  </si>
  <si>
    <r>
      <t>4. Predicted Total Organic Fluorine</t>
    </r>
    <r>
      <rPr>
        <sz val="10"/>
        <rFont val="Calibri"/>
        <family val="2"/>
      </rPr>
      <t xml:space="preserve"> concentration for each compound stoichiometrically calculated as: (Input Primary Terminal PFASs + Secondary Terminal PFASs) x [(Atomic Mass Fluorine x # Fluorines)/Compound Molecular Weight].</t>
    </r>
  </si>
  <si>
    <r>
      <rPr>
        <b/>
        <vertAlign val="superscript"/>
        <sz val="10"/>
        <rFont val="Calibri"/>
        <family val="2"/>
        <scheme val="minor"/>
      </rPr>
      <t>2</t>
    </r>
    <r>
      <rPr>
        <b/>
        <sz val="10"/>
        <rFont val="Calibri"/>
        <family val="2"/>
        <scheme val="minor"/>
      </rPr>
      <t>Input Pre-TOPs Concentration (ng/L)</t>
    </r>
  </si>
  <si>
    <r>
      <rPr>
        <b/>
        <vertAlign val="superscript"/>
        <sz val="10"/>
        <color theme="1"/>
        <rFont val="Calibri"/>
        <family val="2"/>
      </rPr>
      <t>6</t>
    </r>
    <r>
      <rPr>
        <b/>
        <sz val="10"/>
        <color theme="1"/>
        <rFont val="Calibri"/>
        <family val="2"/>
      </rPr>
      <t>Excess Fluorine (µg/kg):</t>
    </r>
  </si>
  <si>
    <r>
      <rPr>
        <b/>
        <vertAlign val="superscript"/>
        <sz val="10"/>
        <color theme="1"/>
        <rFont val="Calibri"/>
        <family val="2"/>
      </rPr>
      <t>7</t>
    </r>
    <r>
      <rPr>
        <b/>
        <sz val="10"/>
        <color theme="1"/>
        <rFont val="Calibri"/>
        <family val="2"/>
      </rPr>
      <t>Excess Fluorine Mass Adjustment Factor:</t>
    </r>
  </si>
  <si>
    <r>
      <rPr>
        <b/>
        <vertAlign val="superscript"/>
        <sz val="10"/>
        <color theme="1"/>
        <rFont val="Calibri"/>
        <family val="2"/>
      </rPr>
      <t>8</t>
    </r>
    <r>
      <rPr>
        <b/>
        <sz val="10"/>
        <color theme="1"/>
        <rFont val="Calibri"/>
        <family val="2"/>
      </rPr>
      <t>Excess Fluorine PFASs (µg/kg):</t>
    </r>
  </si>
  <si>
    <r>
      <t xml:space="preserve">6. Concentration of </t>
    </r>
    <r>
      <rPr>
        <b/>
        <sz val="10"/>
        <rFont val="Calibri"/>
        <family val="2"/>
        <scheme val="minor"/>
      </rPr>
      <t>Excess Fluorine</t>
    </r>
    <r>
      <rPr>
        <sz val="10"/>
        <rFont val="Calibri"/>
        <family val="2"/>
        <scheme val="minor"/>
      </rPr>
      <t xml:space="preserve"> calculated by subtracting the concentration of Predicted Total Organic Fluorine from the measured concentration of Total Organic Fluorine in the sample.</t>
    </r>
  </si>
  <si>
    <r>
      <t>7. Excess Fluorine-Mass Adjustment Factor</t>
    </r>
    <r>
      <rPr>
        <sz val="10"/>
        <rFont val="Calibri"/>
        <family val="2"/>
        <scheme val="minor"/>
      </rPr>
      <t xml:space="preserve"> input on Sample Data worksheet. Used to estimate the concentration PFASs associated with reported Total Organic Fluorine in excess of that attributable to Primary and Secondary Terminal PFAS compounds. Excess Fluorine by default assumed to be related to undefined ultrashort PFAS compounds in the sample. Excess Fluorine footnote: Default Adjustment Factor stoichiometrically estimated as the molecular weight of PFPrA- (164) divided by (Atomic Mass of Fluorine (18.998) x Number of Fluorine Atoms in PFPRA- (5)) = 1.73.</t>
    </r>
  </si>
  <si>
    <r>
      <t xml:space="preserve">8. Concentration of </t>
    </r>
    <r>
      <rPr>
        <b/>
        <sz val="10"/>
        <rFont val="Calibri"/>
        <family val="2"/>
        <scheme val="minor"/>
      </rPr>
      <t>PFASs associated with Excess Fluorine</t>
    </r>
    <r>
      <rPr>
        <sz val="10"/>
        <rFont val="Calibri"/>
        <family val="2"/>
        <scheme val="minor"/>
      </rPr>
      <t xml:space="preserve"> estimated as the concentatration of Excess Fluorine in the sample multiplied by the Excess Fluorine Mass Adjustment Factor.</t>
    </r>
  </si>
  <si>
    <r>
      <t>5. Noncancer Hazard Quotient</t>
    </r>
    <r>
      <rPr>
        <sz val="10"/>
        <rFont val="Calibri"/>
        <family val="2"/>
      </rPr>
      <t xml:space="preserve"> calculated as concentration of the compound in the sample divided by the the noted compound action level (refer to accompanying Technical Memorandum).</t>
    </r>
  </si>
  <si>
    <r>
      <rPr>
        <b/>
        <vertAlign val="superscript"/>
        <sz val="10"/>
        <rFont val="Calibri"/>
        <family val="2"/>
        <scheme val="minor"/>
      </rPr>
      <t>3</t>
    </r>
    <r>
      <rPr>
        <b/>
        <sz val="10"/>
        <rFont val="Calibri"/>
        <family val="2"/>
        <scheme val="minor"/>
      </rPr>
      <t>Secondary Terminal PFAS Concentration
(</t>
    </r>
    <r>
      <rPr>
        <b/>
        <sz val="10"/>
        <rFont val="Calibri"/>
        <family val="2"/>
      </rPr>
      <t>ng/L</t>
    </r>
    <r>
      <rPr>
        <b/>
        <sz val="10"/>
        <rFont val="Calibri"/>
        <family val="2"/>
        <scheme val="minor"/>
      </rPr>
      <t>)</t>
    </r>
  </si>
  <si>
    <r>
      <rPr>
        <b/>
        <vertAlign val="superscript"/>
        <sz val="10"/>
        <color rgb="FF000000"/>
        <rFont val="Calibri"/>
        <family val="2"/>
        <scheme val="minor"/>
      </rPr>
      <t>4</t>
    </r>
    <r>
      <rPr>
        <b/>
        <sz val="10"/>
        <color rgb="FF000000"/>
        <rFont val="Calibri"/>
        <family val="2"/>
        <scheme val="minor"/>
      </rPr>
      <t>Predicted Total Organic Fluorine
(ng/L)</t>
    </r>
  </si>
  <si>
    <r>
      <rPr>
        <b/>
        <vertAlign val="superscript"/>
        <sz val="12"/>
        <rFont val="Calibri"/>
        <family val="2"/>
        <scheme val="minor"/>
      </rPr>
      <t>5</t>
    </r>
    <r>
      <rPr>
        <b/>
        <sz val="12"/>
        <rFont val="Calibri"/>
        <family val="2"/>
        <scheme val="minor"/>
      </rPr>
      <t>Calculations</t>
    </r>
  </si>
  <si>
    <r>
      <rPr>
        <b/>
        <vertAlign val="superscript"/>
        <sz val="10"/>
        <color theme="1"/>
        <rFont val="Calibri"/>
        <family val="2"/>
        <scheme val="minor"/>
      </rPr>
      <t>6</t>
    </r>
    <r>
      <rPr>
        <b/>
        <sz val="10"/>
        <color theme="1"/>
        <rFont val="Calibri"/>
        <family val="2"/>
        <scheme val="minor"/>
      </rPr>
      <t>Excess Fluorine (ng/L):</t>
    </r>
  </si>
  <si>
    <r>
      <rPr>
        <b/>
        <vertAlign val="superscript"/>
        <sz val="10"/>
        <color theme="1"/>
        <rFont val="Calibri"/>
        <family val="2"/>
        <scheme val="minor"/>
      </rPr>
      <t>7</t>
    </r>
    <r>
      <rPr>
        <b/>
        <sz val="10"/>
        <color theme="1"/>
        <rFont val="Calibri"/>
        <family val="2"/>
        <scheme val="minor"/>
      </rPr>
      <t>Excess Fluorine Mass Adjustment Factor:</t>
    </r>
  </si>
  <si>
    <r>
      <rPr>
        <b/>
        <vertAlign val="superscript"/>
        <sz val="10"/>
        <color theme="1"/>
        <rFont val="Calibri"/>
        <family val="2"/>
        <scheme val="minor"/>
      </rPr>
      <t>8</t>
    </r>
    <r>
      <rPr>
        <b/>
        <sz val="10"/>
        <color theme="1"/>
        <rFont val="Calibri"/>
        <family val="2"/>
        <scheme val="minor"/>
      </rPr>
      <t>Estimated Excess Fluorine PFASs (ng/L):</t>
    </r>
  </si>
  <si>
    <r>
      <rPr>
        <b/>
        <vertAlign val="superscript"/>
        <sz val="10"/>
        <rFont val="Calibri"/>
        <family val="2"/>
        <scheme val="minor"/>
      </rPr>
      <t>2</t>
    </r>
    <r>
      <rPr>
        <b/>
        <sz val="10"/>
        <rFont val="Calibri"/>
        <family val="2"/>
        <scheme val="minor"/>
      </rPr>
      <t>Input Pre-TOPs Concentration Liquids
(ng/L)</t>
    </r>
  </si>
  <si>
    <t>Worksheet 6: Comparison of input liquid (e.g., groundwater, surface waterwater) data to aquatic toxicity action levels.</t>
  </si>
  <si>
    <r>
      <rPr>
        <b/>
        <vertAlign val="superscript"/>
        <sz val="10"/>
        <rFont val="Calibri"/>
        <family val="2"/>
      </rPr>
      <t>3</t>
    </r>
    <r>
      <rPr>
        <b/>
        <sz val="10"/>
        <rFont val="Calibri"/>
        <family val="2"/>
      </rPr>
      <t>Secondary Terminal PFASs
 (ng/L)</t>
    </r>
  </si>
  <si>
    <r>
      <rPr>
        <b/>
        <vertAlign val="superscript"/>
        <sz val="10"/>
        <rFont val="Calibri"/>
        <family val="2"/>
      </rPr>
      <t>4</t>
    </r>
    <r>
      <rPr>
        <b/>
        <sz val="10"/>
        <rFont val="Calibri"/>
        <family val="2"/>
      </rPr>
      <t>Total PFASs
(ng/L)</t>
    </r>
  </si>
  <si>
    <r>
      <rPr>
        <b/>
        <sz val="10"/>
        <rFont val="Calibri"/>
        <family val="2"/>
        <scheme val="minor"/>
      </rPr>
      <t>1. CAS # and compound name</t>
    </r>
    <r>
      <rPr>
        <sz val="10"/>
        <rFont val="Calibri"/>
        <family val="2"/>
        <scheme val="minor"/>
      </rPr>
      <t xml:space="preserve"> refer to anion form of PFAS, assumed to be dominant in environmental samples (noted by "-" sign after abbreviation; refer to "PFASs Nomenclature -Anions" worksheet and accompanying Technical Memorandum.</t>
    </r>
  </si>
  <si>
    <r>
      <t xml:space="preserve">2. Pre-TOPs data </t>
    </r>
    <r>
      <rPr>
        <sz val="10"/>
        <rFont val="Calibri"/>
        <family val="2"/>
        <scheme val="minor"/>
      </rPr>
      <t>representative of Primary (original) Terminal PFASs.</t>
    </r>
  </si>
  <si>
    <r>
      <rPr>
        <b/>
        <sz val="10"/>
        <rFont val="Calibri"/>
        <family val="2"/>
        <scheme val="minor"/>
      </rPr>
      <t>3. Concentrations of Secondary Terminal PFAS</t>
    </r>
    <r>
      <rPr>
        <sz val="10"/>
        <rFont val="Calibri"/>
        <family val="2"/>
        <scheme val="minor"/>
      </rPr>
      <t xml:space="preserve"> generated by TOPs processing calculated by subtracting Pre-TOPs concentration of compound from Post-TOPs concentration, if latter is higher.</t>
    </r>
  </si>
  <si>
    <r>
      <rPr>
        <b/>
        <sz val="10"/>
        <rFont val="Calibri"/>
        <family val="2"/>
        <scheme val="minor"/>
      </rPr>
      <t>4. Sum of Primary and Secondary Terminal PFASs</t>
    </r>
    <r>
      <rPr>
        <sz val="10"/>
        <rFont val="Calibri"/>
        <family val="2"/>
        <scheme val="minor"/>
      </rPr>
      <t xml:space="preserve"> compared to aquatic action levels. </t>
    </r>
  </si>
  <si>
    <r>
      <rPr>
        <b/>
        <vertAlign val="superscript"/>
        <sz val="10"/>
        <rFont val="Calibri"/>
        <family val="2"/>
        <scheme val="minor"/>
      </rPr>
      <t>5</t>
    </r>
    <r>
      <rPr>
        <b/>
        <sz val="10"/>
        <rFont val="Calibri"/>
        <family val="2"/>
        <scheme val="minor"/>
      </rPr>
      <t>Aquatic Toxicity Risk</t>
    </r>
  </si>
  <si>
    <r>
      <rPr>
        <b/>
        <sz val="10"/>
        <rFont val="Calibri"/>
        <family val="2"/>
        <scheme val="minor"/>
      </rPr>
      <t>5. PFASs attributable to Excess Organic Fluorine</t>
    </r>
    <r>
      <rPr>
        <sz val="10"/>
        <rFont val="Calibri"/>
        <family val="2"/>
        <scheme val="minor"/>
      </rPr>
      <t xml:space="preserve"> in water not considered. Bioassay test required for detailed assessment of potential aquatic toxicity. Evaluate potential risk posed by uptake and biomagnification in the food chain separately, as needed. </t>
    </r>
  </si>
  <si>
    <r>
      <t>3. Concentrations of Secondary Terminal PFAS</t>
    </r>
    <r>
      <rPr>
        <sz val="10"/>
        <rFont val="Calibri"/>
        <family val="2"/>
      </rPr>
      <t xml:space="preserve"> generated by TOPs processing calculated by subtracting Pre-TOPs concentration of compound from Post-TOPs concentration, if latter is higher.</t>
    </r>
    <r>
      <rPr>
        <b/>
        <sz val="10"/>
        <rFont val="Calibri"/>
        <family val="2"/>
      </rPr>
      <t xml:space="preserve"> Primary Terminal PFASs</t>
    </r>
    <r>
      <rPr>
        <sz val="10"/>
        <rFont val="Calibri"/>
        <family val="2"/>
      </rPr>
      <t xml:space="preserve"> originally present in the sample will also be captured in post-TOPs data and </t>
    </r>
    <r>
      <rPr>
        <b/>
        <sz val="10"/>
        <rFont val="Calibri"/>
        <family val="2"/>
      </rPr>
      <t>will be included in the calculated concentration of Secondary Terminal PFASs if pre-TOPs data are not obtained or otherwise available.</t>
    </r>
  </si>
  <si>
    <r>
      <rPr>
        <b/>
        <vertAlign val="superscript"/>
        <sz val="10"/>
        <rFont val="Arial"/>
        <family val="2"/>
      </rPr>
      <t>1</t>
    </r>
    <r>
      <rPr>
        <b/>
        <sz val="10"/>
        <rFont val="Arial"/>
        <family val="2"/>
      </rPr>
      <t>Toxicity-Based Drinking Water and Soil Direct-Exposure Action Levels.</t>
    </r>
  </si>
  <si>
    <t>2. Refer to Attachment 3, Table D-3a and Table D-4a of referenced document. Target Hazard Quotient = 1.</t>
  </si>
  <si>
    <t>3. Refer to Attachment 3, Tables I-1, I-2 and I-3 of referenced document.Target Hazard Quotient = 1.</t>
  </si>
  <si>
    <r>
      <rPr>
        <b/>
        <vertAlign val="superscript"/>
        <sz val="10"/>
        <rFont val="Calibri"/>
        <family val="2"/>
        <scheme val="minor"/>
      </rPr>
      <t>2</t>
    </r>
    <r>
      <rPr>
        <b/>
        <sz val="10"/>
        <rFont val="Calibri"/>
        <family val="2"/>
        <scheme val="minor"/>
      </rPr>
      <t>Water Action Levels (ng/L)</t>
    </r>
  </si>
  <si>
    <r>
      <rPr>
        <b/>
        <vertAlign val="superscript"/>
        <sz val="10"/>
        <rFont val="Calibri"/>
        <family val="2"/>
        <scheme val="minor"/>
      </rPr>
      <t>3</t>
    </r>
    <r>
      <rPr>
        <b/>
        <sz val="10"/>
        <rFont val="Calibri"/>
        <family val="2"/>
        <scheme val="minor"/>
      </rPr>
      <t>Soil Action Levels (µg/Kg)</t>
    </r>
  </si>
  <si>
    <t>1. Action Levels consider long-term, chronic exposure noted PFAS in drinking water or soil. Leaching to groundwater, uptake into food crops, biomagnfication in the food chain and other potential environmental concerns not considered and must be evaluated separately, as appropriate for the site (HIDOH 2024).</t>
  </si>
  <si>
    <r>
      <rPr>
        <b/>
        <sz val="12"/>
        <rFont val="Calibri"/>
        <family val="2"/>
      </rPr>
      <t>Step 5.</t>
    </r>
    <r>
      <rPr>
        <sz val="12"/>
        <rFont val="Calibri"/>
        <family val="2"/>
      </rPr>
      <t xml:space="preserve"> Input Pre-TOPs (optional), </t>
    </r>
    <r>
      <rPr>
        <vertAlign val="superscript"/>
        <sz val="12"/>
        <rFont val="Calibri"/>
        <family val="2"/>
      </rPr>
      <t>2</t>
    </r>
    <r>
      <rPr>
        <sz val="12"/>
        <rFont val="Calibri"/>
        <family val="2"/>
      </rPr>
      <t xml:space="preserve">Post-TOPs and </t>
    </r>
    <r>
      <rPr>
        <vertAlign val="superscript"/>
        <sz val="12"/>
        <rFont val="Calibri"/>
        <family val="2"/>
      </rPr>
      <t>3</t>
    </r>
    <r>
      <rPr>
        <sz val="12"/>
        <rFont val="Calibri"/>
        <family val="2"/>
      </rPr>
      <t>TOF data and Site-Specific Excess Fluorine Mass Adjustment Factor (optional) in Worksheet 2 (Liquids: ng/L; Solids: µg/Kg).</t>
    </r>
  </si>
  <si>
    <r>
      <rPr>
        <b/>
        <vertAlign val="superscript"/>
        <sz val="18"/>
        <color rgb="FF000000"/>
        <rFont val="Calibri"/>
        <family val="2"/>
      </rPr>
      <t>1</t>
    </r>
    <r>
      <rPr>
        <b/>
        <sz val="18"/>
        <color rgb="FF000000"/>
        <rFont val="Calibri"/>
        <family val="2"/>
      </rPr>
      <t>Total PFAS Risk Calculator</t>
    </r>
  </si>
  <si>
    <t>Water</t>
  </si>
  <si>
    <t>Soil</t>
  </si>
  <si>
    <r>
      <rPr>
        <b/>
        <sz val="12"/>
        <color rgb="FF000000"/>
        <rFont val="Calibri"/>
        <family val="2"/>
      </rPr>
      <t xml:space="preserve">2. Total Oxidizable Precursors (TOPs) </t>
    </r>
    <r>
      <rPr>
        <sz val="12"/>
        <color rgb="FF000000"/>
        <rFont val="Calibri"/>
        <family val="2"/>
      </rPr>
      <t>methods used to strip function groups from precursor PFAS compounds and identify underlying "Terminal Endpoint" PFAS compound(s).</t>
    </r>
  </si>
  <si>
    <r>
      <rPr>
        <b/>
        <sz val="12"/>
        <color rgb="FF000000"/>
        <rFont val="Calibri"/>
        <family val="2"/>
      </rPr>
      <t>3. Total Organic Fluorine (TOF)</t>
    </r>
    <r>
      <rPr>
        <sz val="12"/>
        <color rgb="FF000000"/>
        <rFont val="Calibri"/>
        <family val="2"/>
      </rPr>
      <t xml:space="preserve"> typically reported as Absorbable Organic Fluorine (AOF) for liquids and Extractable Organic Fluorine (EOF) for solids.</t>
    </r>
  </si>
  <si>
    <r>
      <rPr>
        <b/>
        <sz val="12"/>
        <rFont val="Calibri"/>
        <family val="2"/>
      </rPr>
      <t>9. Final Total PFAS Risk Hazard Index</t>
    </r>
    <r>
      <rPr>
        <sz val="12"/>
        <rFont val="Calibri"/>
        <family val="2"/>
      </rPr>
      <t xml:space="preserve"> rounded to single digit for decision making. A Hazard Index greater than "1" indicates a potential health risk and the need for additional evaluation. Calculations based on risk-based action levels for PFASs. Laboratory Method Reporting Levels used to establish USEPA drinking water MCLs for PFOA and PFOS not considered (refer to accompanying ISSCAS (2025) guidance document and HIDOH (2024)). </t>
    </r>
    <r>
      <rPr>
        <b/>
        <sz val="12"/>
        <rFont val="Calibri"/>
        <family val="2"/>
      </rPr>
      <t>Leaching to groundwater, potential uptake into food crops and other potential environmental concerns</t>
    </r>
    <r>
      <rPr>
        <sz val="12"/>
        <rFont val="Calibri"/>
        <family val="2"/>
      </rPr>
      <t xml:space="preserve"> not considered and should be evaluated separately, as appropriate for the site.</t>
    </r>
  </si>
  <si>
    <r>
      <rPr>
        <b/>
        <vertAlign val="superscript"/>
        <sz val="12"/>
        <rFont val="Calibri"/>
        <family val="2"/>
        <scheme val="minor"/>
      </rPr>
      <t>9</t>
    </r>
    <r>
      <rPr>
        <b/>
        <sz val="12"/>
        <rFont val="Calibri"/>
        <family val="2"/>
        <scheme val="minor"/>
      </rPr>
      <t>Hazard Indices</t>
    </r>
  </si>
  <si>
    <r>
      <t>November 8, 2024:</t>
    </r>
    <r>
      <rPr>
        <sz val="12"/>
        <rFont val="Times New Roman"/>
        <family val="1"/>
      </rPr>
      <t xml:space="preserve"> Perfluoroethanoate (trifluoroacetate) added. Calculation of Predicted Total Organic Fluorine corrected (affects calculation of Excess Fluorine PFASs and associated noncancer HQ).</t>
    </r>
    <r>
      <rPr>
        <b/>
        <sz val="12"/>
        <rFont val="Times New Roman"/>
        <family val="1"/>
      </rPr>
      <t xml:space="preserve"> </t>
    </r>
    <r>
      <rPr>
        <sz val="12"/>
        <rFont val="Times New Roman"/>
        <family val="1"/>
      </rPr>
      <t>Nomenclature of PFAS groups revised for clarity (refer to accompanying Technical Memorandum).</t>
    </r>
  </si>
  <si>
    <r>
      <rPr>
        <b/>
        <sz val="12"/>
        <rFont val="Times New Roman"/>
        <family val="1"/>
      </rPr>
      <t xml:space="preserve">February 1, 2025. </t>
    </r>
    <r>
      <rPr>
        <sz val="12"/>
        <rFont val="Times New Roman"/>
        <family val="1"/>
      </rPr>
      <t>Footnote numbers on Total PFAS Calculator worksheet corrected. Terms "Solids" and "Liquids" changed to "Soil" and "Water" with definitions added in footnotes.</t>
    </r>
  </si>
  <si>
    <r>
      <rPr>
        <b/>
        <sz val="12"/>
        <rFont val="Times New Roman"/>
        <family val="1"/>
      </rPr>
      <t>July 9, 2024:</t>
    </r>
    <r>
      <rPr>
        <sz val="12"/>
        <rFont val="Times New Roman"/>
        <family val="1"/>
      </rPr>
      <t xml:space="preserve"> Sample Information added to each worksheet. Error in Aquatic Toxicity worksheet corrected.</t>
    </r>
  </si>
  <si>
    <r>
      <t>C6F11O3</t>
    </r>
    <r>
      <rPr>
        <vertAlign val="superscript"/>
        <sz val="10"/>
        <rFont val="Calibri"/>
        <family val="2"/>
      </rPr>
      <t>-</t>
    </r>
  </si>
  <si>
    <r>
      <rPr>
        <b/>
        <sz val="12"/>
        <rFont val="Times New Roman"/>
        <family val="1"/>
      </rPr>
      <t xml:space="preserve">February 17, 2025: </t>
    </r>
    <r>
      <rPr>
        <sz val="12"/>
        <rFont val="Times New Roman"/>
        <family val="1"/>
      </rPr>
      <t>HFPO-DA added for assessment of cumulative risk due to recalcitrance to TOPs processing.</t>
    </r>
  </si>
  <si>
    <r>
      <rPr>
        <b/>
        <sz val="12"/>
        <rFont val="Times New Roman"/>
        <family val="1"/>
      </rPr>
      <t xml:space="preserve">July 7, 2025: </t>
    </r>
    <r>
      <rPr>
        <sz val="12"/>
        <rFont val="Times New Roman"/>
        <family val="1"/>
      </rPr>
      <t>Calculation of predicted Total Organic Fluorine for PFEtA</t>
    </r>
    <r>
      <rPr>
        <vertAlign val="superscript"/>
        <sz val="12"/>
        <rFont val="Times New Roman"/>
        <family val="1"/>
      </rPr>
      <t>-</t>
    </r>
    <r>
      <rPr>
        <sz val="12"/>
        <rFont val="Times New Roman"/>
        <family val="1"/>
      </rPr>
      <t xml:space="preserve"> (soil calculator) and HFPO DA</t>
    </r>
    <r>
      <rPr>
        <vertAlign val="superscript"/>
        <sz val="12"/>
        <rFont val="Times New Roman"/>
        <family val="1"/>
      </rPr>
      <t>-</t>
    </r>
    <r>
      <rPr>
        <sz val="12"/>
        <rFont val="Times New Roman"/>
        <family val="1"/>
      </rPr>
      <t xml:space="preserve"> (soil and water calculators) based on input sample data corrected.</t>
    </r>
  </si>
  <si>
    <r>
      <t xml:space="preserve">August 2025: </t>
    </r>
    <r>
      <rPr>
        <sz val="12"/>
        <rFont val="Times New Roman"/>
        <family val="1"/>
      </rPr>
      <t>Exposure Time for tapwater action level model corrected from 24 hrs/day to 4.2 hrs/day to reflect default in HIDOH (2024) EAL guidance. Tapwater action levels for PFEtA</t>
    </r>
    <r>
      <rPr>
        <vertAlign val="superscript"/>
        <sz val="12"/>
        <rFont val="Times New Roman"/>
        <family val="1"/>
      </rPr>
      <t>-</t>
    </r>
    <r>
      <rPr>
        <sz val="12"/>
        <rFont val="Times New Roman"/>
        <family val="1"/>
      </rPr>
      <t xml:space="preserve"> and PFPrA</t>
    </r>
    <r>
      <rPr>
        <vertAlign val="superscript"/>
        <sz val="12"/>
        <rFont val="Times New Roman"/>
        <family val="1"/>
      </rPr>
      <t>-</t>
    </r>
    <r>
      <rPr>
        <sz val="12"/>
        <rFont val="Times New Roman"/>
        <family val="1"/>
      </rPr>
      <t xml:space="preserve"> increased by a factor of approximately 2.5.</t>
    </r>
  </si>
  <si>
    <r>
      <rPr>
        <b/>
        <sz val="12"/>
        <rFont val="Calibri"/>
        <family val="2"/>
      </rPr>
      <t>Step 6.</t>
    </r>
    <r>
      <rPr>
        <sz val="12"/>
        <rFont val="Calibri"/>
        <family val="2"/>
      </rPr>
      <t xml:space="preserve"> Spreadsheet calculates separate noncancer Hazard Index for </t>
    </r>
    <r>
      <rPr>
        <vertAlign val="superscript"/>
        <sz val="12"/>
        <rFont val="Calibri"/>
        <family val="2"/>
      </rPr>
      <t>4</t>
    </r>
    <r>
      <rPr>
        <sz val="12"/>
        <rFont val="Calibri"/>
        <family val="2"/>
      </rPr>
      <t xml:space="preserve">Primary Terminal PFASs, </t>
    </r>
    <r>
      <rPr>
        <vertAlign val="superscript"/>
        <sz val="12"/>
        <rFont val="Calibri"/>
        <family val="2"/>
      </rPr>
      <t>5</t>
    </r>
    <r>
      <rPr>
        <sz val="12"/>
        <rFont val="Calibri"/>
        <family val="2"/>
      </rPr>
      <t xml:space="preserve">Secondary Terminal PFAS and </t>
    </r>
    <r>
      <rPr>
        <vertAlign val="superscript"/>
        <sz val="12"/>
        <rFont val="Calibri"/>
        <family val="2"/>
      </rPr>
      <t>6</t>
    </r>
    <r>
      <rPr>
        <sz val="12"/>
        <rFont val="Calibri"/>
        <family val="2"/>
      </rPr>
      <t>Excess Fluorine PFASs and cumulative Hazard Index for Total PFAS Risk. Input water concentrations additionally compared to Aquatic Toxicity action levels in Worksheet 6 for assessment of discharges to aquatic habitats.</t>
    </r>
  </si>
  <si>
    <r>
      <rPr>
        <b/>
        <vertAlign val="superscript"/>
        <sz val="12"/>
        <color theme="1"/>
        <rFont val="Calibri"/>
        <family val="2"/>
      </rPr>
      <t>4</t>
    </r>
    <r>
      <rPr>
        <b/>
        <sz val="12"/>
        <color theme="1"/>
        <rFont val="Calibri"/>
        <family val="2"/>
      </rPr>
      <t>Primary Terminal PFASs:</t>
    </r>
  </si>
  <si>
    <r>
      <rPr>
        <b/>
        <vertAlign val="superscript"/>
        <sz val="12"/>
        <color theme="1"/>
        <rFont val="Calibri"/>
        <family val="2"/>
      </rPr>
      <t>5</t>
    </r>
    <r>
      <rPr>
        <b/>
        <sz val="12"/>
        <color theme="1"/>
        <rFont val="Calibri"/>
        <family val="2"/>
      </rPr>
      <t>Secondary Terminal PFASs:</t>
    </r>
  </si>
  <si>
    <r>
      <rPr>
        <b/>
        <sz val="12"/>
        <color rgb="FF000000"/>
        <rFont val="Calibri"/>
        <family val="2"/>
      </rPr>
      <t>4. Primary Terminal PFASs =</t>
    </r>
    <r>
      <rPr>
        <sz val="12"/>
        <color rgb="FF000000"/>
        <rFont val="Calibri"/>
        <family val="2"/>
      </rPr>
      <t xml:space="preserve"> Terminal PFASs originally present in the sample prior to TOPs processing.</t>
    </r>
  </si>
  <si>
    <r>
      <rPr>
        <b/>
        <sz val="12"/>
        <color rgb="FF000000"/>
        <rFont val="Calibri"/>
        <family val="2"/>
      </rPr>
      <t>5. Secondary Terminal PFASs =</t>
    </r>
    <r>
      <rPr>
        <sz val="12"/>
        <color rgb="FF000000"/>
        <rFont val="Calibri"/>
        <family val="2"/>
      </rPr>
      <t xml:space="preserve"> Additional Terminal PFASs generated by TOPs processing of a sample. Primary Terminal PFASs originally present in a sample are also captured in post-TOPs data and will be included in the calculated concentration of Secondary Terminal PFASs if pre-TOPs data are not obtained or otherwise available.</t>
    </r>
  </si>
  <si>
    <r>
      <rPr>
        <b/>
        <sz val="12"/>
        <color rgb="FF000000"/>
        <rFont val="Calibri"/>
        <family val="2"/>
      </rPr>
      <t>6. Excess Fluorine PFAS concentration</t>
    </r>
    <r>
      <rPr>
        <sz val="12"/>
        <color rgb="FF000000"/>
        <rFont val="Calibri"/>
        <family val="2"/>
      </rPr>
      <t xml:space="preserve"> estimated as the concentration of Excess Fluorine multiplied by the </t>
    </r>
    <r>
      <rPr>
        <b/>
        <sz val="12"/>
        <color rgb="FF000000"/>
        <rFont val="Calibri"/>
        <family val="2"/>
      </rPr>
      <t>Excess Fluorine Mass Adjustment Factor</t>
    </r>
    <r>
      <rPr>
        <sz val="12"/>
        <color rgb="FF000000"/>
        <rFont val="Calibri"/>
        <family val="2"/>
      </rPr>
      <t xml:space="preserve"> (refer to footnote on Worksheet 2).</t>
    </r>
  </si>
  <si>
    <r>
      <rPr>
        <b/>
        <vertAlign val="superscript"/>
        <sz val="12"/>
        <color theme="1"/>
        <rFont val="Calibri"/>
        <family val="2"/>
      </rPr>
      <t>7</t>
    </r>
    <r>
      <rPr>
        <b/>
        <sz val="12"/>
        <color theme="1"/>
        <rFont val="Calibri"/>
        <family val="2"/>
      </rPr>
      <t>Media Type:</t>
    </r>
  </si>
  <si>
    <r>
      <rPr>
        <b/>
        <vertAlign val="superscript"/>
        <sz val="12"/>
        <color theme="1"/>
        <rFont val="Calibri"/>
        <family val="2"/>
      </rPr>
      <t>8</t>
    </r>
    <r>
      <rPr>
        <b/>
        <sz val="12"/>
        <color theme="1"/>
        <rFont val="Calibri"/>
        <family val="2"/>
      </rPr>
      <t>Land Use:</t>
    </r>
  </si>
  <si>
    <r>
      <rPr>
        <b/>
        <sz val="12"/>
        <color rgb="FF000000"/>
        <rFont val="Calibri"/>
        <family val="2"/>
      </rPr>
      <t xml:space="preserve">7. "Water" </t>
    </r>
    <r>
      <rPr>
        <sz val="12"/>
        <color rgb="FF000000"/>
        <rFont val="Calibri"/>
        <family val="2"/>
      </rPr>
      <t xml:space="preserve">refers direct ingestion of drinking water, wastewater, groundwater, etc. </t>
    </r>
    <r>
      <rPr>
        <b/>
        <sz val="12"/>
        <color rgb="FF000000"/>
        <rFont val="Calibri"/>
        <family val="2"/>
      </rPr>
      <t xml:space="preserve">"Soil" </t>
    </r>
    <r>
      <rPr>
        <sz val="12"/>
        <color rgb="FF000000"/>
        <rFont val="Calibri"/>
        <family val="2"/>
      </rPr>
      <t>refers to direct ingestion of soil, biosolids, fill material, etc.</t>
    </r>
  </si>
  <si>
    <r>
      <rPr>
        <b/>
        <sz val="12"/>
        <color rgb="FF000000"/>
        <rFont val="Calibri"/>
        <family val="2"/>
      </rPr>
      <t xml:space="preserve">8. Land Use: </t>
    </r>
    <r>
      <rPr>
        <sz val="12"/>
        <color rgb="FF000000"/>
        <rFont val="Calibri"/>
        <family val="2"/>
      </rPr>
      <t>Applies to soil only. Unrestricted Use include residential housing, schools, medical facilities and parks. Refer to referenced guidance document.</t>
    </r>
  </si>
  <si>
    <r>
      <rPr>
        <b/>
        <vertAlign val="superscript"/>
        <sz val="12"/>
        <color theme="1"/>
        <rFont val="Calibri"/>
        <family val="2"/>
      </rPr>
      <t>6</t>
    </r>
    <r>
      <rPr>
        <b/>
        <sz val="12"/>
        <color theme="1"/>
        <rFont val="Calibri"/>
        <family val="2"/>
      </rPr>
      <t>Excess Fluorine PFASs:</t>
    </r>
  </si>
  <si>
    <r>
      <rPr>
        <b/>
        <vertAlign val="superscript"/>
        <sz val="12"/>
        <rFont val="Calibri"/>
        <family val="2"/>
      </rPr>
      <t>9</t>
    </r>
    <r>
      <rPr>
        <b/>
        <sz val="12"/>
        <rFont val="Calibri"/>
        <family val="2"/>
      </rPr>
      <t>Total PFASs:</t>
    </r>
  </si>
  <si>
    <r>
      <rPr>
        <b/>
        <sz val="14"/>
        <rFont val="Calibri"/>
        <family val="2"/>
      </rPr>
      <t xml:space="preserve">Contacts: </t>
    </r>
    <r>
      <rPr>
        <sz val="14"/>
        <rFont val="Calibri"/>
        <family val="2"/>
      </rPr>
      <t xml:space="preserve">John Jacob (john.jacob@doh.hawaii.gov) and Weila Li (weila.li@doh.hawaii.gov) </t>
    </r>
  </si>
  <si>
    <t>HIDOH 2026, Evaluation of Environmental Hazards at Sites with Contaminated Soil and Groundwater - Interim Environmental Action Levels for PFASs (January 2026): Hawai'i Department of Health, Hazard Evaluation and Emergency Response.</t>
  </si>
  <si>
    <r>
      <t>Date:</t>
    </r>
    <r>
      <rPr>
        <sz val="14"/>
        <rFont val="Calibri"/>
        <family val="2"/>
      </rPr>
      <t xml:space="preserve"> Last Updated January 2026</t>
    </r>
  </si>
  <si>
    <t>Hawai'i  Department of Health
Hawai'i DOH (PFASs January 2026)</t>
  </si>
  <si>
    <t>HIDOH 2026, Evaluation of Environmental Hazards at Sites with Contaminated Soil and Groundwater - Interim Environmental Action Levels for PFASs (January 2026): Hawai'i Department of Health, Hazard Evaluation and Emergency Response, https://health.hawaii.gov/heer/guidance/ehe-and-eals/</t>
  </si>
  <si>
    <r>
      <t xml:space="preserve">HIDOH, 2025, </t>
    </r>
    <r>
      <rPr>
        <i/>
        <sz val="12"/>
        <rFont val="Times New Roman"/>
        <family val="1"/>
      </rPr>
      <t>Evaluation of Environmental Hazards at Sites with Contaminated Soil and Groundwater – Hawaii Editio</t>
    </r>
    <r>
      <rPr>
        <sz val="12"/>
        <rFont val="Times New Roman"/>
        <family val="1"/>
      </rPr>
      <t>n (August 2025 and updates): Hawai’i Department of Health, Office of Hazard Evaluation and Emergency Response. https://health.hawaii.gov/heer/guidance/ehe-and-eals/</t>
    </r>
  </si>
  <si>
    <r>
      <rPr>
        <b/>
        <sz val="10"/>
        <rFont val="Calibri"/>
        <family val="2"/>
      </rPr>
      <t>Reference</t>
    </r>
    <r>
      <rPr>
        <sz val="10"/>
        <rFont val="Calibri"/>
        <family val="2"/>
      </rPr>
      <t>: HIDOH, 2026, Interim Soil and Water Environmental Action Levels (EALs) for Perfluoroalkyl and Polyfluoroalkyl Substances (PFASs): Hawaii Department of Health, Hazard Evaluation and Emergency Response, January 2026.</t>
    </r>
  </si>
  <si>
    <t>HIDOH, 2026, Interim Soil and Water Environmental Action Levels (EALs) for Perfluoroalkyl and Polyfluoroalkyl Substances (PFASs): Hawaii Department of Health, Hazard Evaluation and Emergency Response, January 2026.</t>
  </si>
  <si>
    <r>
      <t xml:space="preserve">Reference: </t>
    </r>
    <r>
      <rPr>
        <sz val="10"/>
        <rFont val="Calibri"/>
        <family val="2"/>
      </rPr>
      <t>HIDOH, 2026, Interim Soil and Water Environmental Action Levels (EALs) for Perfluoroalkyl and Polyfluoroalkyl Substances (PFASs): Hawaii Department of Health, Hazard Evaluation and Emergency Response, January 2026.</t>
    </r>
  </si>
  <si>
    <r>
      <t xml:space="preserve">Reference: </t>
    </r>
    <r>
      <rPr>
        <sz val="10"/>
        <rFont val="Calibri"/>
        <family val="2"/>
        <scheme val="minor"/>
      </rPr>
      <t>HIDOH, 2026, Interim Soil and Water Environmental Action Levels (EALs) for Perfluoroalkyl and Polyfluoroalkyl Substances (PFASs): Hawaii Department of Health, Hazard Evaluation and Emergency Response, January 2026.</t>
    </r>
  </si>
  <si>
    <r>
      <rPr>
        <b/>
        <sz val="10"/>
        <color theme="1"/>
        <rFont val="Arial"/>
        <family val="2"/>
      </rPr>
      <t>Reference:</t>
    </r>
    <r>
      <rPr>
        <sz val="10"/>
        <color theme="1"/>
        <rFont val="Arial"/>
        <family val="2"/>
      </rPr>
      <t xml:space="preserve"> HIDOH, 2026, Interim Soil and Water Environmental Action Levels (EALs) for Perfluoroalkyl and Polyfluoroalkyl Substances (PFASs): Hawaii Department of Health, Hazard Evaluation and Emergency Response,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</si>
</sst>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E+00"/>
    <numFmt numFmtId="166" formatCode="0.0%"/>
    <numFmt numFmtId="167" formatCode="#,##0.0"/>
  </numFmts>
  <fonts count="88">
    <font>
      <sz val="10"/>
      <name val="Arial"/>
    </font>
    <font>
      <sz val="10"/>
      <color theme="1"/>
      <name val="Arial"/>
      <family val="2"/>
    </font>
    <font>
      <sz val="10"/>
      <name val="Arial"/>
      <family val="2"/>
    </font>
    <font>
      <b/>
      <sz val="12"/>
      <name val="Arial"/>
      <family val="2"/>
    </font>
    <font>
      <b/>
      <sz val="10"/>
      <name val="Arial"/>
      <family val="2"/>
    </font>
    <font>
      <sz val="12"/>
      <name val="Times New Roman"/>
      <family val="1"/>
    </font>
    <font>
      <b/>
      <sz val="18"/>
      <name val="Times New Roman"/>
      <family val="1"/>
    </font>
    <font>
      <b/>
      <sz val="12"/>
      <name val="Times New Roman"/>
      <family val="1"/>
    </font>
    <font>
      <b/>
      <sz val="10"/>
      <name val="Times New Roman"/>
      <family val="1"/>
    </font>
    <font>
      <b/>
      <sz val="14"/>
      <name val="Times New Roman"/>
      <family val="1"/>
    </font>
    <font>
      <sz val="10"/>
      <name val="Times New Roman"/>
      <family val="1"/>
    </font>
    <font>
      <i/>
      <sz val="12"/>
      <name val="Times New Roman"/>
      <family val="1"/>
    </font>
    <font>
      <sz val="14"/>
      <name val="Times New Roman"/>
      <family val="1"/>
    </font>
    <font>
      <b/>
      <vertAlign val="superscript"/>
      <sz val="10"/>
      <name val="Arial"/>
      <family val="2"/>
    </font>
    <font>
      <sz val="8"/>
      <name val="Times New Roman"/>
      <family val="1"/>
    </font>
    <font>
      <sz val="8"/>
      <color theme="1"/>
      <name val="Arial"/>
      <family val="2"/>
    </font>
    <font>
      <sz val="10"/>
      <color theme="1"/>
      <name val="Arial"/>
      <family val="2"/>
    </font>
    <font>
      <sz val="10"/>
      <color theme="1"/>
      <name val="Calibri"/>
      <family val="2"/>
      <scheme val="minor"/>
    </font>
    <font>
      <sz val="10"/>
      <name val="Calibri"/>
      <family val="2"/>
      <scheme val="minor"/>
    </font>
    <font>
      <sz val="12"/>
      <name val="Calibri"/>
      <family val="2"/>
    </font>
    <font>
      <b/>
      <sz val="18"/>
      <color rgb="FF000000"/>
      <name val="Calibri"/>
      <family val="2"/>
    </font>
    <font>
      <sz val="10"/>
      <name val="Calibri"/>
      <family val="2"/>
    </font>
    <font>
      <sz val="10"/>
      <color rgb="FF000000"/>
      <name val="Calibri"/>
      <family val="2"/>
    </font>
    <font>
      <sz val="11"/>
      <color rgb="FF000000"/>
      <name val="Calibri"/>
      <family val="2"/>
    </font>
    <font>
      <b/>
      <sz val="12"/>
      <name val="Calibri"/>
      <family val="2"/>
    </font>
    <font>
      <b/>
      <sz val="12"/>
      <color rgb="FFFF0000"/>
      <name val="Calibri"/>
      <family val="2"/>
    </font>
    <font>
      <b/>
      <sz val="10"/>
      <color rgb="FF000000"/>
      <name val="Calibri"/>
      <family val="2"/>
    </font>
    <font>
      <b/>
      <sz val="11"/>
      <color rgb="FF000000"/>
      <name val="Calibri"/>
      <family val="2"/>
    </font>
    <font>
      <b/>
      <vertAlign val="superscript"/>
      <sz val="10"/>
      <color rgb="FF000000"/>
      <name val="Calibri"/>
      <family val="2"/>
    </font>
    <font>
      <b/>
      <sz val="10"/>
      <name val="Calibri"/>
      <family val="2"/>
    </font>
    <font>
      <b/>
      <sz val="10"/>
      <color rgb="FFFF0000"/>
      <name val="Calibri"/>
      <family val="2"/>
    </font>
    <font>
      <vertAlign val="superscript"/>
      <sz val="10"/>
      <name val="Calibri"/>
      <family val="2"/>
    </font>
    <font>
      <b/>
      <sz val="12"/>
      <color rgb="FF000000"/>
      <name val="Calibri"/>
      <family val="2"/>
    </font>
    <font>
      <sz val="10"/>
      <color theme="1"/>
      <name val="Calibri"/>
      <family val="2"/>
    </font>
    <font>
      <vertAlign val="superscript"/>
      <sz val="10"/>
      <color theme="1"/>
      <name val="Calibri"/>
      <family val="2"/>
    </font>
    <font>
      <b/>
      <sz val="12"/>
      <color theme="1"/>
      <name val="Calibri"/>
      <family val="2"/>
    </font>
    <font>
      <sz val="11"/>
      <color theme="1"/>
      <name val="Calibri"/>
      <family val="2"/>
    </font>
    <font>
      <b/>
      <sz val="10"/>
      <color theme="1"/>
      <name val="Calibri"/>
      <family val="2"/>
    </font>
    <font>
      <vertAlign val="superscript"/>
      <sz val="10"/>
      <name val="Calibri"/>
      <family val="2"/>
      <scheme val="minor"/>
    </font>
    <font>
      <b/>
      <sz val="10"/>
      <name val="Calibri"/>
      <family val="2"/>
      <scheme val="minor"/>
    </font>
    <font>
      <sz val="11"/>
      <color rgb="FF000000"/>
      <name val="Calibri"/>
      <family val="2"/>
      <scheme val="minor"/>
    </font>
    <font>
      <b/>
      <sz val="12"/>
      <color rgb="FFFF0000"/>
      <name val="Calibri"/>
      <family val="2"/>
      <scheme val="minor"/>
    </font>
    <font>
      <b/>
      <sz val="10"/>
      <color rgb="FF000000"/>
      <name val="Calibri"/>
      <family val="2"/>
      <scheme val="minor"/>
    </font>
    <font>
      <vertAlign val="superscript"/>
      <sz val="10"/>
      <color rgb="FF231F20"/>
      <name val="Calibri"/>
      <family val="2"/>
      <scheme val="minor"/>
    </font>
    <font>
      <b/>
      <vertAlign val="superscript"/>
      <sz val="12"/>
      <color theme="1"/>
      <name val="Calibri"/>
      <family val="2"/>
    </font>
    <font>
      <b/>
      <sz val="12"/>
      <color theme="1"/>
      <name val="Calibri"/>
      <family val="2"/>
      <scheme val="minor"/>
    </font>
    <font>
      <b/>
      <u/>
      <sz val="12"/>
      <name val="Calibri"/>
      <family val="2"/>
    </font>
    <font>
      <b/>
      <sz val="11"/>
      <color theme="1"/>
      <name val="Calibri"/>
      <family val="2"/>
    </font>
    <font>
      <b/>
      <sz val="12"/>
      <name val="Calibri"/>
      <family val="2"/>
      <scheme val="minor"/>
    </font>
    <font>
      <b/>
      <u/>
      <sz val="12"/>
      <color rgb="FF000000"/>
      <name val="Calibri"/>
      <family val="2"/>
    </font>
    <font>
      <b/>
      <sz val="10"/>
      <color theme="1"/>
      <name val="Calibri"/>
      <family val="2"/>
      <scheme val="minor"/>
    </font>
    <font>
      <b/>
      <sz val="18"/>
      <name val="Arial"/>
      <family val="2"/>
    </font>
    <font>
      <b/>
      <vertAlign val="superscript"/>
      <sz val="10"/>
      <name val="Calibri"/>
      <family val="2"/>
      <scheme val="minor"/>
    </font>
    <font>
      <sz val="10"/>
      <color rgb="FF000000"/>
      <name val="Calibri"/>
      <family val="2"/>
      <scheme val="minor"/>
    </font>
    <font>
      <sz val="11"/>
      <color rgb="FFFF0000"/>
      <name val="Calibri"/>
      <family val="2"/>
    </font>
    <font>
      <vertAlign val="superscript"/>
      <sz val="12"/>
      <name val="Calibri"/>
      <family val="2"/>
    </font>
    <font>
      <sz val="12"/>
      <name val="Calibri"/>
      <family val="2"/>
      <scheme val="minor"/>
    </font>
    <font>
      <sz val="12"/>
      <color rgb="FF000000"/>
      <name val="Calibri"/>
      <family val="2"/>
    </font>
    <font>
      <sz val="12"/>
      <name val="Arial"/>
      <family val="2"/>
    </font>
    <font>
      <b/>
      <vertAlign val="superscript"/>
      <sz val="12"/>
      <name val="Calibri"/>
      <family val="2"/>
      <scheme val="minor"/>
    </font>
    <font>
      <sz val="12"/>
      <color theme="1"/>
      <name val="Calibri"/>
      <family val="2"/>
    </font>
    <font>
      <b/>
      <vertAlign val="superscript"/>
      <sz val="10"/>
      <color theme="1"/>
      <name val="Calibri"/>
      <family val="2"/>
    </font>
    <font>
      <b/>
      <sz val="14"/>
      <name val="Calibri"/>
      <family val="2"/>
    </font>
    <font>
      <sz val="14"/>
      <name val="Calibri"/>
      <family val="2"/>
    </font>
    <font>
      <vertAlign val="superscript"/>
      <sz val="12"/>
      <name val="Times New Roman"/>
      <family val="1"/>
    </font>
    <font>
      <b/>
      <vertAlign val="superscript"/>
      <sz val="12"/>
      <color theme="1"/>
      <name val="Arial"/>
      <family val="2"/>
    </font>
    <font>
      <sz val="10"/>
      <color rgb="FFFF0000"/>
      <name val="Calibri"/>
      <family val="2"/>
    </font>
    <font>
      <b/>
      <vertAlign val="superscript"/>
      <sz val="10"/>
      <color rgb="FF000000"/>
      <name val="Calibri"/>
      <family val="2"/>
      <scheme val="minor"/>
    </font>
    <font>
      <sz val="8"/>
      <color theme="1"/>
      <name val="Calibri"/>
      <family val="2"/>
      <scheme val="minor"/>
    </font>
    <font>
      <vertAlign val="superscript"/>
      <sz val="10"/>
      <color theme="1"/>
      <name val="Calibri"/>
      <family val="2"/>
      <scheme val="minor"/>
    </font>
    <font>
      <b/>
      <sz val="11"/>
      <color rgb="FF000000"/>
      <name val="Calibri"/>
      <family val="2"/>
      <scheme val="minor"/>
    </font>
    <font>
      <b/>
      <sz val="10"/>
      <color rgb="FFFF0000"/>
      <name val="Calibri"/>
      <family val="2"/>
      <scheme val="minor"/>
    </font>
    <font>
      <b/>
      <vertAlign val="superscript"/>
      <sz val="10"/>
      <color theme="1"/>
      <name val="Calibri"/>
      <family val="2"/>
      <scheme val="minor"/>
    </font>
    <font>
      <b/>
      <sz val="8"/>
      <color theme="1"/>
      <name val="Arial"/>
      <family val="2"/>
    </font>
    <font>
      <b/>
      <vertAlign val="superscript"/>
      <sz val="8"/>
      <color theme="1"/>
      <name val="Arial"/>
      <family val="2"/>
    </font>
    <font>
      <b/>
      <sz val="8"/>
      <color theme="1"/>
      <name val="Calibri"/>
      <family val="2"/>
      <scheme val="minor"/>
    </font>
    <font>
      <b/>
      <vertAlign val="subscript"/>
      <sz val="8"/>
      <color theme="1"/>
      <name val="Arial"/>
      <family val="2"/>
    </font>
    <font>
      <sz val="8"/>
      <color theme="1"/>
      <name val="Arial"/>
      <family val="1"/>
      <charset val="204"/>
    </font>
    <font>
      <vertAlign val="superscript"/>
      <sz val="8"/>
      <color theme="1"/>
      <name val="Arial"/>
      <family val="1"/>
      <charset val="204"/>
    </font>
    <font>
      <vertAlign val="superscript"/>
      <sz val="8"/>
      <color theme="1"/>
      <name val="Arial"/>
      <family val="2"/>
    </font>
    <font>
      <b/>
      <sz val="12"/>
      <color theme="1"/>
      <name val="Arial"/>
      <family val="2"/>
    </font>
    <font>
      <sz val="12"/>
      <color theme="1"/>
      <name val="Arial"/>
      <family val="2"/>
    </font>
    <font>
      <b/>
      <sz val="10"/>
      <color theme="1"/>
      <name val="Arial"/>
      <family val="2"/>
    </font>
    <font>
      <b/>
      <sz val="11"/>
      <color rgb="FFFF0000"/>
      <name val="Calibri"/>
      <family val="2"/>
    </font>
    <font>
      <b/>
      <vertAlign val="superscript"/>
      <sz val="10"/>
      <name val="Calibri"/>
      <family val="2"/>
    </font>
    <font>
      <b/>
      <vertAlign val="superscript"/>
      <sz val="18"/>
      <color rgb="FF000000"/>
      <name val="Calibri"/>
      <family val="2"/>
    </font>
    <font>
      <sz val="9"/>
      <name val="Arial"/>
      <family val="2"/>
    </font>
    <font>
      <b/>
      <vertAlign val="superscript"/>
      <sz val="12"/>
      <name val="Calibri"/>
      <family val="2"/>
    </font>
  </fonts>
  <fills count="15">
    <fill>
      <patternFill patternType="none"/>
    </fill>
    <fill>
      <patternFill patternType="gray125"/>
    </fill>
    <fill>
      <patternFill patternType="solid">
        <fgColor rgb="FFE2EFDA"/>
        <bgColor rgb="FF000000"/>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3" tint="0.79998168889431442"/>
        <bgColor indexed="64"/>
      </patternFill>
    </fill>
    <fill>
      <patternFill patternType="solid">
        <fgColor theme="3" tint="0.79998168889431442"/>
        <bgColor rgb="FF000000"/>
      </patternFill>
    </fill>
    <fill>
      <patternFill patternType="solid">
        <fgColor rgb="FFFFFF00"/>
        <bgColor indexed="64"/>
      </patternFill>
    </fill>
    <fill>
      <patternFill patternType="solid">
        <fgColor rgb="FFFFFF00"/>
        <bgColor rgb="FF000000"/>
      </patternFill>
    </fill>
    <fill>
      <patternFill patternType="solid">
        <fgColor theme="0" tint="-0.14996795556505021"/>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6" tint="0.79998168889431442"/>
        <bgColor rgb="FF000000"/>
      </patternFill>
    </fill>
    <fill>
      <patternFill patternType="solid">
        <fgColor theme="0" tint="-0.14999847407452621"/>
        <bgColor indexed="64"/>
      </patternFill>
    </fill>
  </fills>
  <borders count="118">
    <border>
      <left/>
      <right/>
      <top/>
      <bottom/>
      <diagonal/>
    </border>
    <border>
      <left style="double">
        <color indexed="64"/>
      </left>
      <right/>
      <top style="thin">
        <color indexed="64"/>
      </top>
      <bottom style="thin">
        <color indexed="64"/>
      </bottom>
      <diagonal/>
    </border>
    <border>
      <left style="double">
        <color indexed="64"/>
      </left>
      <right/>
      <top style="double">
        <color indexed="64"/>
      </top>
      <bottom/>
      <diagonal/>
    </border>
    <border>
      <left style="double">
        <color indexed="64"/>
      </left>
      <right/>
      <top style="thin">
        <color indexed="64"/>
      </top>
      <bottom style="medium">
        <color indexed="64"/>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bottom style="double">
        <color indexed="64"/>
      </bottom>
      <diagonal/>
    </border>
    <border>
      <left/>
      <right/>
      <top style="double">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double">
        <color indexed="64"/>
      </top>
      <bottom/>
      <diagonal/>
    </border>
    <border>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style="medium">
        <color indexed="64"/>
      </top>
      <bottom/>
      <diagonal/>
    </border>
    <border>
      <left/>
      <right style="double">
        <color indexed="64"/>
      </right>
      <top style="thin">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double">
        <color indexed="64"/>
      </left>
      <right style="dashed">
        <color indexed="64"/>
      </right>
      <top style="double">
        <color indexed="64"/>
      </top>
      <bottom style="thin">
        <color indexed="64"/>
      </bottom>
      <diagonal/>
    </border>
    <border>
      <left style="double">
        <color indexed="64"/>
      </left>
      <right style="dashed">
        <color indexed="64"/>
      </right>
      <top style="thin">
        <color indexed="64"/>
      </top>
      <bottom style="thin">
        <color indexed="64"/>
      </bottom>
      <diagonal/>
    </border>
    <border>
      <left style="double">
        <color indexed="64"/>
      </left>
      <right style="dashed">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ashed">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style="thin">
        <color indexed="64"/>
      </left>
      <right style="double">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diagonal/>
    </border>
    <border>
      <left style="medium">
        <color indexed="64"/>
      </left>
      <right style="double">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628">
    <xf numFmtId="0" fontId="0" fillId="0" borderId="0" xfId="0"/>
    <xf numFmtId="0" fontId="0" fillId="0" borderId="0" xfId="0" applyAlignment="1">
      <alignment horizontal="center"/>
    </xf>
    <xf numFmtId="0" fontId="5" fillId="0" borderId="0" xfId="0" applyFont="1" applyProtection="1">
      <protection hidden="1"/>
    </xf>
    <xf numFmtId="0" fontId="5" fillId="0" borderId="0" xfId="0" applyFont="1" applyAlignment="1" applyProtection="1">
      <alignment horizontal="center"/>
      <protection hidden="1"/>
    </xf>
    <xf numFmtId="0" fontId="7" fillId="0" borderId="0" xfId="0" applyFont="1" applyProtection="1">
      <protection hidden="1"/>
    </xf>
    <xf numFmtId="0" fontId="0" fillId="0" borderId="0" xfId="0" applyAlignment="1">
      <alignment wrapText="1"/>
    </xf>
    <xf numFmtId="0" fontId="4" fillId="0" borderId="0" xfId="0" applyFont="1" applyAlignment="1">
      <alignment horizontal="left"/>
    </xf>
    <xf numFmtId="0" fontId="0" fillId="0" borderId="0" xfId="0" applyAlignment="1">
      <alignment vertical="center"/>
    </xf>
    <xf numFmtId="0" fontId="5" fillId="0" borderId="0" xfId="0" applyFont="1" applyAlignment="1">
      <alignment wrapText="1"/>
    </xf>
    <xf numFmtId="0" fontId="5" fillId="0" borderId="0" xfId="0" applyFont="1" applyAlignment="1" applyProtection="1">
      <alignment wrapText="1"/>
      <protection hidden="1"/>
    </xf>
    <xf numFmtId="0" fontId="10" fillId="0" borderId="0" xfId="0" applyFont="1"/>
    <xf numFmtId="0" fontId="14" fillId="0" borderId="0" xfId="0" applyFont="1" applyAlignment="1" applyProtection="1">
      <alignment horizontal="center"/>
      <protection hidden="1"/>
    </xf>
    <xf numFmtId="0" fontId="10" fillId="0" borderId="0" xfId="0" applyFont="1" applyAlignment="1" applyProtection="1">
      <alignment horizontal="left"/>
      <protection hidden="1"/>
    </xf>
    <xf numFmtId="0" fontId="10" fillId="0" borderId="0" xfId="0" applyFont="1" applyProtection="1">
      <protection hidden="1"/>
    </xf>
    <xf numFmtId="0" fontId="7" fillId="0" borderId="0" xfId="0" applyFont="1" applyAlignment="1">
      <alignment horizontal="centerContinuous" wrapText="1"/>
    </xf>
    <xf numFmtId="0" fontId="10" fillId="0" borderId="0" xfId="0" applyFont="1" applyAlignment="1">
      <alignment horizontal="centerContinuous"/>
    </xf>
    <xf numFmtId="0" fontId="8" fillId="0" borderId="0" xfId="0" applyFont="1"/>
    <xf numFmtId="0" fontId="10" fillId="0" borderId="0" xfId="0" applyFont="1" applyAlignment="1">
      <alignment vertical="center"/>
    </xf>
    <xf numFmtId="0" fontId="2" fillId="0" borderId="0" xfId="0" applyFont="1"/>
    <xf numFmtId="0" fontId="21" fillId="0" borderId="0" xfId="0" applyFont="1" applyAlignment="1">
      <alignment horizontal="center"/>
    </xf>
    <xf numFmtId="0" fontId="22" fillId="0" borderId="0" xfId="0" applyFont="1"/>
    <xf numFmtId="0" fontId="23" fillId="0" borderId="0" xfId="0" applyFont="1"/>
    <xf numFmtId="0" fontId="22"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Continuous"/>
    </xf>
    <xf numFmtId="0" fontId="24" fillId="0" borderId="0" xfId="0" applyFont="1" applyAlignment="1">
      <alignment horizontal="left"/>
    </xf>
    <xf numFmtId="0" fontId="19" fillId="0" borderId="0" xfId="0" applyFont="1" applyAlignment="1">
      <alignment horizontal="left" wrapText="1"/>
    </xf>
    <xf numFmtId="0" fontId="23" fillId="0" borderId="0" xfId="0" applyFont="1" applyAlignment="1">
      <alignment wrapText="1"/>
    </xf>
    <xf numFmtId="0" fontId="27" fillId="0" borderId="0" xfId="0" applyFont="1" applyAlignment="1">
      <alignment horizontal="left"/>
    </xf>
    <xf numFmtId="0" fontId="26" fillId="0" borderId="0" xfId="0" applyFont="1" applyAlignment="1">
      <alignment horizontal="center"/>
    </xf>
    <xf numFmtId="0" fontId="26" fillId="2" borderId="27" xfId="0" applyFont="1" applyFill="1" applyBorder="1" applyAlignment="1">
      <alignment horizontal="center" wrapText="1"/>
    </xf>
    <xf numFmtId="0" fontId="26" fillId="2" borderId="18" xfId="0" applyFont="1" applyFill="1" applyBorder="1" applyAlignment="1">
      <alignment horizontal="left" wrapText="1"/>
    </xf>
    <xf numFmtId="0" fontId="22" fillId="2" borderId="44" xfId="0" applyFont="1" applyFill="1" applyBorder="1" applyAlignment="1">
      <alignment horizontal="center" wrapText="1"/>
    </xf>
    <xf numFmtId="49" fontId="21" fillId="2" borderId="41" xfId="0" applyNumberFormat="1" applyFont="1" applyFill="1" applyBorder="1" applyAlignment="1">
      <alignment horizontal="left"/>
    </xf>
    <xf numFmtId="0" fontId="22" fillId="2" borderId="1" xfId="0" applyFont="1" applyFill="1" applyBorder="1" applyAlignment="1">
      <alignment horizontal="center" wrapText="1"/>
    </xf>
    <xf numFmtId="49" fontId="21" fillId="2" borderId="19" xfId="0" applyNumberFormat="1" applyFont="1" applyFill="1" applyBorder="1" applyAlignment="1">
      <alignment horizontal="left"/>
    </xf>
    <xf numFmtId="0" fontId="22" fillId="0" borderId="0" xfId="0" applyFont="1" applyAlignment="1">
      <alignment horizontal="center" vertical="center" wrapText="1"/>
    </xf>
    <xf numFmtId="11" fontId="30" fillId="0" borderId="0" xfId="0" applyNumberFormat="1" applyFont="1" applyAlignment="1">
      <alignment horizontal="right"/>
    </xf>
    <xf numFmtId="0" fontId="21" fillId="0" borderId="0" xfId="0" applyFont="1"/>
    <xf numFmtId="49" fontId="29" fillId="0" borderId="0" xfId="0" applyNumberFormat="1" applyFont="1" applyAlignment="1">
      <alignment horizontal="left"/>
    </xf>
    <xf numFmtId="0" fontId="22" fillId="0" borderId="0" xfId="0" applyFont="1" applyAlignment="1">
      <alignment horizontal="left" vertical="center"/>
    </xf>
    <xf numFmtId="0" fontId="23" fillId="0" borderId="0" xfId="0" applyFont="1" applyAlignment="1">
      <alignment horizontal="left" vertical="center"/>
    </xf>
    <xf numFmtId="0" fontId="25" fillId="0" borderId="0" xfId="0" applyFont="1" applyAlignment="1">
      <alignment horizontal="right" vertical="center"/>
    </xf>
    <xf numFmtId="0" fontId="25" fillId="0" borderId="0" xfId="0" applyFont="1"/>
    <xf numFmtId="0" fontId="21" fillId="0" borderId="0" xfId="0" applyFont="1" applyAlignment="1">
      <alignment horizontal="left" vertical="center" wrapText="1"/>
    </xf>
    <xf numFmtId="49" fontId="18" fillId="0" borderId="0" xfId="0" applyNumberFormat="1" applyFont="1" applyAlignment="1">
      <alignment horizontal="left" vertical="center" wrapText="1"/>
    </xf>
    <xf numFmtId="0" fontId="0" fillId="0" borderId="0" xfId="0" applyAlignment="1">
      <alignment horizontal="left" vertical="center" wrapText="1"/>
    </xf>
    <xf numFmtId="49" fontId="21" fillId="0" borderId="0" xfId="0" applyNumberFormat="1" applyFont="1" applyAlignment="1">
      <alignment horizontal="left" vertical="center" wrapText="1"/>
    </xf>
    <xf numFmtId="49" fontId="33" fillId="2" borderId="19" xfId="0" applyNumberFormat="1" applyFont="1" applyFill="1" applyBorder="1" applyAlignment="1">
      <alignment horizontal="left"/>
    </xf>
    <xf numFmtId="0" fontId="33" fillId="0" borderId="0" xfId="0" applyFont="1" applyAlignment="1">
      <alignment horizontal="center"/>
    </xf>
    <xf numFmtId="0" fontId="33" fillId="0" borderId="0" xfId="0" applyFont="1" applyAlignment="1">
      <alignment horizontal="centerContinuous"/>
    </xf>
    <xf numFmtId="0" fontId="36" fillId="0" borderId="0" xfId="0" applyFont="1" applyAlignment="1">
      <alignment wrapText="1"/>
    </xf>
    <xf numFmtId="0" fontId="33" fillId="0" borderId="0" xfId="0" applyFont="1"/>
    <xf numFmtId="0" fontId="18" fillId="0" borderId="0" xfId="0" applyFont="1" applyAlignment="1">
      <alignment horizontal="center"/>
    </xf>
    <xf numFmtId="0" fontId="41" fillId="0" borderId="0" xfId="0" applyFont="1" applyAlignment="1">
      <alignment horizontal="center"/>
    </xf>
    <xf numFmtId="0" fontId="22" fillId="0" borderId="0" xfId="0" applyFont="1" applyAlignment="1">
      <alignment horizontal="center" vertical="center"/>
    </xf>
    <xf numFmtId="0" fontId="26" fillId="0" borderId="0" xfId="0" applyFont="1" applyAlignment="1">
      <alignment horizontal="right"/>
    </xf>
    <xf numFmtId="3" fontId="37" fillId="0" borderId="0" xfId="0" applyNumberFormat="1" applyFont="1" applyAlignment="1">
      <alignment horizontal="center"/>
    </xf>
    <xf numFmtId="0" fontId="32" fillId="0" borderId="0" xfId="0" applyFont="1"/>
    <xf numFmtId="165" fontId="33" fillId="0" borderId="0" xfId="0" applyNumberFormat="1" applyFont="1"/>
    <xf numFmtId="0" fontId="22" fillId="2" borderId="6" xfId="0" applyFont="1" applyFill="1" applyBorder="1" applyAlignment="1">
      <alignment horizontal="center" vertical="center" wrapText="1"/>
    </xf>
    <xf numFmtId="0" fontId="22" fillId="8" borderId="2" xfId="0" applyFont="1" applyFill="1" applyBorder="1"/>
    <xf numFmtId="0" fontId="22" fillId="8" borderId="5" xfId="0" applyFont="1" applyFill="1" applyBorder="1"/>
    <xf numFmtId="0" fontId="22" fillId="8" borderId="8" xfId="0" applyFont="1" applyFill="1" applyBorder="1"/>
    <xf numFmtId="0" fontId="35" fillId="8" borderId="0" xfId="0" applyFont="1" applyFill="1" applyAlignment="1">
      <alignment horizontal="left" vertical="center"/>
    </xf>
    <xf numFmtId="0" fontId="35" fillId="8" borderId="0" xfId="0" applyFont="1" applyFill="1" applyAlignment="1">
      <alignment horizontal="right" vertical="center"/>
    </xf>
    <xf numFmtId="3" fontId="45" fillId="8" borderId="0" xfId="0" applyNumberFormat="1" applyFont="1" applyFill="1" applyAlignment="1">
      <alignment horizontal="center"/>
    </xf>
    <xf numFmtId="0" fontId="24" fillId="8" borderId="0" xfId="0" applyFont="1" applyFill="1" applyAlignment="1">
      <alignment horizontal="left"/>
    </xf>
    <xf numFmtId="0" fontId="22" fillId="8" borderId="6" xfId="0" applyFont="1" applyFill="1" applyBorder="1"/>
    <xf numFmtId="0" fontId="25" fillId="8" borderId="0" xfId="0" applyFont="1" applyFill="1" applyAlignment="1">
      <alignment horizontal="right" vertical="center"/>
    </xf>
    <xf numFmtId="0" fontId="19" fillId="8" borderId="4" xfId="0" applyFont="1" applyFill="1" applyBorder="1" applyAlignment="1">
      <alignment horizontal="left" wrapText="1"/>
    </xf>
    <xf numFmtId="0" fontId="23" fillId="8" borderId="4" xfId="0" applyFont="1" applyFill="1" applyBorder="1" applyAlignment="1">
      <alignment wrapText="1"/>
    </xf>
    <xf numFmtId="0" fontId="23" fillId="8" borderId="17" xfId="0" applyFont="1" applyFill="1" applyBorder="1" applyAlignment="1">
      <alignment wrapText="1"/>
    </xf>
    <xf numFmtId="0" fontId="23" fillId="8" borderId="0" xfId="0" applyFont="1" applyFill="1" applyAlignment="1">
      <alignment wrapText="1"/>
    </xf>
    <xf numFmtId="0" fontId="23" fillId="8" borderId="8" xfId="0" applyFont="1" applyFill="1" applyBorder="1" applyAlignment="1">
      <alignment wrapText="1"/>
    </xf>
    <xf numFmtId="0" fontId="19" fillId="8" borderId="0" xfId="0" applyFont="1" applyFill="1" applyAlignment="1">
      <alignment horizontal="left" wrapText="1"/>
    </xf>
    <xf numFmtId="0" fontId="40" fillId="8" borderId="0" xfId="0" applyFont="1" applyFill="1" applyAlignment="1">
      <alignment horizontal="center" wrapText="1"/>
    </xf>
    <xf numFmtId="0" fontId="41" fillId="8" borderId="0" xfId="0" applyFont="1" applyFill="1" applyAlignment="1" applyProtection="1">
      <alignment horizontal="center" vertical="center"/>
      <protection locked="0"/>
    </xf>
    <xf numFmtId="0" fontId="25" fillId="8" borderId="0" xfId="0" applyFont="1" applyFill="1" applyAlignment="1">
      <alignment horizontal="center" vertical="center"/>
    </xf>
    <xf numFmtId="0" fontId="41" fillId="8" borderId="0" xfId="0" applyFont="1" applyFill="1" applyAlignment="1">
      <alignment horizontal="center" vertical="center"/>
    </xf>
    <xf numFmtId="0" fontId="25" fillId="8" borderId="8" xfId="0" applyFont="1" applyFill="1" applyBorder="1"/>
    <xf numFmtId="0" fontId="35" fillId="9" borderId="0" xfId="0" applyFont="1" applyFill="1" applyAlignment="1">
      <alignment horizontal="right" vertical="center"/>
    </xf>
    <xf numFmtId="0" fontId="23" fillId="8" borderId="0" xfId="0" applyFont="1" applyFill="1" applyAlignment="1">
      <alignment horizontal="left" wrapText="1"/>
    </xf>
    <xf numFmtId="0" fontId="22" fillId="11" borderId="5" xfId="0" applyFont="1" applyFill="1" applyBorder="1"/>
    <xf numFmtId="0" fontId="22" fillId="11" borderId="6" xfId="0" applyFont="1" applyFill="1" applyBorder="1"/>
    <xf numFmtId="0" fontId="21" fillId="11" borderId="7" xfId="0" applyFont="1" applyFill="1" applyBorder="1" applyAlignment="1">
      <alignment horizontal="center"/>
    </xf>
    <xf numFmtId="0" fontId="18" fillId="11" borderId="7" xfId="0" applyFont="1" applyFill="1" applyBorder="1" applyAlignment="1">
      <alignment horizontal="center"/>
    </xf>
    <xf numFmtId="11" fontId="39" fillId="0" borderId="0" xfId="0" applyNumberFormat="1" applyFont="1" applyAlignment="1">
      <alignment horizontal="center" wrapText="1"/>
    </xf>
    <xf numFmtId="1" fontId="18" fillId="0" borderId="0" xfId="0" applyNumberFormat="1" applyFont="1" applyAlignment="1">
      <alignment horizontal="center"/>
    </xf>
    <xf numFmtId="164" fontId="18" fillId="0" borderId="0" xfId="0" applyNumberFormat="1" applyFont="1" applyAlignment="1">
      <alignment horizontal="center"/>
    </xf>
    <xf numFmtId="2" fontId="18" fillId="0" borderId="0" xfId="0" applyNumberFormat="1" applyFont="1" applyAlignment="1">
      <alignment horizontal="center"/>
    </xf>
    <xf numFmtId="1" fontId="17" fillId="0" borderId="0" xfId="0" applyNumberFormat="1" applyFont="1" applyAlignment="1">
      <alignment horizontal="center"/>
    </xf>
    <xf numFmtId="2" fontId="17" fillId="0" borderId="0" xfId="0" applyNumberFormat="1" applyFont="1" applyAlignment="1">
      <alignment horizontal="center"/>
    </xf>
    <xf numFmtId="1" fontId="29" fillId="0" borderId="0" xfId="0" applyNumberFormat="1" applyFont="1" applyAlignment="1">
      <alignment horizontal="center"/>
    </xf>
    <xf numFmtId="2" fontId="18" fillId="3" borderId="40" xfId="0" applyNumberFormat="1" applyFont="1" applyFill="1" applyBorder="1" applyAlignment="1">
      <alignment horizontal="center"/>
    </xf>
    <xf numFmtId="0" fontId="26" fillId="13" borderId="27" xfId="0" applyFont="1" applyFill="1" applyBorder="1" applyAlignment="1">
      <alignment horizontal="center" wrapText="1"/>
    </xf>
    <xf numFmtId="0" fontId="26" fillId="13" borderId="18" xfId="0" applyFont="1" applyFill="1" applyBorder="1" applyAlignment="1">
      <alignment horizontal="left" wrapText="1"/>
    </xf>
    <xf numFmtId="0" fontId="42" fillId="13" borderId="18" xfId="0" applyFont="1" applyFill="1" applyBorder="1" applyAlignment="1">
      <alignment horizontal="center" wrapText="1"/>
    </xf>
    <xf numFmtId="11" fontId="39" fillId="13" borderId="32" xfId="0" applyNumberFormat="1" applyFont="1" applyFill="1" applyBorder="1" applyAlignment="1">
      <alignment horizontal="center" wrapText="1"/>
    </xf>
    <xf numFmtId="11" fontId="39" fillId="13" borderId="55" xfId="0" applyNumberFormat="1" applyFont="1" applyFill="1" applyBorder="1" applyAlignment="1">
      <alignment horizontal="center" wrapText="1"/>
    </xf>
    <xf numFmtId="0" fontId="22" fillId="13" borderId="44" xfId="0" applyFont="1" applyFill="1" applyBorder="1" applyAlignment="1">
      <alignment horizontal="center" wrapText="1"/>
    </xf>
    <xf numFmtId="49" fontId="21" fillId="13" borderId="41" xfId="0" applyNumberFormat="1" applyFont="1" applyFill="1" applyBorder="1" applyAlignment="1">
      <alignment horizontal="left"/>
    </xf>
    <xf numFmtId="49" fontId="21" fillId="13" borderId="41" xfId="0" applyNumberFormat="1" applyFont="1" applyFill="1" applyBorder="1" applyAlignment="1">
      <alignment horizontal="center"/>
    </xf>
    <xf numFmtId="0" fontId="22" fillId="13" borderId="1" xfId="0" applyFont="1" applyFill="1" applyBorder="1" applyAlignment="1">
      <alignment horizontal="center" wrapText="1"/>
    </xf>
    <xf numFmtId="49" fontId="21" fillId="13" borderId="19" xfId="0" applyNumberFormat="1" applyFont="1" applyFill="1" applyBorder="1" applyAlignment="1">
      <alignment horizontal="left"/>
    </xf>
    <xf numFmtId="49" fontId="21" fillId="13" borderId="19" xfId="0" applyNumberFormat="1" applyFont="1" applyFill="1" applyBorder="1" applyAlignment="1">
      <alignment horizontal="center"/>
    </xf>
    <xf numFmtId="49" fontId="33" fillId="13" borderId="19" xfId="0" applyNumberFormat="1" applyFont="1" applyFill="1" applyBorder="1" applyAlignment="1">
      <alignment horizontal="left"/>
    </xf>
    <xf numFmtId="49" fontId="33" fillId="13" borderId="19" xfId="0" applyNumberFormat="1" applyFont="1" applyFill="1" applyBorder="1" applyAlignment="1">
      <alignment horizontal="center"/>
    </xf>
    <xf numFmtId="0" fontId="22" fillId="13" borderId="6" xfId="0" applyFont="1" applyFill="1" applyBorder="1" applyAlignment="1">
      <alignment horizontal="center" vertical="center" wrapText="1"/>
    </xf>
    <xf numFmtId="49" fontId="21" fillId="13" borderId="7" xfId="0" applyNumberFormat="1" applyFont="1" applyFill="1" applyBorder="1" applyAlignment="1">
      <alignment horizontal="left" vertical="center" wrapText="1"/>
    </xf>
    <xf numFmtId="49" fontId="29" fillId="13" borderId="7" xfId="0" applyNumberFormat="1" applyFont="1" applyFill="1" applyBorder="1" applyAlignment="1">
      <alignment horizontal="right" vertical="center" wrapText="1"/>
    </xf>
    <xf numFmtId="11" fontId="29" fillId="7" borderId="47" xfId="0" applyNumberFormat="1" applyFont="1" applyFill="1" applyBorder="1" applyAlignment="1">
      <alignment horizontal="center" wrapText="1"/>
    </xf>
    <xf numFmtId="2" fontId="18" fillId="3" borderId="21" xfId="0" applyNumberFormat="1" applyFont="1" applyFill="1" applyBorder="1" applyAlignment="1">
      <alignment horizontal="center"/>
    </xf>
    <xf numFmtId="0" fontId="3" fillId="0" borderId="0" xfId="0" applyFont="1"/>
    <xf numFmtId="0" fontId="23" fillId="0" borderId="0" xfId="0" applyFont="1" applyAlignment="1">
      <alignment horizontal="right"/>
    </xf>
    <xf numFmtId="0" fontId="47" fillId="0" borderId="0" xfId="0" applyFont="1" applyAlignment="1">
      <alignment horizontal="right" wrapText="1"/>
    </xf>
    <xf numFmtId="0" fontId="27" fillId="0" borderId="0" xfId="0" applyFont="1" applyAlignment="1">
      <alignment horizontal="right"/>
    </xf>
    <xf numFmtId="0" fontId="22" fillId="11" borderId="0" xfId="0" applyFont="1" applyFill="1"/>
    <xf numFmtId="0" fontId="21" fillId="11" borderId="0" xfId="0" applyFont="1" applyFill="1" applyAlignment="1">
      <alignment horizontal="center"/>
    </xf>
    <xf numFmtId="3" fontId="22" fillId="0" borderId="0" xfId="0" applyNumberFormat="1" applyFont="1" applyAlignment="1">
      <alignment horizontal="center"/>
    </xf>
    <xf numFmtId="0" fontId="0" fillId="0" borderId="0" xfId="0" applyAlignment="1">
      <alignment horizontal="left"/>
    </xf>
    <xf numFmtId="3" fontId="26" fillId="0" borderId="0" xfId="0" applyNumberFormat="1" applyFont="1" applyAlignment="1">
      <alignment horizontal="left"/>
    </xf>
    <xf numFmtId="0" fontId="22" fillId="0" borderId="0" xfId="0" applyFont="1" applyAlignment="1">
      <alignment horizontal="left"/>
    </xf>
    <xf numFmtId="11" fontId="39" fillId="5" borderId="61" xfId="0" applyNumberFormat="1" applyFont="1" applyFill="1" applyBorder="1" applyAlignment="1">
      <alignment horizontal="center" wrapText="1"/>
    </xf>
    <xf numFmtId="11" fontId="39" fillId="5" borderId="62" xfId="0" applyNumberFormat="1" applyFont="1" applyFill="1" applyBorder="1" applyAlignment="1">
      <alignment horizontal="center" wrapText="1"/>
    </xf>
    <xf numFmtId="0" fontId="0" fillId="0" borderId="0" xfId="0" applyAlignment="1">
      <alignment horizontal="left" vertical="center"/>
    </xf>
    <xf numFmtId="0" fontId="0" fillId="0" borderId="0" xfId="0" applyAlignment="1">
      <alignment horizontal="center" vertical="center"/>
    </xf>
    <xf numFmtId="0" fontId="29" fillId="2" borderId="7" xfId="0" applyFont="1" applyFill="1" applyBorder="1" applyAlignment="1">
      <alignment horizontal="right" vertical="center" wrapText="1"/>
    </xf>
    <xf numFmtId="0" fontId="26" fillId="0" borderId="0" xfId="0" applyFont="1"/>
    <xf numFmtId="0" fontId="26" fillId="0" borderId="0" xfId="0" applyFont="1" applyAlignment="1">
      <alignment horizontal="left"/>
    </xf>
    <xf numFmtId="0" fontId="25" fillId="8" borderId="9" xfId="0" applyFont="1" applyFill="1" applyBorder="1"/>
    <xf numFmtId="0" fontId="18" fillId="11" borderId="0" xfId="0" applyFont="1" applyFill="1" applyAlignment="1">
      <alignment horizontal="center"/>
    </xf>
    <xf numFmtId="165" fontId="0" fillId="0" borderId="0" xfId="0" applyNumberFormat="1"/>
    <xf numFmtId="165" fontId="22" fillId="0" borderId="0" xfId="0" applyNumberFormat="1" applyFont="1" applyAlignment="1">
      <alignment horizontal="center"/>
    </xf>
    <xf numFmtId="11" fontId="39" fillId="13" borderId="18" xfId="0" applyNumberFormat="1" applyFont="1" applyFill="1" applyBorder="1" applyAlignment="1">
      <alignment horizontal="center" wrapText="1"/>
    </xf>
    <xf numFmtId="11" fontId="39" fillId="13" borderId="63" xfId="0" applyNumberFormat="1" applyFont="1" applyFill="1" applyBorder="1" applyAlignment="1">
      <alignment horizontal="center" wrapText="1"/>
    </xf>
    <xf numFmtId="0" fontId="35" fillId="11" borderId="0" xfId="0" applyFont="1" applyFill="1" applyAlignment="1">
      <alignment horizontal="right" vertical="center"/>
    </xf>
    <xf numFmtId="3" fontId="48" fillId="11" borderId="0" xfId="0" applyNumberFormat="1" applyFont="1" applyFill="1" applyAlignment="1">
      <alignment horizontal="center"/>
    </xf>
    <xf numFmtId="0" fontId="22" fillId="2" borderId="3" xfId="0" applyFont="1" applyFill="1" applyBorder="1" applyAlignment="1">
      <alignment horizontal="center" wrapText="1"/>
    </xf>
    <xf numFmtId="49" fontId="21" fillId="2" borderId="54" xfId="0" applyNumberFormat="1" applyFont="1" applyFill="1" applyBorder="1" applyAlignment="1">
      <alignment horizontal="left"/>
    </xf>
    <xf numFmtId="0" fontId="35" fillId="0" borderId="0" xfId="0" applyFont="1" applyAlignment="1">
      <alignment horizontal="left"/>
    </xf>
    <xf numFmtId="0" fontId="24" fillId="11" borderId="0" xfId="0" applyFont="1" applyFill="1" applyAlignment="1">
      <alignment horizontal="right"/>
    </xf>
    <xf numFmtId="0" fontId="32" fillId="0" borderId="0" xfId="0" applyFont="1" applyAlignment="1">
      <alignment horizontal="left"/>
    </xf>
    <xf numFmtId="0" fontId="32" fillId="0" borderId="0" xfId="0" applyFont="1" applyAlignment="1">
      <alignment horizontal="left" vertical="center"/>
    </xf>
    <xf numFmtId="0" fontId="35" fillId="8" borderId="0" xfId="0" applyFont="1" applyFill="1" applyAlignment="1" applyProtection="1">
      <alignment horizontal="center" vertical="center"/>
      <protection locked="0"/>
    </xf>
    <xf numFmtId="0" fontId="45" fillId="8" borderId="0" xfId="0" applyFont="1" applyFill="1" applyAlignment="1" applyProtection="1">
      <alignment horizontal="center" vertical="center"/>
      <protection locked="0"/>
    </xf>
    <xf numFmtId="0" fontId="47" fillId="0" borderId="0" xfId="0" applyFont="1" applyAlignment="1">
      <alignment horizontal="left"/>
    </xf>
    <xf numFmtId="0" fontId="30" fillId="0" borderId="0" xfId="0" applyFont="1"/>
    <xf numFmtId="3" fontId="18" fillId="6" borderId="49" xfId="0" applyNumberFormat="1" applyFont="1" applyFill="1" applyBorder="1" applyAlignment="1">
      <alignment horizontal="center"/>
    </xf>
    <xf numFmtId="3" fontId="18" fillId="6" borderId="10" xfId="0" applyNumberFormat="1" applyFont="1" applyFill="1" applyBorder="1" applyAlignment="1">
      <alignment horizontal="center"/>
    </xf>
    <xf numFmtId="11" fontId="29" fillId="7" borderId="18" xfId="0" applyNumberFormat="1" applyFont="1" applyFill="1" applyBorder="1" applyAlignment="1">
      <alignment horizontal="center" wrapText="1"/>
    </xf>
    <xf numFmtId="11" fontId="39" fillId="13" borderId="25" xfId="0" applyNumberFormat="1" applyFont="1" applyFill="1" applyBorder="1" applyAlignment="1">
      <alignment horizontal="left" wrapText="1"/>
    </xf>
    <xf numFmtId="0" fontId="18" fillId="3" borderId="30" xfId="0" applyFont="1" applyFill="1" applyBorder="1" applyAlignment="1">
      <alignment horizontal="left"/>
    </xf>
    <xf numFmtId="165" fontId="22" fillId="3" borderId="40" xfId="0" applyNumberFormat="1" applyFont="1" applyFill="1" applyBorder="1" applyAlignment="1">
      <alignment horizontal="center"/>
    </xf>
    <xf numFmtId="0" fontId="26" fillId="3" borderId="32" xfId="0" applyFont="1" applyFill="1" applyBorder="1" applyAlignment="1">
      <alignment horizontal="center" wrapText="1"/>
    </xf>
    <xf numFmtId="0" fontId="26" fillId="3" borderId="55" xfId="0" applyFont="1" applyFill="1" applyBorder="1" applyAlignment="1">
      <alignment horizontal="center" wrapText="1"/>
    </xf>
    <xf numFmtId="3" fontId="0" fillId="0" borderId="0" xfId="0" applyNumberFormat="1"/>
    <xf numFmtId="0" fontId="35" fillId="8" borderId="7" xfId="0" applyFont="1" applyFill="1" applyBorder="1" applyAlignment="1">
      <alignment horizontal="right" vertical="center"/>
    </xf>
    <xf numFmtId="0" fontId="53" fillId="0" borderId="0" xfId="0" applyFont="1" applyAlignment="1">
      <alignment horizontal="left"/>
    </xf>
    <xf numFmtId="0" fontId="53" fillId="0" borderId="0" xfId="0" applyFont="1" applyAlignment="1">
      <alignment horizontal="center"/>
    </xf>
    <xf numFmtId="0" fontId="42" fillId="0" borderId="0" xfId="0" applyFont="1" applyAlignment="1">
      <alignment horizontal="left"/>
    </xf>
    <xf numFmtId="167" fontId="45" fillId="11" borderId="0" xfId="0" applyNumberFormat="1" applyFont="1" applyFill="1" applyAlignment="1">
      <alignment horizontal="center"/>
    </xf>
    <xf numFmtId="0" fontId="26" fillId="3" borderId="15" xfId="0" applyFont="1" applyFill="1" applyBorder="1" applyAlignment="1">
      <alignment horizontal="center" wrapText="1"/>
    </xf>
    <xf numFmtId="0" fontId="26" fillId="3" borderId="28" xfId="0" applyFont="1" applyFill="1" applyBorder="1" applyAlignment="1">
      <alignment horizontal="center" wrapText="1"/>
    </xf>
    <xf numFmtId="0" fontId="42" fillId="3" borderId="36" xfId="0" applyFont="1" applyFill="1" applyBorder="1" applyAlignment="1">
      <alignment horizontal="center" wrapText="1"/>
    </xf>
    <xf numFmtId="0" fontId="42" fillId="3" borderId="15" xfId="0" applyFont="1" applyFill="1" applyBorder="1" applyAlignment="1">
      <alignment horizontal="center" wrapText="1"/>
    </xf>
    <xf numFmtId="0" fontId="42" fillId="3" borderId="16" xfId="0" applyFont="1" applyFill="1" applyBorder="1" applyAlignment="1">
      <alignment horizontal="center" wrapText="1"/>
    </xf>
    <xf numFmtId="165" fontId="22" fillId="3" borderId="48" xfId="0" applyNumberFormat="1" applyFont="1" applyFill="1" applyBorder="1" applyAlignment="1">
      <alignment horizontal="center"/>
    </xf>
    <xf numFmtId="165" fontId="22" fillId="3" borderId="49" xfId="0" applyNumberFormat="1" applyFont="1" applyFill="1" applyBorder="1" applyAlignment="1">
      <alignment horizontal="center"/>
    </xf>
    <xf numFmtId="165" fontId="22" fillId="3" borderId="31" xfId="0" applyNumberFormat="1" applyFont="1" applyFill="1" applyBorder="1" applyAlignment="1">
      <alignment horizontal="center"/>
    </xf>
    <xf numFmtId="3" fontId="45" fillId="10" borderId="53" xfId="0" applyNumberFormat="1" applyFont="1" applyFill="1" applyBorder="1" applyAlignment="1" applyProtection="1">
      <alignment horizontal="center" vertical="center"/>
      <protection locked="0"/>
    </xf>
    <xf numFmtId="0" fontId="25" fillId="0" borderId="0" xfId="0" applyFont="1" applyAlignment="1">
      <alignment horizontal="left" wrapText="1"/>
    </xf>
    <xf numFmtId="0" fontId="54" fillId="0" borderId="0" xfId="0" applyFont="1"/>
    <xf numFmtId="0" fontId="0" fillId="0" borderId="0" xfId="0" applyAlignment="1">
      <alignment horizontal="left" wrapText="1"/>
    </xf>
    <xf numFmtId="167" fontId="37" fillId="6" borderId="64" xfId="0" applyNumberFormat="1" applyFont="1" applyFill="1" applyBorder="1" applyAlignment="1">
      <alignment horizontal="center"/>
    </xf>
    <xf numFmtId="165" fontId="18" fillId="6" borderId="48" xfId="0" applyNumberFormat="1" applyFont="1" applyFill="1" applyBorder="1" applyAlignment="1">
      <alignment horizontal="center"/>
    </xf>
    <xf numFmtId="165" fontId="18" fillId="6" borderId="38" xfId="0" applyNumberFormat="1" applyFont="1" applyFill="1" applyBorder="1" applyAlignment="1">
      <alignment horizontal="center"/>
    </xf>
    <xf numFmtId="2" fontId="18" fillId="3" borderId="48" xfId="0" applyNumberFormat="1" applyFont="1" applyFill="1" applyBorder="1" applyAlignment="1">
      <alignment horizontal="center"/>
    </xf>
    <xf numFmtId="2" fontId="18" fillId="3" borderId="59" xfId="0" applyNumberFormat="1" applyFont="1" applyFill="1" applyBorder="1" applyAlignment="1">
      <alignment horizontal="center"/>
    </xf>
    <xf numFmtId="11" fontId="29" fillId="0" borderId="0" xfId="0" applyNumberFormat="1" applyFont="1" applyAlignment="1">
      <alignment horizontal="center" wrapText="1"/>
    </xf>
    <xf numFmtId="164" fontId="26" fillId="0" borderId="0" xfId="0" applyNumberFormat="1" applyFont="1" applyAlignment="1">
      <alignment horizontal="center"/>
    </xf>
    <xf numFmtId="2" fontId="18" fillId="3" borderId="20" xfId="0" applyNumberFormat="1" applyFont="1" applyFill="1" applyBorder="1" applyAlignment="1">
      <alignment horizontal="center"/>
    </xf>
    <xf numFmtId="2" fontId="18" fillId="3" borderId="38" xfId="0" applyNumberFormat="1" applyFont="1" applyFill="1" applyBorder="1" applyAlignment="1">
      <alignment horizontal="center"/>
    </xf>
    <xf numFmtId="0" fontId="26" fillId="6" borderId="2" xfId="0" applyFont="1" applyFill="1" applyBorder="1" applyAlignment="1">
      <alignment horizontal="right"/>
    </xf>
    <xf numFmtId="0" fontId="26" fillId="6" borderId="4" xfId="0" applyFont="1" applyFill="1" applyBorder="1" applyAlignment="1">
      <alignment horizontal="right"/>
    </xf>
    <xf numFmtId="11" fontId="30" fillId="6" borderId="5" xfId="0" applyNumberFormat="1" applyFont="1" applyFill="1" applyBorder="1" applyAlignment="1">
      <alignment horizontal="right"/>
    </xf>
    <xf numFmtId="11" fontId="30" fillId="6" borderId="0" xfId="0" applyNumberFormat="1" applyFont="1" applyFill="1" applyAlignment="1">
      <alignment horizontal="right"/>
    </xf>
    <xf numFmtId="11" fontId="37" fillId="6" borderId="0" xfId="0" applyNumberFormat="1" applyFont="1" applyFill="1" applyAlignment="1">
      <alignment horizontal="right"/>
    </xf>
    <xf numFmtId="11" fontId="37" fillId="6" borderId="7" xfId="0" applyNumberFormat="1" applyFont="1" applyFill="1" applyBorder="1" applyAlignment="1">
      <alignment horizontal="right"/>
    </xf>
    <xf numFmtId="3" fontId="26" fillId="6" borderId="68" xfId="0" applyNumberFormat="1" applyFont="1" applyFill="1" applyBorder="1" applyAlignment="1">
      <alignment horizontal="center"/>
    </xf>
    <xf numFmtId="2" fontId="37" fillId="6" borderId="69" xfId="0" applyNumberFormat="1" applyFont="1" applyFill="1" applyBorder="1" applyAlignment="1">
      <alignment horizontal="center"/>
    </xf>
    <xf numFmtId="2" fontId="18" fillId="6" borderId="49" xfId="0" applyNumberFormat="1" applyFont="1" applyFill="1" applyBorder="1" applyAlignment="1">
      <alignment horizontal="center"/>
    </xf>
    <xf numFmtId="2" fontId="18" fillId="6" borderId="10" xfId="0" applyNumberFormat="1" applyFont="1" applyFill="1" applyBorder="1" applyAlignment="1">
      <alignment horizontal="center"/>
    </xf>
    <xf numFmtId="3" fontId="45" fillId="4" borderId="72" xfId="0" applyNumberFormat="1" applyFont="1" applyFill="1" applyBorder="1" applyAlignment="1" applyProtection="1">
      <alignment horizontal="center"/>
      <protection locked="0"/>
    </xf>
    <xf numFmtId="4" fontId="45" fillId="4" borderId="37" xfId="0" applyNumberFormat="1" applyFont="1" applyFill="1" applyBorder="1" applyAlignment="1" applyProtection="1">
      <alignment horizontal="center"/>
      <protection locked="0"/>
    </xf>
    <xf numFmtId="0" fontId="30" fillId="0" borderId="0" xfId="0" applyFont="1" applyAlignment="1">
      <alignment horizontal="left"/>
    </xf>
    <xf numFmtId="0" fontId="19" fillId="0" borderId="0" xfId="0" applyFont="1" applyAlignment="1">
      <alignment horizontal="center"/>
    </xf>
    <xf numFmtId="0" fontId="56" fillId="0" borderId="0" xfId="0" applyFont="1" applyAlignment="1">
      <alignment horizontal="center"/>
    </xf>
    <xf numFmtId="0" fontId="58" fillId="0" borderId="0" xfId="0" applyFont="1" applyAlignment="1">
      <alignment wrapText="1"/>
    </xf>
    <xf numFmtId="11" fontId="37" fillId="0" borderId="0" xfId="0" applyNumberFormat="1" applyFont="1" applyAlignment="1">
      <alignment horizontal="right"/>
    </xf>
    <xf numFmtId="0" fontId="42" fillId="13" borderId="55" xfId="0" applyFont="1" applyFill="1" applyBorder="1" applyAlignment="1">
      <alignment horizontal="center" wrapText="1"/>
    </xf>
    <xf numFmtId="0" fontId="46" fillId="0" borderId="0" xfId="0" applyFont="1" applyAlignment="1">
      <alignment horizontal="left"/>
    </xf>
    <xf numFmtId="0" fontId="62" fillId="0" borderId="0" xfId="0" applyFont="1" applyAlignment="1">
      <alignment horizontal="left"/>
    </xf>
    <xf numFmtId="0" fontId="63" fillId="0" borderId="0" xfId="0" applyFont="1" applyAlignment="1">
      <alignment horizontal="left"/>
    </xf>
    <xf numFmtId="167" fontId="18" fillId="4" borderId="48" xfId="0" applyNumberFormat="1" applyFont="1" applyFill="1" applyBorder="1" applyAlignment="1" applyProtection="1">
      <alignment horizontal="center"/>
      <protection locked="0"/>
    </xf>
    <xf numFmtId="167" fontId="18" fillId="4" borderId="57" xfId="0" applyNumberFormat="1" applyFont="1" applyFill="1" applyBorder="1" applyAlignment="1" applyProtection="1">
      <alignment horizontal="center"/>
      <protection locked="0"/>
    </xf>
    <xf numFmtId="167" fontId="18" fillId="4" borderId="40" xfId="0" applyNumberFormat="1" applyFont="1" applyFill="1" applyBorder="1" applyAlignment="1" applyProtection="1">
      <alignment horizontal="center"/>
      <protection locked="0"/>
    </xf>
    <xf numFmtId="167" fontId="18" fillId="4" borderId="42" xfId="0" applyNumberFormat="1" applyFont="1" applyFill="1" applyBorder="1" applyAlignment="1" applyProtection="1">
      <alignment horizontal="center"/>
      <protection locked="0"/>
    </xf>
    <xf numFmtId="167" fontId="18" fillId="4" borderId="38" xfId="0" applyNumberFormat="1" applyFont="1" applyFill="1" applyBorder="1" applyAlignment="1" applyProtection="1">
      <alignment horizontal="center"/>
      <protection locked="0"/>
    </xf>
    <xf numFmtId="167" fontId="17" fillId="4" borderId="26" xfId="0" applyNumberFormat="1" applyFont="1" applyFill="1" applyBorder="1" applyAlignment="1" applyProtection="1">
      <alignment horizontal="center"/>
      <protection locked="0"/>
    </xf>
    <xf numFmtId="167" fontId="18" fillId="4" borderId="26" xfId="0" applyNumberFormat="1" applyFont="1" applyFill="1" applyBorder="1" applyAlignment="1" applyProtection="1">
      <alignment horizontal="center"/>
      <protection locked="0"/>
    </xf>
    <xf numFmtId="167" fontId="17" fillId="4" borderId="38" xfId="0" applyNumberFormat="1" applyFont="1" applyFill="1" applyBorder="1" applyAlignment="1" applyProtection="1">
      <alignment horizontal="center"/>
      <protection locked="0"/>
    </xf>
    <xf numFmtId="167" fontId="18" fillId="4" borderId="36" xfId="0" applyNumberFormat="1" applyFont="1" applyFill="1" applyBorder="1" applyAlignment="1" applyProtection="1">
      <alignment horizontal="center"/>
      <protection locked="0"/>
    </xf>
    <xf numFmtId="167" fontId="18" fillId="4" borderId="16" xfId="0" applyNumberFormat="1" applyFont="1" applyFill="1" applyBorder="1" applyAlignment="1" applyProtection="1">
      <alignment horizontal="center"/>
      <protection locked="0"/>
    </xf>
    <xf numFmtId="11" fontId="30" fillId="6" borderId="1" xfId="0" applyNumberFormat="1" applyFont="1" applyFill="1" applyBorder="1" applyAlignment="1">
      <alignment horizontal="right"/>
    </xf>
    <xf numFmtId="11" fontId="30" fillId="6" borderId="75" xfId="0" applyNumberFormat="1" applyFont="1" applyFill="1" applyBorder="1" applyAlignment="1">
      <alignment horizontal="right"/>
    </xf>
    <xf numFmtId="11" fontId="37" fillId="6" borderId="75" xfId="0" applyNumberFormat="1" applyFont="1" applyFill="1" applyBorder="1" applyAlignment="1">
      <alignment horizontal="right"/>
    </xf>
    <xf numFmtId="3" fontId="37" fillId="6" borderId="76" xfId="0" applyNumberFormat="1" applyFont="1" applyFill="1" applyBorder="1" applyAlignment="1">
      <alignment horizontal="center"/>
    </xf>
    <xf numFmtId="11" fontId="37" fillId="6" borderId="6" xfId="0" applyNumberFormat="1" applyFont="1" applyFill="1" applyBorder="1" applyAlignment="1">
      <alignment horizontal="right"/>
    </xf>
    <xf numFmtId="164" fontId="37" fillId="6" borderId="37" xfId="0" applyNumberFormat="1" applyFont="1" applyFill="1" applyBorder="1" applyAlignment="1">
      <alignment horizontal="center"/>
    </xf>
    <xf numFmtId="164" fontId="37" fillId="0" borderId="0" xfId="0" applyNumberFormat="1" applyFont="1" applyAlignment="1">
      <alignment horizontal="center"/>
    </xf>
    <xf numFmtId="165" fontId="30" fillId="0" borderId="0" xfId="0" applyNumberFormat="1" applyFont="1" applyAlignment="1">
      <alignment horizontal="left"/>
    </xf>
    <xf numFmtId="49" fontId="45" fillId="10" borderId="5" xfId="0" applyNumberFormat="1" applyFont="1" applyFill="1" applyBorder="1" applyAlignment="1" applyProtection="1">
      <alignment horizontal="left" indent="1"/>
      <protection locked="0"/>
    </xf>
    <xf numFmtId="49" fontId="0" fillId="14" borderId="8" xfId="0" applyNumberFormat="1" applyFill="1" applyBorder="1" applyAlignment="1">
      <alignment horizontal="left" indent="1"/>
    </xf>
    <xf numFmtId="0" fontId="5" fillId="0" borderId="0" xfId="0" applyFont="1"/>
    <xf numFmtId="165" fontId="22" fillId="6" borderId="58" xfId="0" applyNumberFormat="1" applyFont="1" applyFill="1" applyBorder="1" applyAlignment="1">
      <alignment horizontal="center"/>
    </xf>
    <xf numFmtId="165" fontId="22" fillId="6" borderId="34" xfId="0" applyNumberFormat="1" applyFont="1" applyFill="1" applyBorder="1" applyAlignment="1">
      <alignment horizontal="center"/>
    </xf>
    <xf numFmtId="11" fontId="29" fillId="5" borderId="36" xfId="0" applyNumberFormat="1" applyFont="1" applyFill="1" applyBorder="1" applyAlignment="1">
      <alignment horizontal="center" wrapText="1"/>
    </xf>
    <xf numFmtId="166" fontId="26" fillId="4" borderId="40" xfId="0" applyNumberFormat="1" applyFont="1" applyFill="1" applyBorder="1" applyAlignment="1">
      <alignment horizontal="center"/>
    </xf>
    <xf numFmtId="11" fontId="29" fillId="5" borderId="16" xfId="0" applyNumberFormat="1" applyFont="1" applyFill="1" applyBorder="1" applyAlignment="1">
      <alignment horizontal="center" wrapText="1"/>
    </xf>
    <xf numFmtId="166" fontId="26" fillId="4" borderId="42" xfId="0" applyNumberFormat="1" applyFont="1" applyFill="1" applyBorder="1" applyAlignment="1">
      <alignment horizontal="center"/>
    </xf>
    <xf numFmtId="3" fontId="29" fillId="12" borderId="9" xfId="0" applyNumberFormat="1" applyFont="1" applyFill="1" applyBorder="1" applyAlignment="1">
      <alignment horizontal="center" vertical="center"/>
    </xf>
    <xf numFmtId="3" fontId="29" fillId="12" borderId="87" xfId="0" applyNumberFormat="1" applyFont="1" applyFill="1" applyBorder="1" applyAlignment="1">
      <alignment horizontal="center" vertical="center"/>
    </xf>
    <xf numFmtId="166" fontId="26" fillId="4" borderId="51" xfId="0" applyNumberFormat="1" applyFont="1" applyFill="1" applyBorder="1" applyAlignment="1">
      <alignment horizontal="center"/>
    </xf>
    <xf numFmtId="166" fontId="26" fillId="4" borderId="45" xfId="0" applyNumberFormat="1" applyFont="1" applyFill="1" applyBorder="1" applyAlignment="1">
      <alignment horizontal="center"/>
    </xf>
    <xf numFmtId="164" fontId="26" fillId="6" borderId="50" xfId="0" applyNumberFormat="1" applyFont="1" applyFill="1" applyBorder="1" applyAlignment="1">
      <alignment horizontal="center"/>
    </xf>
    <xf numFmtId="0" fontId="66" fillId="0" borderId="0" xfId="0" applyFont="1" applyAlignment="1">
      <alignment horizontal="left" vertical="center"/>
    </xf>
    <xf numFmtId="0" fontId="18" fillId="0" borderId="0" xfId="0" applyFont="1"/>
    <xf numFmtId="0" fontId="48" fillId="0" borderId="0" xfId="0" applyFont="1"/>
    <xf numFmtId="0" fontId="42" fillId="13" borderId="27" xfId="0" applyFont="1" applyFill="1" applyBorder="1" applyAlignment="1">
      <alignment horizontal="center" wrapText="1"/>
    </xf>
    <xf numFmtId="0" fontId="42" fillId="13" borderId="18" xfId="0" applyFont="1" applyFill="1" applyBorder="1" applyAlignment="1">
      <alignment horizontal="left" wrapText="1"/>
    </xf>
    <xf numFmtId="0" fontId="42" fillId="6" borderId="63" xfId="0" applyFont="1" applyFill="1" applyBorder="1" applyAlignment="1">
      <alignment horizontal="center" wrapText="1"/>
    </xf>
    <xf numFmtId="0" fontId="42" fillId="0" borderId="0" xfId="0" applyFont="1" applyAlignment="1">
      <alignment horizontal="center"/>
    </xf>
    <xf numFmtId="0" fontId="53" fillId="0" borderId="0" xfId="0" applyFont="1"/>
    <xf numFmtId="0" fontId="53" fillId="13" borderId="44" xfId="0" applyFont="1" applyFill="1" applyBorder="1" applyAlignment="1">
      <alignment horizontal="center" wrapText="1"/>
    </xf>
    <xf numFmtId="49" fontId="18" fillId="13" borderId="41" xfId="0" applyNumberFormat="1" applyFont="1" applyFill="1" applyBorder="1" applyAlignment="1">
      <alignment horizontal="left"/>
    </xf>
    <xf numFmtId="49" fontId="18" fillId="13" borderId="41" xfId="0" applyNumberFormat="1" applyFont="1" applyFill="1" applyBorder="1" applyAlignment="1">
      <alignment horizontal="center"/>
    </xf>
    <xf numFmtId="164" fontId="53" fillId="6" borderId="49" xfId="0" applyNumberFormat="1" applyFont="1" applyFill="1" applyBorder="1" applyAlignment="1">
      <alignment horizontal="center"/>
    </xf>
    <xf numFmtId="165" fontId="53" fillId="6" borderId="58" xfId="0" applyNumberFormat="1" applyFont="1" applyFill="1" applyBorder="1" applyAlignment="1">
      <alignment horizontal="center"/>
    </xf>
    <xf numFmtId="166" fontId="42" fillId="4" borderId="40" xfId="0" applyNumberFormat="1" applyFont="1" applyFill="1" applyBorder="1" applyAlignment="1">
      <alignment horizontal="center"/>
    </xf>
    <xf numFmtId="166" fontId="42" fillId="4" borderId="42" xfId="0" applyNumberFormat="1" applyFont="1" applyFill="1" applyBorder="1" applyAlignment="1">
      <alignment horizontal="center"/>
    </xf>
    <xf numFmtId="0" fontId="42" fillId="0" borderId="0" xfId="0" applyFont="1"/>
    <xf numFmtId="164" fontId="53" fillId="6" borderId="10" xfId="0" applyNumberFormat="1" applyFont="1" applyFill="1" applyBorder="1" applyAlignment="1">
      <alignment horizontal="center"/>
    </xf>
    <xf numFmtId="165" fontId="53" fillId="6" borderId="34" xfId="0" applyNumberFormat="1" applyFont="1" applyFill="1" applyBorder="1" applyAlignment="1">
      <alignment horizontal="center"/>
    </xf>
    <xf numFmtId="0" fontId="53" fillId="13" borderId="1" xfId="0" applyFont="1" applyFill="1" applyBorder="1" applyAlignment="1">
      <alignment horizontal="center" wrapText="1"/>
    </xf>
    <xf numFmtId="49" fontId="18" fillId="13" borderId="19" xfId="0" applyNumberFormat="1" applyFont="1" applyFill="1" applyBorder="1" applyAlignment="1">
      <alignment horizontal="left"/>
    </xf>
    <xf numFmtId="49" fontId="18" fillId="13" borderId="19" xfId="0" applyNumberFormat="1" applyFont="1" applyFill="1" applyBorder="1" applyAlignment="1">
      <alignment horizontal="center"/>
    </xf>
    <xf numFmtId="49" fontId="17" fillId="13" borderId="19" xfId="0" applyNumberFormat="1" applyFont="1" applyFill="1" applyBorder="1" applyAlignment="1">
      <alignment horizontal="left"/>
    </xf>
    <xf numFmtId="49" fontId="17" fillId="13" borderId="19" xfId="0" applyNumberFormat="1" applyFont="1" applyFill="1" applyBorder="1" applyAlignment="1">
      <alignment horizontal="center"/>
    </xf>
    <xf numFmtId="0" fontId="70" fillId="0" borderId="0" xfId="0" applyFont="1" applyAlignment="1">
      <alignment horizontal="left"/>
    </xf>
    <xf numFmtId="0" fontId="53" fillId="13" borderId="6" xfId="0" applyFont="1" applyFill="1" applyBorder="1" applyAlignment="1">
      <alignment horizontal="center" vertical="center" wrapText="1"/>
    </xf>
    <xf numFmtId="49" fontId="18" fillId="13" borderId="7" xfId="0" applyNumberFormat="1" applyFont="1" applyFill="1" applyBorder="1" applyAlignment="1">
      <alignment horizontal="left" vertical="center" wrapText="1"/>
    </xf>
    <xf numFmtId="49" fontId="39" fillId="13" borderId="7" xfId="0" applyNumberFormat="1" applyFont="1" applyFill="1" applyBorder="1" applyAlignment="1">
      <alignment horizontal="right" vertical="center" wrapText="1"/>
    </xf>
    <xf numFmtId="167" fontId="50" fillId="6" borderId="51" xfId="0" applyNumberFormat="1" applyFont="1" applyFill="1" applyBorder="1" applyAlignment="1">
      <alignment horizontal="center"/>
    </xf>
    <xf numFmtId="167" fontId="50" fillId="6" borderId="50" xfId="0" applyNumberFormat="1" applyFont="1" applyFill="1" applyBorder="1" applyAlignment="1">
      <alignment horizontal="center"/>
    </xf>
    <xf numFmtId="166" fontId="42" fillId="4" borderId="51" xfId="0" applyNumberFormat="1" applyFont="1" applyFill="1" applyBorder="1" applyAlignment="1">
      <alignment horizontal="center"/>
    </xf>
    <xf numFmtId="166" fontId="42" fillId="4" borderId="45" xfId="0" applyNumberFormat="1" applyFont="1" applyFill="1" applyBorder="1" applyAlignment="1">
      <alignment horizontal="center"/>
    </xf>
    <xf numFmtId="0" fontId="53" fillId="0" borderId="0" xfId="0" applyFont="1" applyAlignment="1">
      <alignment horizontal="center" vertical="center" wrapText="1"/>
    </xf>
    <xf numFmtId="0" fontId="42" fillId="0" borderId="0" xfId="0" applyFont="1" applyAlignment="1">
      <alignment horizontal="right"/>
    </xf>
    <xf numFmtId="0" fontId="42" fillId="6" borderId="2" xfId="0" applyFont="1" applyFill="1" applyBorder="1" applyAlignment="1">
      <alignment horizontal="right"/>
    </xf>
    <xf numFmtId="0" fontId="42" fillId="6" borderId="4" xfId="0" applyFont="1" applyFill="1" applyBorder="1" applyAlignment="1">
      <alignment horizontal="right"/>
    </xf>
    <xf numFmtId="0" fontId="42" fillId="6" borderId="81" xfId="0" applyFont="1" applyFill="1" applyBorder="1" applyAlignment="1">
      <alignment horizontal="right"/>
    </xf>
    <xf numFmtId="3" fontId="42" fillId="6" borderId="79" xfId="0" applyNumberFormat="1" applyFont="1" applyFill="1" applyBorder="1" applyAlignment="1">
      <alignment horizontal="center"/>
    </xf>
    <xf numFmtId="0" fontId="71" fillId="0" borderId="0" xfId="0" applyFont="1" applyAlignment="1">
      <alignment horizontal="left"/>
    </xf>
    <xf numFmtId="11" fontId="71" fillId="6" borderId="5" xfId="0" applyNumberFormat="1" applyFont="1" applyFill="1" applyBorder="1" applyAlignment="1">
      <alignment horizontal="right"/>
    </xf>
    <xf numFmtId="11" fontId="71" fillId="6" borderId="0" xfId="0" applyNumberFormat="1" applyFont="1" applyFill="1" applyAlignment="1">
      <alignment horizontal="right"/>
    </xf>
    <xf numFmtId="11" fontId="50" fillId="6" borderId="82" xfId="0" applyNumberFormat="1" applyFont="1" applyFill="1" applyBorder="1" applyAlignment="1">
      <alignment horizontal="right"/>
    </xf>
    <xf numFmtId="11" fontId="71" fillId="6" borderId="44" xfId="0" applyNumberFormat="1" applyFont="1" applyFill="1" applyBorder="1" applyAlignment="1">
      <alignment horizontal="right"/>
    </xf>
    <xf numFmtId="11" fontId="71" fillId="6" borderId="29" xfId="0" applyNumberFormat="1" applyFont="1" applyFill="1" applyBorder="1" applyAlignment="1">
      <alignment horizontal="right"/>
    </xf>
    <xf numFmtId="11" fontId="50" fillId="6" borderId="83" xfId="0" applyNumberFormat="1" applyFont="1" applyFill="1" applyBorder="1" applyAlignment="1">
      <alignment horizontal="right"/>
    </xf>
    <xf numFmtId="2" fontId="50" fillId="6" borderId="30" xfId="0" applyNumberFormat="1" applyFont="1" applyFill="1" applyBorder="1" applyAlignment="1">
      <alignment horizontal="center"/>
    </xf>
    <xf numFmtId="0" fontId="17" fillId="0" borderId="0" xfId="0" applyFont="1" applyAlignment="1">
      <alignment horizontal="center"/>
    </xf>
    <xf numFmtId="11" fontId="50" fillId="6" borderId="1" xfId="0" applyNumberFormat="1" applyFont="1" applyFill="1" applyBorder="1" applyAlignment="1">
      <alignment horizontal="right"/>
    </xf>
    <xf numFmtId="11" fontId="50" fillId="6" borderId="75" xfId="0" applyNumberFormat="1" applyFont="1" applyFill="1" applyBorder="1" applyAlignment="1">
      <alignment horizontal="right"/>
    </xf>
    <xf numFmtId="11" fontId="50" fillId="6" borderId="84" xfId="0" applyNumberFormat="1" applyFont="1" applyFill="1" applyBorder="1" applyAlignment="1">
      <alignment horizontal="right"/>
    </xf>
    <xf numFmtId="3" fontId="50" fillId="6" borderId="80" xfId="0" applyNumberFormat="1" applyFont="1" applyFill="1" applyBorder="1" applyAlignment="1">
      <alignment horizontal="center"/>
    </xf>
    <xf numFmtId="49" fontId="39" fillId="0" borderId="0" xfId="0" applyNumberFormat="1" applyFont="1" applyAlignment="1">
      <alignment horizontal="left"/>
    </xf>
    <xf numFmtId="11" fontId="71" fillId="0" borderId="0" xfId="0" applyNumberFormat="1" applyFont="1" applyAlignment="1">
      <alignment horizontal="right"/>
    </xf>
    <xf numFmtId="11" fontId="50" fillId="6" borderId="66" xfId="0" applyNumberFormat="1" applyFont="1" applyFill="1" applyBorder="1" applyAlignment="1">
      <alignment horizontal="right"/>
    </xf>
    <xf numFmtId="11" fontId="50" fillId="6" borderId="77" xfId="0" applyNumberFormat="1" applyFont="1" applyFill="1" applyBorder="1" applyAlignment="1">
      <alignment horizontal="right"/>
    </xf>
    <xf numFmtId="11" fontId="50" fillId="6" borderId="85" xfId="0" applyNumberFormat="1" applyFont="1" applyFill="1" applyBorder="1" applyAlignment="1">
      <alignment horizontal="right"/>
    </xf>
    <xf numFmtId="164" fontId="50" fillId="6" borderId="78" xfId="0" applyNumberFormat="1" applyFont="1" applyFill="1" applyBorder="1" applyAlignment="1">
      <alignment horizontal="center"/>
    </xf>
    <xf numFmtId="165" fontId="17" fillId="0" borderId="0" xfId="0" applyNumberFormat="1" applyFont="1"/>
    <xf numFmtId="11" fontId="50" fillId="0" borderId="0" xfId="0" applyNumberFormat="1" applyFont="1" applyAlignment="1">
      <alignment horizontal="right"/>
    </xf>
    <xf numFmtId="3" fontId="50" fillId="0" borderId="0" xfId="0" applyNumberFormat="1" applyFont="1" applyAlignment="1">
      <alignment horizontal="center"/>
    </xf>
    <xf numFmtId="0" fontId="39" fillId="0" borderId="0" xfId="0" applyFont="1" applyAlignment="1">
      <alignment horizontal="right"/>
    </xf>
    <xf numFmtId="0" fontId="35" fillId="0" borderId="0" xfId="0" applyFont="1" applyAlignment="1">
      <alignment horizontal="right" vertical="center"/>
    </xf>
    <xf numFmtId="0" fontId="48" fillId="0" borderId="0" xfId="0" applyFont="1" applyAlignment="1">
      <alignment horizontal="left"/>
    </xf>
    <xf numFmtId="3" fontId="18" fillId="3" borderId="40" xfId="0" applyNumberFormat="1" applyFont="1" applyFill="1" applyBorder="1" applyAlignment="1">
      <alignment horizontal="center"/>
    </xf>
    <xf numFmtId="167" fontId="18" fillId="3" borderId="40" xfId="0" applyNumberFormat="1" applyFont="1" applyFill="1" applyBorder="1" applyAlignment="1">
      <alignment horizontal="center"/>
    </xf>
    <xf numFmtId="3" fontId="18" fillId="3" borderId="49" xfId="0" applyNumberFormat="1" applyFont="1" applyFill="1" applyBorder="1" applyAlignment="1">
      <alignment horizontal="center"/>
    </xf>
    <xf numFmtId="3" fontId="18" fillId="3" borderId="31" xfId="0" applyNumberFormat="1" applyFont="1" applyFill="1" applyBorder="1" applyAlignment="1">
      <alignment horizontal="center"/>
    </xf>
    <xf numFmtId="3" fontId="22" fillId="3" borderId="56" xfId="0" applyNumberFormat="1" applyFont="1" applyFill="1" applyBorder="1" applyAlignment="1">
      <alignment horizontal="center"/>
    </xf>
    <xf numFmtId="3" fontId="22" fillId="3" borderId="59" xfId="0" applyNumberFormat="1" applyFont="1" applyFill="1" applyBorder="1" applyAlignment="1">
      <alignment horizontal="center"/>
    </xf>
    <xf numFmtId="3" fontId="53" fillId="3" borderId="48" xfId="0" applyNumberFormat="1" applyFont="1" applyFill="1" applyBorder="1" applyAlignment="1">
      <alignment horizontal="center"/>
    </xf>
    <xf numFmtId="3" fontId="53" fillId="3" borderId="56" xfId="0" applyNumberFormat="1" applyFont="1" applyFill="1" applyBorder="1" applyAlignment="1">
      <alignment horizontal="center"/>
    </xf>
    <xf numFmtId="3" fontId="53" fillId="3" borderId="42" xfId="0" applyNumberFormat="1" applyFont="1" applyFill="1" applyBorder="1" applyAlignment="1">
      <alignment horizontal="center"/>
    </xf>
    <xf numFmtId="3" fontId="22" fillId="3" borderId="23" xfId="0" applyNumberFormat="1" applyFont="1" applyFill="1" applyBorder="1" applyAlignment="1">
      <alignment horizontal="center"/>
    </xf>
    <xf numFmtId="3" fontId="22" fillId="3" borderId="20" xfId="0" applyNumberFormat="1" applyFont="1" applyFill="1" applyBorder="1" applyAlignment="1">
      <alignment horizontal="center"/>
    </xf>
    <xf numFmtId="3" fontId="53" fillId="3" borderId="38" xfId="0" applyNumberFormat="1" applyFont="1" applyFill="1" applyBorder="1" applyAlignment="1">
      <alignment horizontal="center"/>
    </xf>
    <xf numFmtId="3" fontId="53" fillId="3" borderId="23" xfId="0" applyNumberFormat="1" applyFont="1" applyFill="1" applyBorder="1" applyAlignment="1">
      <alignment horizontal="center"/>
    </xf>
    <xf numFmtId="3" fontId="53" fillId="3" borderId="26" xfId="0" applyNumberFormat="1" applyFont="1" applyFill="1" applyBorder="1" applyAlignment="1">
      <alignment horizontal="center"/>
    </xf>
    <xf numFmtId="3" fontId="39" fillId="13" borderId="51" xfId="0" applyNumberFormat="1" applyFont="1" applyFill="1" applyBorder="1" applyAlignment="1">
      <alignment horizontal="center"/>
    </xf>
    <xf numFmtId="3" fontId="39" fillId="13" borderId="52" xfId="0" applyNumberFormat="1" applyFont="1" applyFill="1" applyBorder="1" applyAlignment="1">
      <alignment horizontal="center"/>
    </xf>
    <xf numFmtId="3" fontId="39" fillId="7" borderId="64" xfId="0" applyNumberFormat="1" applyFont="1" applyFill="1" applyBorder="1" applyAlignment="1">
      <alignment horizontal="center"/>
    </xf>
    <xf numFmtId="3" fontId="39" fillId="7" borderId="51" xfId="0" applyNumberFormat="1" applyFont="1" applyFill="1" applyBorder="1" applyAlignment="1">
      <alignment horizontal="center"/>
    </xf>
    <xf numFmtId="3" fontId="29" fillId="13" borderId="51" xfId="0" applyNumberFormat="1" applyFont="1" applyFill="1" applyBorder="1" applyAlignment="1">
      <alignment horizontal="center"/>
    </xf>
    <xf numFmtId="3" fontId="29" fillId="13" borderId="52" xfId="0" applyNumberFormat="1" applyFont="1" applyFill="1" applyBorder="1" applyAlignment="1">
      <alignment horizontal="center"/>
    </xf>
    <xf numFmtId="3" fontId="37" fillId="6" borderId="69" xfId="0" applyNumberFormat="1" applyFont="1" applyFill="1" applyBorder="1" applyAlignment="1">
      <alignment horizontal="center"/>
    </xf>
    <xf numFmtId="3" fontId="50" fillId="6" borderId="8" xfId="0" applyNumberFormat="1" applyFont="1" applyFill="1" applyBorder="1" applyAlignment="1">
      <alignment horizontal="center"/>
    </xf>
    <xf numFmtId="0" fontId="23" fillId="8" borderId="7" xfId="0" applyFont="1" applyFill="1" applyBorder="1" applyAlignment="1">
      <alignment horizontal="left" wrapText="1"/>
    </xf>
    <xf numFmtId="11" fontId="73" fillId="0" borderId="0" xfId="0" applyNumberFormat="1" applyFont="1" applyAlignment="1">
      <alignment horizontal="centerContinuous"/>
    </xf>
    <xf numFmtId="11" fontId="73" fillId="0" borderId="0" xfId="0" applyNumberFormat="1" applyFont="1" applyAlignment="1">
      <alignment horizontal="centerContinuous" vertical="center"/>
    </xf>
    <xf numFmtId="11" fontId="15" fillId="0" borderId="0" xfId="0" applyNumberFormat="1" applyFont="1" applyAlignment="1">
      <alignment horizontal="center"/>
    </xf>
    <xf numFmtId="11" fontId="73" fillId="0" borderId="13" xfId="0" applyNumberFormat="1" applyFont="1" applyBorder="1" applyAlignment="1">
      <alignment horizontal="center" wrapText="1"/>
    </xf>
    <xf numFmtId="11" fontId="73" fillId="0" borderId="35" xfId="0" applyNumberFormat="1" applyFont="1" applyBorder="1" applyAlignment="1">
      <alignment horizontal="center" wrapText="1"/>
    </xf>
    <xf numFmtId="11" fontId="73" fillId="0" borderId="23" xfId="0" applyNumberFormat="1" applyFont="1" applyBorder="1" applyAlignment="1">
      <alignment horizontal="center"/>
    </xf>
    <xf numFmtId="11" fontId="73" fillId="0" borderId="26" xfId="0" applyNumberFormat="1" applyFont="1" applyBorder="1" applyAlignment="1">
      <alignment horizontal="center"/>
    </xf>
    <xf numFmtId="0" fontId="73" fillId="0" borderId="15" xfId="0" applyFont="1" applyBorder="1" applyAlignment="1">
      <alignment horizontal="center"/>
    </xf>
    <xf numFmtId="11" fontId="73" fillId="0" borderId="15" xfId="0" applyNumberFormat="1" applyFont="1" applyBorder="1" applyAlignment="1">
      <alignment horizontal="center"/>
    </xf>
    <xf numFmtId="11" fontId="73" fillId="0" borderId="16" xfId="0" applyNumberFormat="1" applyFont="1" applyBorder="1" applyAlignment="1">
      <alignment horizontal="center"/>
    </xf>
    <xf numFmtId="0" fontId="77" fillId="0" borderId="92" xfId="0" applyFont="1" applyBorder="1" applyAlignment="1">
      <alignment horizontal="center" vertical="center" wrapText="1"/>
    </xf>
    <xf numFmtId="49" fontId="77" fillId="0" borderId="29" xfId="0" applyNumberFormat="1" applyFont="1" applyBorder="1" applyAlignment="1">
      <alignment horizontal="left" vertical="center"/>
    </xf>
    <xf numFmtId="0" fontId="15" fillId="0" borderId="31" xfId="0" applyFont="1" applyBorder="1" applyAlignment="1">
      <alignment horizontal="center" vertical="center"/>
    </xf>
    <xf numFmtId="49" fontId="15" fillId="0" borderId="43" xfId="0" applyNumberFormat="1" applyFont="1" applyBorder="1" applyAlignment="1">
      <alignment horizontal="center" vertical="center"/>
    </xf>
    <xf numFmtId="1" fontId="15" fillId="0" borderId="43" xfId="0" applyNumberFormat="1" applyFont="1" applyBorder="1" applyAlignment="1">
      <alignment horizontal="center" vertical="center"/>
    </xf>
    <xf numFmtId="11" fontId="15" fillId="0" borderId="43" xfId="0" applyNumberFormat="1" applyFont="1" applyBorder="1" applyAlignment="1">
      <alignment horizontal="center" vertical="center"/>
    </xf>
    <xf numFmtId="11" fontId="15" fillId="0" borderId="93" xfId="0" applyNumberFormat="1" applyFont="1" applyBorder="1" applyAlignment="1">
      <alignment horizontal="center" vertical="center"/>
    </xf>
    <xf numFmtId="165" fontId="15" fillId="0" borderId="43" xfId="0" applyNumberFormat="1" applyFont="1" applyBorder="1" applyAlignment="1">
      <alignment horizontal="center" vertical="center"/>
    </xf>
    <xf numFmtId="11" fontId="15" fillId="0" borderId="42" xfId="0" applyNumberFormat="1" applyFont="1" applyBorder="1" applyAlignment="1">
      <alignment horizontal="center" vertical="center"/>
    </xf>
    <xf numFmtId="0" fontId="15" fillId="0" borderId="92" xfId="0" applyFont="1" applyBorder="1" applyAlignment="1">
      <alignment horizontal="center" vertical="center" wrapText="1"/>
    </xf>
    <xf numFmtId="49" fontId="15" fillId="0" borderId="75" xfId="0" applyNumberFormat="1" applyFont="1" applyBorder="1" applyAlignment="1">
      <alignment horizontal="left" vertical="center"/>
    </xf>
    <xf numFmtId="0" fontId="15" fillId="0" borderId="10" xfId="0" applyFont="1" applyBorder="1" applyAlignment="1">
      <alignment horizontal="center" vertical="center"/>
    </xf>
    <xf numFmtId="11" fontId="15" fillId="0" borderId="23" xfId="0" applyNumberFormat="1" applyFont="1" applyBorder="1" applyAlignment="1">
      <alignment horizontal="center" vertical="center"/>
    </xf>
    <xf numFmtId="11" fontId="15" fillId="0" borderId="34" xfId="0" applyNumberFormat="1" applyFont="1" applyBorder="1" applyAlignment="1">
      <alignment horizontal="center" vertical="center"/>
    </xf>
    <xf numFmtId="11" fontId="15" fillId="0" borderId="26" xfId="0" applyNumberFormat="1" applyFont="1" applyBorder="1" applyAlignment="1">
      <alignment horizontal="center" vertical="center"/>
    </xf>
    <xf numFmtId="0" fontId="77" fillId="0" borderId="89" xfId="0" applyFont="1" applyBorder="1" applyAlignment="1">
      <alignment horizontal="center" vertical="center" wrapText="1"/>
    </xf>
    <xf numFmtId="49" fontId="77" fillId="0" borderId="75" xfId="0" applyNumberFormat="1" applyFont="1" applyBorder="1" applyAlignment="1">
      <alignment horizontal="left" vertical="center"/>
    </xf>
    <xf numFmtId="49" fontId="15" fillId="0" borderId="23" xfId="0" applyNumberFormat="1" applyFont="1" applyBorder="1" applyAlignment="1">
      <alignment horizontal="center" vertical="center"/>
    </xf>
    <xf numFmtId="1" fontId="15" fillId="0" borderId="23" xfId="0" applyNumberFormat="1" applyFont="1" applyBorder="1" applyAlignment="1">
      <alignment horizontal="center" vertical="center"/>
    </xf>
    <xf numFmtId="165" fontId="15" fillId="0" borderId="23" xfId="0" applyNumberFormat="1" applyFont="1" applyBorder="1" applyAlignment="1">
      <alignment horizontal="center" vertical="center"/>
    </xf>
    <xf numFmtId="0" fontId="15" fillId="0" borderId="29" xfId="0" applyFont="1" applyBorder="1" applyAlignment="1">
      <alignment horizontal="left" vertical="center" wrapText="1"/>
    </xf>
    <xf numFmtId="0" fontId="15" fillId="0" borderId="43" xfId="0" applyFont="1" applyBorder="1" applyAlignment="1">
      <alignment horizontal="center" vertical="center" wrapText="1"/>
    </xf>
    <xf numFmtId="0" fontId="15" fillId="0" borderId="43" xfId="0" applyFont="1" applyBorder="1" applyAlignment="1">
      <alignment horizontal="center" vertical="center"/>
    </xf>
    <xf numFmtId="0" fontId="77" fillId="0" borderId="89" xfId="0" applyFont="1" applyBorder="1" applyAlignment="1">
      <alignment horizontal="center" vertical="center"/>
    </xf>
    <xf numFmtId="49" fontId="77" fillId="0" borderId="75" xfId="0" applyNumberFormat="1" applyFont="1" applyBorder="1" applyAlignment="1">
      <alignment horizontal="left" vertical="center" wrapText="1"/>
    </xf>
    <xf numFmtId="11" fontId="15" fillId="0" borderId="14" xfId="0" applyNumberFormat="1" applyFont="1" applyBorder="1" applyAlignment="1">
      <alignment horizontal="center" vertical="center"/>
    </xf>
    <xf numFmtId="0" fontId="77" fillId="0" borderId="94" xfId="0" applyFont="1" applyBorder="1" applyAlignment="1">
      <alignment horizontal="center" vertical="center" wrapText="1"/>
    </xf>
    <xf numFmtId="49" fontId="77" fillId="0" borderId="95" xfId="0" applyNumberFormat="1" applyFont="1" applyBorder="1" applyAlignment="1">
      <alignment horizontal="left" vertical="center" wrapText="1"/>
    </xf>
    <xf numFmtId="0" fontId="15" fillId="0" borderId="96" xfId="0" applyFont="1" applyBorder="1" applyAlignment="1">
      <alignment horizontal="center" vertical="center"/>
    </xf>
    <xf numFmtId="49" fontId="15" fillId="0" borderId="14" xfId="0" applyNumberFormat="1" applyFont="1" applyBorder="1" applyAlignment="1">
      <alignment horizontal="center" vertical="center"/>
    </xf>
    <xf numFmtId="1" fontId="15" fillId="0" borderId="14" xfId="0" applyNumberFormat="1" applyFont="1" applyBorder="1" applyAlignment="1">
      <alignment horizontal="center" vertical="center"/>
    </xf>
    <xf numFmtId="11" fontId="15" fillId="0" borderId="97" xfId="0" applyNumberFormat="1" applyFont="1" applyBorder="1" applyAlignment="1">
      <alignment horizontal="center" vertical="center"/>
    </xf>
    <xf numFmtId="11" fontId="15" fillId="0" borderId="82" xfId="0" applyNumberFormat="1" applyFont="1" applyBorder="1" applyAlignment="1">
      <alignment horizontal="center" vertical="center"/>
    </xf>
    <xf numFmtId="11" fontId="15" fillId="0" borderId="95" xfId="0" applyNumberFormat="1" applyFont="1" applyBorder="1" applyAlignment="1">
      <alignment horizontal="center" vertical="center"/>
    </xf>
    <xf numFmtId="165" fontId="15" fillId="0" borderId="14" xfId="0" applyNumberFormat="1" applyFont="1" applyBorder="1" applyAlignment="1">
      <alignment horizontal="center" vertical="center"/>
    </xf>
    <xf numFmtId="0" fontId="15" fillId="0" borderId="98" xfId="0" applyFont="1" applyBorder="1" applyAlignment="1">
      <alignment horizontal="center" vertical="center" wrapText="1"/>
    </xf>
    <xf numFmtId="49" fontId="15" fillId="0" borderId="23" xfId="0" applyNumberFormat="1" applyFont="1" applyBorder="1" applyAlignment="1">
      <alignment horizontal="left" vertical="center" wrapText="1"/>
    </xf>
    <xf numFmtId="165" fontId="15" fillId="0" borderId="26" xfId="0" applyNumberFormat="1" applyFont="1" applyBorder="1" applyAlignment="1">
      <alignment horizontal="center" vertical="center"/>
    </xf>
    <xf numFmtId="0" fontId="15" fillId="0" borderId="34" xfId="0" applyFont="1" applyBorder="1" applyAlignment="1">
      <alignment horizontal="center" vertical="center"/>
    </xf>
    <xf numFmtId="49" fontId="15" fillId="0" borderId="38" xfId="0" applyNumberFormat="1" applyFont="1" applyBorder="1" applyAlignment="1">
      <alignment horizontal="center" vertical="center"/>
    </xf>
    <xf numFmtId="0" fontId="15" fillId="0" borderId="99" xfId="0" applyFont="1" applyBorder="1" applyAlignment="1">
      <alignment horizontal="center" vertical="center" wrapText="1"/>
    </xf>
    <xf numFmtId="49" fontId="15" fillId="0" borderId="24" xfId="0" applyNumberFormat="1" applyFont="1" applyBorder="1" applyAlignment="1">
      <alignment horizontal="left" vertical="center" wrapText="1"/>
    </xf>
    <xf numFmtId="0" fontId="15" fillId="0" borderId="100" xfId="0" applyFont="1" applyBorder="1" applyAlignment="1">
      <alignment horizontal="center" vertical="center"/>
    </xf>
    <xf numFmtId="49" fontId="15" fillId="0" borderId="39" xfId="0" applyNumberFormat="1" applyFont="1" applyBorder="1" applyAlignment="1">
      <alignment horizontal="center" vertical="center"/>
    </xf>
    <xf numFmtId="1" fontId="15" fillId="0" borderId="24" xfId="0" applyNumberFormat="1" applyFont="1" applyBorder="1" applyAlignment="1">
      <alignment horizontal="center" vertical="center"/>
    </xf>
    <xf numFmtId="11" fontId="15" fillId="0" borderId="24" xfId="0" applyNumberFormat="1" applyFont="1" applyBorder="1" applyAlignment="1">
      <alignment horizontal="center" vertical="center"/>
    </xf>
    <xf numFmtId="165" fontId="15" fillId="0" borderId="24" xfId="0" applyNumberFormat="1" applyFont="1" applyBorder="1" applyAlignment="1">
      <alignment horizontal="center" vertical="center"/>
    </xf>
    <xf numFmtId="11" fontId="16" fillId="0" borderId="4" xfId="0" applyNumberFormat="1" applyFont="1" applyBorder="1"/>
    <xf numFmtId="11" fontId="15" fillId="0" borderId="0" xfId="0" applyNumberFormat="1" applyFont="1"/>
    <xf numFmtId="0" fontId="15" fillId="0" borderId="0" xfId="0" applyFont="1" applyAlignment="1">
      <alignment wrapText="1"/>
    </xf>
    <xf numFmtId="49" fontId="73" fillId="0" borderId="5" xfId="0" applyNumberFormat="1" applyFont="1" applyBorder="1"/>
    <xf numFmtId="11" fontId="16" fillId="0" borderId="0" xfId="0" applyNumberFormat="1" applyFont="1"/>
    <xf numFmtId="11" fontId="15" fillId="0" borderId="7" xfId="0" applyNumberFormat="1" applyFont="1" applyBorder="1"/>
    <xf numFmtId="0" fontId="15" fillId="0" borderId="0" xfId="0" applyFont="1"/>
    <xf numFmtId="0" fontId="80" fillId="0" borderId="0" xfId="0" applyFont="1" applyAlignment="1">
      <alignment horizontal="centerContinuous"/>
    </xf>
    <xf numFmtId="0" fontId="15" fillId="0" borderId="0" xfId="0" applyFont="1" applyAlignment="1">
      <alignment horizontal="centerContinuous"/>
    </xf>
    <xf numFmtId="1" fontId="73" fillId="0" borderId="0" xfId="0" applyNumberFormat="1" applyFont="1" applyAlignment="1">
      <alignment horizontal="centerContinuous"/>
    </xf>
    <xf numFmtId="165" fontId="15" fillId="0" borderId="0" xfId="0" applyNumberFormat="1" applyFont="1" applyAlignment="1">
      <alignment horizontal="center"/>
    </xf>
    <xf numFmtId="0" fontId="15" fillId="0" borderId="0" xfId="0" applyFont="1" applyAlignment="1">
      <alignment horizontal="center"/>
    </xf>
    <xf numFmtId="0" fontId="16" fillId="0" borderId="0" xfId="0" applyFont="1"/>
    <xf numFmtId="0" fontId="15" fillId="0" borderId="0" xfId="0" applyFont="1" applyAlignment="1">
      <alignment vertical="center"/>
    </xf>
    <xf numFmtId="165" fontId="15" fillId="0" borderId="0" xfId="0" applyNumberFormat="1" applyFont="1" applyAlignment="1">
      <alignment horizontal="center" vertical="center"/>
    </xf>
    <xf numFmtId="165" fontId="15" fillId="0" borderId="0" xfId="0" applyNumberFormat="1" applyFont="1" applyAlignment="1">
      <alignment vertical="center"/>
    </xf>
    <xf numFmtId="0" fontId="81" fillId="0" borderId="0" xfId="0" applyFont="1" applyAlignment="1">
      <alignment horizontal="left" vertical="center"/>
    </xf>
    <xf numFmtId="165" fontId="15" fillId="0" borderId="0" xfId="0" applyNumberFormat="1" applyFont="1" applyAlignment="1">
      <alignment horizontal="left" vertical="center"/>
    </xf>
    <xf numFmtId="49" fontId="73" fillId="0" borderId="2" xfId="0" applyNumberFormat="1" applyFont="1" applyBorder="1"/>
    <xf numFmtId="49" fontId="73" fillId="0" borderId="4" xfId="0" applyNumberFormat="1" applyFont="1" applyBorder="1"/>
    <xf numFmtId="0" fontId="16" fillId="0" borderId="4" xfId="0" applyFont="1" applyBorder="1"/>
    <xf numFmtId="1" fontId="16" fillId="0" borderId="4" xfId="0" applyNumberFormat="1" applyFont="1" applyBorder="1"/>
    <xf numFmtId="11" fontId="16" fillId="0" borderId="4" xfId="0" applyNumberFormat="1" applyFont="1" applyBorder="1" applyAlignment="1">
      <alignment horizontal="center"/>
    </xf>
    <xf numFmtId="11" fontId="16" fillId="0" borderId="17" xfId="0" applyNumberFormat="1" applyFont="1" applyBorder="1"/>
    <xf numFmtId="165" fontId="16" fillId="0" borderId="0" xfId="0" applyNumberFormat="1" applyFont="1" applyAlignment="1">
      <alignment horizontal="center"/>
    </xf>
    <xf numFmtId="49" fontId="15" fillId="0" borderId="5" xfId="0" applyNumberFormat="1" applyFont="1" applyBorder="1"/>
    <xf numFmtId="49" fontId="73" fillId="0" borderId="0" xfId="0" applyNumberFormat="1" applyFont="1"/>
    <xf numFmtId="1" fontId="15" fillId="0" borderId="0" xfId="0" applyNumberFormat="1" applyFont="1" applyAlignment="1">
      <alignment horizontal="center"/>
    </xf>
    <xf numFmtId="0" fontId="15" fillId="0" borderId="8" xfId="0" applyFont="1" applyBorder="1"/>
    <xf numFmtId="0" fontId="15" fillId="0" borderId="8" xfId="0" applyFont="1" applyBorder="1" applyAlignment="1">
      <alignment wrapText="1"/>
    </xf>
    <xf numFmtId="0" fontId="15" fillId="0" borderId="0" xfId="0" applyFont="1" applyAlignment="1">
      <alignment horizontal="left"/>
    </xf>
    <xf numFmtId="1" fontId="15" fillId="0" borderId="0" xfId="0" applyNumberFormat="1" applyFont="1"/>
    <xf numFmtId="11" fontId="15" fillId="0" borderId="8" xfId="0" applyNumberFormat="1" applyFont="1" applyBorder="1"/>
    <xf numFmtId="0" fontId="15" fillId="0" borderId="5" xfId="0" applyFont="1" applyBorder="1"/>
    <xf numFmtId="49" fontId="15" fillId="0" borderId="0" xfId="0" applyNumberFormat="1" applyFont="1"/>
    <xf numFmtId="11" fontId="16" fillId="0" borderId="0" xfId="0" applyNumberFormat="1" applyFont="1" applyAlignment="1">
      <alignment horizontal="center"/>
    </xf>
    <xf numFmtId="11" fontId="16" fillId="0" borderId="8" xfId="0" applyNumberFormat="1" applyFont="1" applyBorder="1"/>
    <xf numFmtId="0" fontId="16" fillId="0" borderId="6" xfId="0" applyFont="1" applyBorder="1"/>
    <xf numFmtId="0" fontId="15" fillId="0" borderId="7" xfId="0" applyFont="1" applyBorder="1"/>
    <xf numFmtId="1" fontId="15" fillId="0" borderId="7" xfId="0" applyNumberFormat="1" applyFont="1" applyBorder="1"/>
    <xf numFmtId="11" fontId="15" fillId="0" borderId="7" xfId="0" applyNumberFormat="1" applyFont="1" applyBorder="1" applyAlignment="1">
      <alignment horizontal="center"/>
    </xf>
    <xf numFmtId="11" fontId="15" fillId="0" borderId="9" xfId="0" applyNumberFormat="1" applyFont="1" applyBorder="1"/>
    <xf numFmtId="0" fontId="16" fillId="0" borderId="0" xfId="0" applyFont="1" applyAlignment="1">
      <alignment horizontal="center"/>
    </xf>
    <xf numFmtId="1" fontId="16" fillId="0" borderId="0" xfId="0" applyNumberFormat="1" applyFont="1"/>
    <xf numFmtId="0" fontId="39" fillId="3" borderId="36" xfId="0" applyFont="1" applyFill="1" applyBorder="1" applyAlignment="1">
      <alignment horizontal="center" wrapText="1"/>
    </xf>
    <xf numFmtId="167" fontId="53" fillId="3" borderId="38" xfId="0" applyNumberFormat="1" applyFont="1" applyFill="1" applyBorder="1" applyAlignment="1">
      <alignment horizontal="center"/>
    </xf>
    <xf numFmtId="1" fontId="17" fillId="3" borderId="59" xfId="0" applyNumberFormat="1" applyFont="1" applyFill="1" applyBorder="1" applyAlignment="1">
      <alignment horizontal="center"/>
    </xf>
    <xf numFmtId="1" fontId="17" fillId="3" borderId="20" xfId="0" applyNumberFormat="1" applyFont="1" applyFill="1" applyBorder="1" applyAlignment="1">
      <alignment horizontal="center"/>
    </xf>
    <xf numFmtId="4" fontId="83" fillId="8" borderId="0" xfId="0" applyNumberFormat="1" applyFont="1" applyFill="1" applyAlignment="1">
      <alignment horizontal="left" vertical="center" wrapText="1"/>
    </xf>
    <xf numFmtId="3" fontId="17" fillId="3" borderId="48" xfId="0" applyNumberFormat="1" applyFont="1" applyFill="1" applyBorder="1" applyAlignment="1">
      <alignment horizontal="center"/>
    </xf>
    <xf numFmtId="3" fontId="17" fillId="3" borderId="38" xfId="0" applyNumberFormat="1" applyFont="1" applyFill="1" applyBorder="1" applyAlignment="1">
      <alignment horizontal="center"/>
    </xf>
    <xf numFmtId="3" fontId="0" fillId="0" borderId="0" xfId="0" applyNumberFormat="1" applyAlignment="1">
      <alignment horizontal="center"/>
    </xf>
    <xf numFmtId="11" fontId="29" fillId="5" borderId="18" xfId="0" applyNumberFormat="1" applyFont="1" applyFill="1" applyBorder="1" applyAlignment="1">
      <alignment horizontal="center" wrapText="1"/>
    </xf>
    <xf numFmtId="3" fontId="18" fillId="4" borderId="49" xfId="0" applyNumberFormat="1" applyFont="1" applyFill="1" applyBorder="1" applyAlignment="1">
      <alignment horizontal="center"/>
    </xf>
    <xf numFmtId="3" fontId="18" fillId="4" borderId="10" xfId="0" applyNumberFormat="1" applyFont="1" applyFill="1" applyBorder="1" applyAlignment="1">
      <alignment horizontal="center"/>
    </xf>
    <xf numFmtId="166" fontId="18" fillId="6" borderId="59" xfId="0" applyNumberFormat="1" applyFont="1" applyFill="1" applyBorder="1" applyAlignment="1">
      <alignment horizontal="center"/>
    </xf>
    <xf numFmtId="166" fontId="18" fillId="6" borderId="20" xfId="0" applyNumberFormat="1" applyFont="1" applyFill="1" applyBorder="1" applyAlignment="1">
      <alignment horizontal="center"/>
    </xf>
    <xf numFmtId="11" fontId="39" fillId="7" borderId="18" xfId="0" applyNumberFormat="1" applyFont="1" applyFill="1" applyBorder="1" applyAlignment="1">
      <alignment horizontal="center" wrapText="1"/>
    </xf>
    <xf numFmtId="2" fontId="18" fillId="6" borderId="19" xfId="0" applyNumberFormat="1" applyFont="1" applyFill="1" applyBorder="1" applyAlignment="1">
      <alignment horizontal="center"/>
    </xf>
    <xf numFmtId="0" fontId="42" fillId="6" borderId="32" xfId="0" applyFont="1" applyFill="1" applyBorder="1" applyAlignment="1">
      <alignment horizontal="center" wrapText="1"/>
    </xf>
    <xf numFmtId="166" fontId="18" fillId="6" borderId="48" xfId="0" applyNumberFormat="1" applyFont="1" applyFill="1" applyBorder="1" applyAlignment="1">
      <alignment horizontal="center"/>
    </xf>
    <xf numFmtId="166" fontId="18" fillId="6" borderId="38" xfId="0" applyNumberFormat="1" applyFont="1" applyFill="1" applyBorder="1" applyAlignment="1">
      <alignment horizontal="center"/>
    </xf>
    <xf numFmtId="0" fontId="22" fillId="3" borderId="1" xfId="0" applyFont="1" applyFill="1" applyBorder="1" applyAlignment="1">
      <alignment horizontal="center" wrapText="1"/>
    </xf>
    <xf numFmtId="49" fontId="21" fillId="3" borderId="19" xfId="0" applyNumberFormat="1" applyFont="1" applyFill="1" applyBorder="1" applyAlignment="1">
      <alignment horizontal="left"/>
    </xf>
    <xf numFmtId="49" fontId="21" fillId="3" borderId="19" xfId="0" applyNumberFormat="1" applyFont="1" applyFill="1" applyBorder="1" applyAlignment="1">
      <alignment horizontal="center"/>
    </xf>
    <xf numFmtId="3" fontId="29" fillId="7" borderId="74" xfId="0" applyNumberFormat="1" applyFont="1" applyFill="1" applyBorder="1" applyAlignment="1">
      <alignment horizontal="center"/>
    </xf>
    <xf numFmtId="2" fontId="18" fillId="6" borderId="101" xfId="0" applyNumberFormat="1" applyFont="1" applyFill="1" applyBorder="1" applyAlignment="1">
      <alignment horizontal="center"/>
    </xf>
    <xf numFmtId="3" fontId="29" fillId="7" borderId="64" xfId="0" applyNumberFormat="1" applyFont="1" applyFill="1" applyBorder="1" applyAlignment="1">
      <alignment horizontal="center"/>
    </xf>
    <xf numFmtId="9" fontId="29" fillId="7" borderId="7" xfId="0" applyNumberFormat="1" applyFont="1" applyFill="1" applyBorder="1" applyAlignment="1">
      <alignment horizontal="center"/>
    </xf>
    <xf numFmtId="9" fontId="29" fillId="7" borderId="51" xfId="0" applyNumberFormat="1" applyFont="1" applyFill="1" applyBorder="1" applyAlignment="1">
      <alignment horizontal="center"/>
    </xf>
    <xf numFmtId="49" fontId="15" fillId="0" borderId="29" xfId="0" applyNumberFormat="1" applyFont="1" applyBorder="1" applyAlignment="1">
      <alignment horizontal="left" vertical="center"/>
    </xf>
    <xf numFmtId="166" fontId="24" fillId="11" borderId="102" xfId="0" applyNumberFormat="1" applyFont="1" applyFill="1" applyBorder="1" applyAlignment="1">
      <alignment horizontal="center"/>
    </xf>
    <xf numFmtId="0" fontId="24" fillId="11" borderId="102" xfId="0" applyFont="1" applyFill="1" applyBorder="1" applyAlignment="1">
      <alignment horizontal="center"/>
    </xf>
    <xf numFmtId="9" fontId="24" fillId="11" borderId="102" xfId="0" applyNumberFormat="1" applyFont="1" applyFill="1" applyBorder="1" applyAlignment="1">
      <alignment horizontal="center"/>
    </xf>
    <xf numFmtId="0" fontId="24" fillId="11" borderId="45" xfId="0" applyFont="1" applyFill="1" applyBorder="1" applyAlignment="1">
      <alignment horizontal="center"/>
    </xf>
    <xf numFmtId="166" fontId="24" fillId="11" borderId="55" xfId="0" applyNumberFormat="1" applyFont="1" applyFill="1" applyBorder="1" applyAlignment="1">
      <alignment horizontal="center" wrapText="1"/>
    </xf>
    <xf numFmtId="166" fontId="24" fillId="11" borderId="103" xfId="0" applyNumberFormat="1" applyFont="1" applyFill="1" applyBorder="1" applyAlignment="1">
      <alignment horizontal="center"/>
    </xf>
    <xf numFmtId="166" fontId="24" fillId="11" borderId="104" xfId="0" applyNumberFormat="1" applyFont="1" applyFill="1" applyBorder="1" applyAlignment="1">
      <alignment horizontal="center"/>
    </xf>
    <xf numFmtId="166" fontId="19" fillId="11" borderId="103" xfId="0" applyNumberFormat="1" applyFont="1" applyFill="1" applyBorder="1" applyAlignment="1">
      <alignment horizontal="center"/>
    </xf>
    <xf numFmtId="9" fontId="24" fillId="11" borderId="103" xfId="0" applyNumberFormat="1" applyFont="1" applyFill="1" applyBorder="1" applyAlignment="1">
      <alignment horizontal="center"/>
    </xf>
    <xf numFmtId="0" fontId="21" fillId="11" borderId="52" xfId="0" applyFont="1" applyFill="1" applyBorder="1" applyAlignment="1">
      <alignment horizontal="center"/>
    </xf>
    <xf numFmtId="0" fontId="24" fillId="11" borderId="32" xfId="0" applyFont="1" applyFill="1" applyBorder="1" applyAlignment="1">
      <alignment horizontal="center" wrapText="1"/>
    </xf>
    <xf numFmtId="0" fontId="48" fillId="11" borderId="86" xfId="0" applyFont="1" applyFill="1" applyBorder="1" applyAlignment="1">
      <alignment horizontal="center" wrapText="1"/>
    </xf>
    <xf numFmtId="3" fontId="24" fillId="11" borderId="106" xfId="0" applyNumberFormat="1" applyFont="1" applyFill="1" applyBorder="1" applyAlignment="1">
      <alignment horizontal="center"/>
    </xf>
    <xf numFmtId="3" fontId="24" fillId="11" borderId="61" xfId="0" applyNumberFormat="1" applyFont="1" applyFill="1" applyBorder="1" applyAlignment="1">
      <alignment horizontal="center"/>
    </xf>
    <xf numFmtId="167" fontId="48" fillId="11" borderId="107" xfId="0" applyNumberFormat="1" applyFont="1" applyFill="1" applyBorder="1" applyAlignment="1">
      <alignment horizontal="center"/>
    </xf>
    <xf numFmtId="166" fontId="24" fillId="11" borderId="62" xfId="0" applyNumberFormat="1" applyFont="1" applyFill="1" applyBorder="1" applyAlignment="1">
      <alignment horizontal="center"/>
    </xf>
    <xf numFmtId="0" fontId="21" fillId="11" borderId="106" xfId="0" applyFont="1" applyFill="1" applyBorder="1" applyAlignment="1">
      <alignment horizontal="center"/>
    </xf>
    <xf numFmtId="0" fontId="22" fillId="11" borderId="27" xfId="0" applyFont="1" applyFill="1" applyBorder="1"/>
    <xf numFmtId="0" fontId="21" fillId="11" borderId="86" xfId="0" applyFont="1" applyFill="1" applyBorder="1" applyAlignment="1">
      <alignment horizontal="center"/>
    </xf>
    <xf numFmtId="0" fontId="24" fillId="11" borderId="86" xfId="0" applyFont="1" applyFill="1" applyBorder="1" applyAlignment="1">
      <alignment horizontal="right"/>
    </xf>
    <xf numFmtId="0" fontId="24" fillId="11" borderId="105" xfId="0" applyFont="1" applyFill="1" applyBorder="1" applyAlignment="1">
      <alignment horizontal="center" wrapText="1"/>
    </xf>
    <xf numFmtId="0" fontId="22" fillId="11" borderId="108" xfId="0" applyFont="1" applyFill="1" applyBorder="1"/>
    <xf numFmtId="0" fontId="21" fillId="11" borderId="107" xfId="0" applyFont="1" applyFill="1" applyBorder="1" applyAlignment="1">
      <alignment horizontal="center"/>
    </xf>
    <xf numFmtId="0" fontId="35" fillId="11" borderId="107" xfId="0" applyFont="1" applyFill="1" applyBorder="1" applyAlignment="1">
      <alignment horizontal="right" vertical="center"/>
    </xf>
    <xf numFmtId="0" fontId="21" fillId="11" borderId="64" xfId="0" applyFont="1" applyFill="1" applyBorder="1" applyAlignment="1">
      <alignment horizontal="center"/>
    </xf>
    <xf numFmtId="166" fontId="53" fillId="6" borderId="59" xfId="0" applyNumberFormat="1" applyFont="1" applyFill="1" applyBorder="1" applyAlignment="1">
      <alignment horizontal="center"/>
    </xf>
    <xf numFmtId="166" fontId="53" fillId="6" borderId="20" xfId="0" applyNumberFormat="1" applyFont="1" applyFill="1" applyBorder="1" applyAlignment="1">
      <alignment horizontal="center"/>
    </xf>
    <xf numFmtId="166" fontId="42" fillId="4" borderId="48" xfId="0" applyNumberFormat="1" applyFont="1" applyFill="1" applyBorder="1" applyAlignment="1">
      <alignment horizontal="center"/>
    </xf>
    <xf numFmtId="166" fontId="42" fillId="4" borderId="57" xfId="0" applyNumberFormat="1" applyFont="1" applyFill="1" applyBorder="1" applyAlignment="1">
      <alignment horizontal="center"/>
    </xf>
    <xf numFmtId="0" fontId="22" fillId="2" borderId="109" xfId="0" applyFont="1" applyFill="1" applyBorder="1" applyAlignment="1">
      <alignment horizontal="center" wrapText="1"/>
    </xf>
    <xf numFmtId="49" fontId="21" fillId="2" borderId="110" xfId="0" applyNumberFormat="1" applyFont="1" applyFill="1" applyBorder="1" applyAlignment="1">
      <alignment horizontal="left"/>
    </xf>
    <xf numFmtId="167" fontId="18" fillId="4" borderId="111" xfId="0" applyNumberFormat="1" applyFont="1" applyFill="1" applyBorder="1" applyAlignment="1" applyProtection="1">
      <alignment horizontal="center"/>
      <protection locked="0"/>
    </xf>
    <xf numFmtId="167" fontId="18" fillId="4" borderId="112" xfId="0" applyNumberFormat="1" applyFont="1" applyFill="1" applyBorder="1" applyAlignment="1" applyProtection="1">
      <alignment horizontal="center"/>
      <protection locked="0"/>
    </xf>
    <xf numFmtId="0" fontId="22" fillId="13" borderId="66" xfId="0" applyFont="1" applyFill="1" applyBorder="1" applyAlignment="1">
      <alignment horizontal="center" vertical="center" wrapText="1"/>
    </xf>
    <xf numFmtId="49" fontId="21" fillId="13" borderId="60" xfId="0" applyNumberFormat="1" applyFont="1" applyFill="1" applyBorder="1" applyAlignment="1">
      <alignment horizontal="left" vertical="center" wrapText="1"/>
    </xf>
    <xf numFmtId="0" fontId="22" fillId="13" borderId="109" xfId="0" applyFont="1" applyFill="1" applyBorder="1" applyAlignment="1">
      <alignment horizontal="center" wrapText="1"/>
    </xf>
    <xf numFmtId="49" fontId="21" fillId="13" borderId="110" xfId="0" applyNumberFormat="1" applyFont="1" applyFill="1" applyBorder="1" applyAlignment="1">
      <alignment horizontal="left"/>
    </xf>
    <xf numFmtId="3" fontId="53" fillId="3" borderId="111" xfId="0" applyNumberFormat="1" applyFont="1" applyFill="1" applyBorder="1" applyAlignment="1">
      <alignment horizontal="center"/>
    </xf>
    <xf numFmtId="3" fontId="22" fillId="3" borderId="97" xfId="0" applyNumberFormat="1" applyFont="1" applyFill="1" applyBorder="1" applyAlignment="1">
      <alignment horizontal="center"/>
    </xf>
    <xf numFmtId="3" fontId="22" fillId="3" borderId="113" xfId="0" applyNumberFormat="1" applyFont="1" applyFill="1" applyBorder="1" applyAlignment="1">
      <alignment horizontal="center"/>
    </xf>
    <xf numFmtId="3" fontId="53" fillId="3" borderId="97" xfId="0" applyNumberFormat="1" applyFont="1" applyFill="1" applyBorder="1" applyAlignment="1">
      <alignment horizontal="center"/>
    </xf>
    <xf numFmtId="3" fontId="53" fillId="3" borderId="112" xfId="0" applyNumberFormat="1" applyFont="1" applyFill="1" applyBorder="1" applyAlignment="1">
      <alignment horizontal="center"/>
    </xf>
    <xf numFmtId="3" fontId="53" fillId="3" borderId="39" xfId="0" applyNumberFormat="1" applyFont="1" applyFill="1" applyBorder="1" applyAlignment="1">
      <alignment horizontal="center" vertical="center"/>
    </xf>
    <xf numFmtId="3" fontId="53" fillId="3" borderId="24" xfId="0" applyNumberFormat="1" applyFont="1" applyFill="1" applyBorder="1" applyAlignment="1">
      <alignment horizontal="center" vertical="center"/>
    </xf>
    <xf numFmtId="3" fontId="53" fillId="3" borderId="33" xfId="0" applyNumberFormat="1" applyFont="1" applyFill="1" applyBorder="1" applyAlignment="1">
      <alignment horizontal="center" vertical="center"/>
    </xf>
    <xf numFmtId="3" fontId="53" fillId="3" borderId="22" xfId="0" applyNumberFormat="1" applyFont="1" applyFill="1" applyBorder="1" applyAlignment="1">
      <alignment horizontal="center" vertical="center"/>
    </xf>
    <xf numFmtId="49" fontId="21" fillId="13" borderId="110" xfId="0" applyNumberFormat="1" applyFont="1" applyFill="1" applyBorder="1" applyAlignment="1">
      <alignment horizontal="center"/>
    </xf>
    <xf numFmtId="1" fontId="17" fillId="3" borderId="113" xfId="0" applyNumberFormat="1" applyFont="1" applyFill="1" applyBorder="1" applyAlignment="1">
      <alignment horizontal="center"/>
    </xf>
    <xf numFmtId="3" fontId="18" fillId="3" borderId="114" xfId="0" applyNumberFormat="1" applyFont="1" applyFill="1" applyBorder="1" applyAlignment="1">
      <alignment horizontal="center"/>
    </xf>
    <xf numFmtId="2" fontId="18" fillId="3" borderId="111" xfId="0" applyNumberFormat="1" applyFont="1" applyFill="1" applyBorder="1" applyAlignment="1">
      <alignment horizontal="center"/>
    </xf>
    <xf numFmtId="2" fontId="18" fillId="3" borderId="113" xfId="0" applyNumberFormat="1" applyFont="1" applyFill="1" applyBorder="1" applyAlignment="1">
      <alignment horizontal="center"/>
    </xf>
    <xf numFmtId="2" fontId="18" fillId="6" borderId="110" xfId="0" applyNumberFormat="1" applyFont="1" applyFill="1" applyBorder="1" applyAlignment="1">
      <alignment horizontal="center"/>
    </xf>
    <xf numFmtId="166" fontId="18" fillId="6" borderId="111" xfId="0" applyNumberFormat="1" applyFont="1" applyFill="1" applyBorder="1" applyAlignment="1">
      <alignment horizontal="center"/>
    </xf>
    <xf numFmtId="166" fontId="53" fillId="6" borderId="113" xfId="0" applyNumberFormat="1" applyFont="1" applyFill="1" applyBorder="1" applyAlignment="1">
      <alignment horizontal="center"/>
    </xf>
    <xf numFmtId="2" fontId="18" fillId="6" borderId="96" xfId="0" applyNumberFormat="1" applyFont="1" applyFill="1" applyBorder="1" applyAlignment="1">
      <alignment horizontal="center"/>
    </xf>
    <xf numFmtId="165" fontId="18" fillId="6" borderId="111" xfId="0" applyNumberFormat="1" applyFont="1" applyFill="1" applyBorder="1" applyAlignment="1">
      <alignment horizontal="center"/>
    </xf>
    <xf numFmtId="165" fontId="22" fillId="6" borderId="115" xfId="0" applyNumberFormat="1" applyFont="1" applyFill="1" applyBorder="1" applyAlignment="1">
      <alignment horizontal="center"/>
    </xf>
    <xf numFmtId="0" fontId="53" fillId="13" borderId="109" xfId="0" applyFont="1" applyFill="1" applyBorder="1" applyAlignment="1">
      <alignment horizontal="center" wrapText="1"/>
    </xf>
    <xf numFmtId="49" fontId="18" fillId="13" borderId="110" xfId="0" applyNumberFormat="1" applyFont="1" applyFill="1" applyBorder="1" applyAlignment="1">
      <alignment horizontal="left"/>
    </xf>
    <xf numFmtId="49" fontId="18" fillId="13" borderId="110" xfId="0" applyNumberFormat="1" applyFont="1" applyFill="1" applyBorder="1" applyAlignment="1">
      <alignment horizontal="center"/>
    </xf>
    <xf numFmtId="166" fontId="18" fillId="6" borderId="113" xfId="0" applyNumberFormat="1" applyFont="1" applyFill="1" applyBorder="1" applyAlignment="1">
      <alignment horizontal="center"/>
    </xf>
    <xf numFmtId="164" fontId="53" fillId="6" borderId="96" xfId="0" applyNumberFormat="1" applyFont="1" applyFill="1" applyBorder="1" applyAlignment="1">
      <alignment horizontal="center"/>
    </xf>
    <xf numFmtId="165" fontId="53" fillId="6" borderId="115" xfId="0" applyNumberFormat="1" applyFont="1" applyFill="1" applyBorder="1" applyAlignment="1">
      <alignment horizontal="center"/>
    </xf>
    <xf numFmtId="166" fontId="42" fillId="4" borderId="106" xfId="0" applyNumberFormat="1" applyFont="1" applyFill="1" applyBorder="1" applyAlignment="1">
      <alignment horizontal="center"/>
    </xf>
    <xf numFmtId="166" fontId="42" fillId="4" borderId="102" xfId="0" applyNumberFormat="1" applyFont="1" applyFill="1" applyBorder="1" applyAlignment="1">
      <alignment horizontal="center"/>
    </xf>
    <xf numFmtId="3" fontId="18" fillId="6" borderId="96" xfId="0" applyNumberFormat="1" applyFont="1" applyFill="1" applyBorder="1" applyAlignment="1">
      <alignment horizontal="center"/>
    </xf>
    <xf numFmtId="3" fontId="18" fillId="4" borderId="96" xfId="0" applyNumberFormat="1" applyFont="1" applyFill="1" applyBorder="1" applyAlignment="1">
      <alignment horizontal="center"/>
    </xf>
    <xf numFmtId="165" fontId="22" fillId="3" borderId="111" xfId="0" applyNumberFormat="1" applyFont="1" applyFill="1" applyBorder="1" applyAlignment="1">
      <alignment horizontal="center"/>
    </xf>
    <xf numFmtId="165" fontId="22" fillId="3" borderId="96" xfId="0" applyNumberFormat="1" applyFont="1" applyFill="1" applyBorder="1" applyAlignment="1">
      <alignment horizontal="center"/>
    </xf>
    <xf numFmtId="0" fontId="18" fillId="3" borderId="116" xfId="0" applyFont="1" applyFill="1" applyBorder="1" applyAlignment="1">
      <alignment horizontal="left"/>
    </xf>
    <xf numFmtId="2" fontId="18" fillId="3" borderId="39" xfId="0" applyNumberFormat="1" applyFont="1" applyFill="1" applyBorder="1" applyAlignment="1">
      <alignment horizontal="center" vertical="center"/>
    </xf>
    <xf numFmtId="2" fontId="18" fillId="3" borderId="22" xfId="0" applyNumberFormat="1" applyFont="1" applyFill="1" applyBorder="1" applyAlignment="1">
      <alignment horizontal="center" vertical="center"/>
    </xf>
    <xf numFmtId="3" fontId="18" fillId="6" borderId="11" xfId="0" applyNumberFormat="1" applyFont="1" applyFill="1" applyBorder="1" applyAlignment="1">
      <alignment horizontal="center" vertical="center"/>
    </xf>
    <xf numFmtId="3" fontId="18" fillId="4" borderId="11" xfId="0" applyNumberFormat="1" applyFont="1" applyFill="1" applyBorder="1" applyAlignment="1">
      <alignment horizontal="center" vertical="center"/>
    </xf>
    <xf numFmtId="165" fontId="22" fillId="3" borderId="39" xfId="0" applyNumberFormat="1" applyFont="1" applyFill="1" applyBorder="1" applyAlignment="1">
      <alignment horizontal="center" vertical="center"/>
    </xf>
    <xf numFmtId="165" fontId="22" fillId="3" borderId="11" xfId="0" applyNumberFormat="1" applyFont="1" applyFill="1" applyBorder="1" applyAlignment="1">
      <alignment horizontal="center" vertical="center"/>
    </xf>
    <xf numFmtId="0" fontId="18" fillId="3" borderId="37" xfId="0" applyFont="1" applyFill="1" applyBorder="1" applyAlignment="1">
      <alignment horizontal="left" vertical="center"/>
    </xf>
    <xf numFmtId="49" fontId="21" fillId="13" borderId="11" xfId="0" applyNumberFormat="1" applyFont="1" applyFill="1" applyBorder="1" applyAlignment="1">
      <alignment horizontal="center" vertical="center"/>
    </xf>
    <xf numFmtId="2" fontId="18" fillId="3" borderId="36" xfId="0" applyNumberFormat="1" applyFont="1" applyFill="1" applyBorder="1" applyAlignment="1">
      <alignment horizontal="center" vertical="center"/>
    </xf>
    <xf numFmtId="2" fontId="18" fillId="3" borderId="28" xfId="0" applyNumberFormat="1" applyFont="1" applyFill="1" applyBorder="1" applyAlignment="1">
      <alignment horizontal="center" vertical="center"/>
    </xf>
    <xf numFmtId="2" fontId="18" fillId="6" borderId="54" xfId="0" applyNumberFormat="1" applyFont="1" applyFill="1" applyBorder="1" applyAlignment="1">
      <alignment horizontal="center" vertical="center"/>
    </xf>
    <xf numFmtId="166" fontId="18" fillId="6" borderId="36" xfId="0" applyNumberFormat="1" applyFont="1" applyFill="1" applyBorder="1" applyAlignment="1">
      <alignment horizontal="center" vertical="center"/>
    </xf>
    <xf numFmtId="166" fontId="53" fillId="6" borderId="28" xfId="0" applyNumberFormat="1" applyFont="1" applyFill="1" applyBorder="1" applyAlignment="1">
      <alignment horizontal="center" vertical="center"/>
    </xf>
    <xf numFmtId="2" fontId="18" fillId="6" borderId="71" xfId="0" applyNumberFormat="1" applyFont="1" applyFill="1" applyBorder="1" applyAlignment="1">
      <alignment horizontal="center" vertical="center"/>
    </xf>
    <xf numFmtId="165" fontId="18" fillId="6" borderId="36" xfId="0" applyNumberFormat="1" applyFont="1" applyFill="1" applyBorder="1" applyAlignment="1">
      <alignment horizontal="center" vertical="center"/>
    </xf>
    <xf numFmtId="165" fontId="22" fillId="6" borderId="70" xfId="0" applyNumberFormat="1" applyFont="1" applyFill="1" applyBorder="1" applyAlignment="1">
      <alignment horizontal="center" vertical="center"/>
    </xf>
    <xf numFmtId="166" fontId="26" fillId="4" borderId="106" xfId="0" applyNumberFormat="1" applyFont="1" applyFill="1" applyBorder="1" applyAlignment="1">
      <alignment horizontal="center"/>
    </xf>
    <xf numFmtId="166" fontId="26" fillId="4" borderId="102" xfId="0" applyNumberFormat="1" applyFont="1" applyFill="1" applyBorder="1" applyAlignment="1">
      <alignment horizontal="center"/>
    </xf>
    <xf numFmtId="1" fontId="29" fillId="13" borderId="117" xfId="0" applyNumberFormat="1" applyFont="1" applyFill="1" applyBorder="1" applyAlignment="1">
      <alignment horizontal="right"/>
    </xf>
    <xf numFmtId="0" fontId="22" fillId="13" borderId="3" xfId="0" applyFont="1" applyFill="1" applyBorder="1" applyAlignment="1">
      <alignment horizontal="center" vertical="center" wrapText="1"/>
    </xf>
    <xf numFmtId="49" fontId="21" fillId="13" borderId="54" xfId="0" applyNumberFormat="1" applyFont="1" applyFill="1" applyBorder="1" applyAlignment="1">
      <alignment horizontal="left" vertical="center" wrapText="1"/>
    </xf>
    <xf numFmtId="49" fontId="21" fillId="13" borderId="71" xfId="0" applyNumberFormat="1" applyFont="1" applyFill="1" applyBorder="1" applyAlignment="1">
      <alignment horizontal="center" vertical="center"/>
    </xf>
    <xf numFmtId="1" fontId="17" fillId="3" borderId="28" xfId="0" applyNumberFormat="1" applyFont="1" applyFill="1" applyBorder="1" applyAlignment="1">
      <alignment horizontal="center" vertical="center"/>
    </xf>
    <xf numFmtId="3" fontId="18" fillId="3" borderId="71" xfId="0" applyNumberFormat="1" applyFont="1" applyFill="1" applyBorder="1" applyAlignment="1">
      <alignment horizontal="center" vertical="center"/>
    </xf>
    <xf numFmtId="166" fontId="26" fillId="4" borderId="36" xfId="0" applyNumberFormat="1" applyFont="1" applyFill="1" applyBorder="1" applyAlignment="1">
      <alignment horizontal="center" vertical="center"/>
    </xf>
    <xf numFmtId="166" fontId="26" fillId="4" borderId="16" xfId="0" applyNumberFormat="1" applyFont="1" applyFill="1" applyBorder="1" applyAlignment="1">
      <alignment horizontal="center" vertical="center"/>
    </xf>
    <xf numFmtId="166" fontId="18" fillId="6" borderId="28" xfId="0" applyNumberFormat="1" applyFont="1" applyFill="1" applyBorder="1" applyAlignment="1">
      <alignment horizontal="center" vertical="center"/>
    </xf>
    <xf numFmtId="164" fontId="53" fillId="6" borderId="71" xfId="0" applyNumberFormat="1" applyFont="1" applyFill="1" applyBorder="1" applyAlignment="1">
      <alignment horizontal="center" vertical="center"/>
    </xf>
    <xf numFmtId="165" fontId="53" fillId="6" borderId="70" xfId="0" applyNumberFormat="1" applyFont="1" applyFill="1" applyBorder="1" applyAlignment="1">
      <alignment horizontal="center" vertical="center"/>
    </xf>
    <xf numFmtId="0" fontId="18" fillId="0" borderId="0" xfId="0" applyFont="1" applyAlignment="1">
      <alignment vertical="center"/>
    </xf>
    <xf numFmtId="3" fontId="18" fillId="3" borderId="96" xfId="0" applyNumberFormat="1" applyFont="1" applyFill="1" applyBorder="1" applyAlignment="1">
      <alignment horizontal="center"/>
    </xf>
    <xf numFmtId="1" fontId="39" fillId="13" borderId="117" xfId="0" applyNumberFormat="1" applyFont="1" applyFill="1" applyBorder="1" applyAlignment="1">
      <alignment horizontal="right"/>
    </xf>
    <xf numFmtId="9" fontId="39" fillId="7" borderId="51" xfId="0" applyNumberFormat="1" applyFont="1" applyFill="1" applyBorder="1" applyAlignment="1">
      <alignment horizontal="center"/>
    </xf>
    <xf numFmtId="9" fontId="39" fillId="7" borderId="50" xfId="0" applyNumberFormat="1" applyFont="1" applyFill="1" applyBorder="1" applyAlignment="1">
      <alignment horizontal="center"/>
    </xf>
    <xf numFmtId="166" fontId="42" fillId="4" borderId="36" xfId="0" applyNumberFormat="1" applyFont="1" applyFill="1" applyBorder="1" applyAlignment="1">
      <alignment horizontal="center" vertical="center"/>
    </xf>
    <xf numFmtId="166" fontId="42" fillId="4" borderId="16" xfId="0" applyNumberFormat="1" applyFont="1" applyFill="1" applyBorder="1" applyAlignment="1">
      <alignment horizontal="center" vertical="center"/>
    </xf>
    <xf numFmtId="0" fontId="18" fillId="0" borderId="0" xfId="0" applyFont="1" applyAlignment="1">
      <alignment horizontal="center" vertical="center"/>
    </xf>
    <xf numFmtId="165" fontId="86" fillId="0" borderId="5" xfId="0" applyNumberFormat="1" applyFont="1" applyBorder="1" applyAlignment="1">
      <alignment horizontal="center"/>
    </xf>
    <xf numFmtId="0" fontId="5" fillId="0" borderId="0" xfId="0" applyFont="1" applyAlignment="1" applyProtection="1">
      <alignment wrapText="1"/>
      <protection hidden="1"/>
    </xf>
    <xf numFmtId="0" fontId="5" fillId="0" borderId="0" xfId="0" applyFont="1" applyAlignment="1">
      <alignment wrapText="1"/>
    </xf>
    <xf numFmtId="0" fontId="6" fillId="0" borderId="0" xfId="0" applyFont="1" applyAlignment="1" applyProtection="1">
      <alignment horizontal="center" vertical="center" wrapText="1"/>
      <protection hidden="1"/>
    </xf>
    <xf numFmtId="0" fontId="10" fillId="0" borderId="0" xfId="0" applyFont="1" applyAlignment="1">
      <alignment wrapText="1"/>
    </xf>
    <xf numFmtId="0" fontId="9" fillId="0" borderId="0" xfId="0" applyFont="1" applyAlignment="1" applyProtection="1">
      <alignment horizontal="center" vertical="center" wrapText="1"/>
      <protection hidden="1"/>
    </xf>
    <xf numFmtId="0" fontId="12" fillId="0" borderId="0" xfId="0" applyFont="1" applyAlignment="1">
      <alignment vertical="center" wrapText="1"/>
    </xf>
    <xf numFmtId="0" fontId="0" fillId="0" borderId="0" xfId="0" applyAlignment="1">
      <alignment wrapText="1"/>
    </xf>
    <xf numFmtId="0" fontId="7" fillId="0" borderId="0" xfId="0" applyFont="1" applyAlignment="1">
      <alignment wrapText="1"/>
    </xf>
    <xf numFmtId="0" fontId="58" fillId="0" borderId="0" xfId="0" applyFont="1" applyAlignment="1">
      <alignment wrapText="1"/>
    </xf>
    <xf numFmtId="49" fontId="45" fillId="10" borderId="2" xfId="0" applyNumberFormat="1" applyFont="1" applyFill="1" applyBorder="1" applyAlignment="1" applyProtection="1">
      <alignment horizontal="left" indent="1"/>
      <protection locked="0"/>
    </xf>
    <xf numFmtId="49" fontId="45" fillId="10" borderId="17" xfId="0" applyNumberFormat="1" applyFont="1" applyFill="1" applyBorder="1" applyAlignment="1" applyProtection="1">
      <alignment horizontal="left" indent="1"/>
      <protection locked="0"/>
    </xf>
    <xf numFmtId="0" fontId="57" fillId="0" borderId="0" xfId="0" applyFont="1" applyAlignment="1">
      <alignment wrapText="1"/>
    </xf>
    <xf numFmtId="0" fontId="19" fillId="0" borderId="0" xfId="0" applyFont="1" applyAlignment="1">
      <alignment wrapText="1"/>
    </xf>
    <xf numFmtId="0" fontId="25" fillId="0" borderId="0" xfId="0" applyFont="1" applyAlignment="1">
      <alignment horizontal="left" wrapText="1"/>
    </xf>
    <xf numFmtId="0" fontId="0" fillId="0" borderId="0" xfId="0" applyAlignment="1">
      <alignment horizontal="left" wrapText="1"/>
    </xf>
    <xf numFmtId="3" fontId="50" fillId="8" borderId="5" xfId="0" applyNumberFormat="1" applyFont="1" applyFill="1" applyBorder="1" applyAlignment="1">
      <alignment horizontal="left"/>
    </xf>
    <xf numFmtId="0" fontId="16" fillId="0" borderId="0" xfId="0" applyFont="1" applyAlignment="1">
      <alignment horizontal="left"/>
    </xf>
    <xf numFmtId="0" fontId="16" fillId="0" borderId="8" xfId="0" applyFont="1" applyBorder="1" applyAlignment="1">
      <alignment horizontal="left"/>
    </xf>
    <xf numFmtId="0" fontId="20" fillId="0" borderId="0" xfId="0" applyFont="1" applyAlignment="1">
      <alignment horizontal="center"/>
    </xf>
    <xf numFmtId="0" fontId="0" fillId="0" borderId="0" xfId="0" applyAlignment="1">
      <alignment horizontal="center"/>
    </xf>
    <xf numFmtId="0" fontId="19" fillId="0" borderId="0" xfId="0" applyFont="1" applyAlignment="1">
      <alignment horizontal="left" wrapText="1"/>
    </xf>
    <xf numFmtId="49" fontId="45" fillId="10" borderId="5" xfId="0" applyNumberFormat="1" applyFont="1" applyFill="1" applyBorder="1" applyAlignment="1" applyProtection="1">
      <alignment horizontal="left" indent="1"/>
      <protection locked="0"/>
    </xf>
    <xf numFmtId="49" fontId="0" fillId="0" borderId="8" xfId="0" applyNumberFormat="1" applyBorder="1" applyAlignment="1" applyProtection="1">
      <alignment horizontal="left" indent="1"/>
      <protection locked="0"/>
    </xf>
    <xf numFmtId="49" fontId="45" fillId="10" borderId="6" xfId="0" applyNumberFormat="1" applyFont="1" applyFill="1" applyBorder="1" applyAlignment="1" applyProtection="1">
      <alignment horizontal="left" indent="1"/>
      <protection locked="0"/>
    </xf>
    <xf numFmtId="49" fontId="0" fillId="0" borderId="9" xfId="0" applyNumberFormat="1" applyBorder="1" applyAlignment="1" applyProtection="1">
      <alignment horizontal="left" indent="1"/>
      <protection locked="0"/>
    </xf>
    <xf numFmtId="0" fontId="51" fillId="0" borderId="0" xfId="0" applyFont="1" applyAlignment="1">
      <alignment horizontal="center" vertical="center" wrapText="1"/>
    </xf>
    <xf numFmtId="49" fontId="21" fillId="0" borderId="0" xfId="0" applyNumberFormat="1" applyFont="1" applyAlignment="1">
      <alignment horizontal="left" vertical="center" wrapText="1"/>
    </xf>
    <xf numFmtId="0" fontId="0" fillId="0" borderId="0" xfId="0" applyAlignment="1">
      <alignment horizontal="left" vertical="center" wrapText="1"/>
    </xf>
    <xf numFmtId="0" fontId="3" fillId="4" borderId="27" xfId="0" applyFont="1" applyFill="1" applyBorder="1" applyAlignment="1">
      <alignment horizontal="center" wrapText="1"/>
    </xf>
    <xf numFmtId="0" fontId="0" fillId="4" borderId="25" xfId="0" applyFill="1" applyBorder="1" applyAlignment="1">
      <alignment horizontal="center" wrapText="1"/>
    </xf>
    <xf numFmtId="0" fontId="4" fillId="3" borderId="65" xfId="0" applyFont="1" applyFill="1" applyBorder="1" applyAlignment="1">
      <alignment horizontal="right"/>
    </xf>
    <xf numFmtId="0" fontId="4" fillId="3" borderId="67" xfId="0" applyFont="1" applyFill="1" applyBorder="1" applyAlignment="1">
      <alignment horizontal="right"/>
    </xf>
    <xf numFmtId="0" fontId="4" fillId="3" borderId="66" xfId="0" applyFont="1" applyFill="1" applyBorder="1" applyAlignment="1">
      <alignment horizontal="right"/>
    </xf>
    <xf numFmtId="0" fontId="4" fillId="3" borderId="73" xfId="0" applyFont="1" applyFill="1" applyBorder="1" applyAlignment="1">
      <alignment horizontal="right"/>
    </xf>
    <xf numFmtId="0" fontId="39" fillId="3" borderId="12" xfId="0" applyFont="1" applyFill="1" applyBorder="1" applyAlignment="1">
      <alignment horizontal="center" wrapText="1"/>
    </xf>
    <xf numFmtId="0" fontId="18" fillId="3" borderId="13" xfId="0" applyFont="1" applyFill="1" applyBorder="1" applyAlignment="1">
      <alignment horizontal="center" wrapText="1"/>
    </xf>
    <xf numFmtId="0" fontId="18" fillId="3" borderId="35" xfId="0" applyFont="1" applyFill="1" applyBorder="1" applyAlignment="1">
      <alignment horizontal="center" wrapText="1"/>
    </xf>
    <xf numFmtId="0" fontId="39" fillId="3" borderId="65" xfId="0" applyFont="1" applyFill="1" applyBorder="1" applyAlignment="1">
      <alignment horizontal="center" wrapText="1"/>
    </xf>
    <xf numFmtId="0" fontId="0" fillId="3" borderId="46" xfId="0" applyFill="1" applyBorder="1" applyAlignment="1">
      <alignment horizontal="center" wrapText="1"/>
    </xf>
    <xf numFmtId="0" fontId="0" fillId="3" borderId="67" xfId="0" applyFill="1" applyBorder="1" applyAlignment="1">
      <alignment horizontal="center" wrapText="1"/>
    </xf>
    <xf numFmtId="0" fontId="53" fillId="0" borderId="0" xfId="0" applyFont="1" applyAlignment="1">
      <alignment horizontal="left" wrapText="1"/>
    </xf>
    <xf numFmtId="0" fontId="53" fillId="0" borderId="4" xfId="0" applyFont="1" applyBorder="1" applyAlignment="1">
      <alignment horizontal="left" wrapText="1"/>
    </xf>
    <xf numFmtId="0" fontId="0" fillId="0" borderId="4" xfId="0" applyBorder="1" applyAlignment="1">
      <alignment wrapText="1"/>
    </xf>
    <xf numFmtId="0" fontId="48" fillId="4" borderId="12" xfId="0" applyFont="1" applyFill="1" applyBorder="1" applyAlignment="1">
      <alignment horizontal="center"/>
    </xf>
    <xf numFmtId="0" fontId="48" fillId="4" borderId="35" xfId="0" applyFont="1" applyFill="1" applyBorder="1" applyAlignment="1">
      <alignment horizontal="center"/>
    </xf>
    <xf numFmtId="49" fontId="29" fillId="0" borderId="0" xfId="0" applyNumberFormat="1" applyFont="1" applyAlignment="1">
      <alignment horizontal="left" wrapText="1"/>
    </xf>
    <xf numFmtId="49" fontId="39" fillId="0" borderId="0" xfId="0" applyNumberFormat="1" applyFont="1" applyAlignment="1">
      <alignment horizontal="left" wrapText="1"/>
    </xf>
    <xf numFmtId="0" fontId="48" fillId="6" borderId="27" xfId="0" applyFont="1" applyFill="1" applyBorder="1" applyAlignment="1">
      <alignment horizontal="center" wrapText="1"/>
    </xf>
    <xf numFmtId="0" fontId="56" fillId="0" borderId="86" xfId="0" applyFont="1" applyBorder="1" applyAlignment="1">
      <alignment wrapText="1"/>
    </xf>
    <xf numFmtId="0" fontId="18" fillId="0" borderId="0" xfId="0" applyFont="1" applyAlignment="1">
      <alignment wrapText="1"/>
    </xf>
    <xf numFmtId="49" fontId="18" fillId="0" borderId="0" xfId="0" applyNumberFormat="1" applyFont="1" applyAlignment="1">
      <alignment horizontal="left" vertical="center" wrapText="1"/>
    </xf>
    <xf numFmtId="0" fontId="16" fillId="0" borderId="7" xfId="0" applyFont="1" applyBorder="1" applyAlignment="1">
      <alignment horizontal="left" wrapText="1"/>
    </xf>
    <xf numFmtId="0" fontId="0" fillId="0" borderId="7" xfId="0" applyBorder="1" applyAlignment="1">
      <alignment wrapText="1"/>
    </xf>
    <xf numFmtId="0" fontId="15" fillId="0" borderId="0" xfId="0" applyFont="1" applyAlignment="1">
      <alignment wrapText="1"/>
    </xf>
    <xf numFmtId="0" fontId="16" fillId="0" borderId="0" xfId="0" applyFont="1" applyAlignment="1">
      <alignment wrapText="1"/>
    </xf>
    <xf numFmtId="0" fontId="73" fillId="0" borderId="88" xfId="0" applyFont="1" applyBorder="1" applyAlignment="1">
      <alignment horizontal="center" wrapText="1"/>
    </xf>
    <xf numFmtId="0" fontId="68" fillId="0" borderId="89" xfId="0" applyFont="1" applyBorder="1" applyAlignment="1">
      <alignment horizontal="center" wrapText="1"/>
    </xf>
    <xf numFmtId="0" fontId="68" fillId="0" borderId="90" xfId="0" applyFont="1" applyBorder="1" applyAlignment="1">
      <alignment horizontal="center" wrapText="1"/>
    </xf>
    <xf numFmtId="0" fontId="73" fillId="0" borderId="46" xfId="0" applyFont="1" applyBorder="1" applyAlignment="1">
      <alignment horizontal="left" wrapText="1"/>
    </xf>
    <xf numFmtId="0" fontId="75" fillId="0" borderId="75" xfId="0" applyFont="1" applyBorder="1" applyAlignment="1">
      <alignment horizontal="left" wrapText="1"/>
    </xf>
    <xf numFmtId="0" fontId="75" fillId="0" borderId="91" xfId="0" applyFont="1" applyBorder="1" applyAlignment="1">
      <alignment horizontal="left" wrapText="1"/>
    </xf>
    <xf numFmtId="0" fontId="73" fillId="0" borderId="12" xfId="0" applyFont="1" applyBorder="1" applyAlignment="1">
      <alignment horizontal="center" wrapText="1"/>
    </xf>
    <xf numFmtId="0" fontId="68" fillId="0" borderId="13" xfId="0" applyFont="1" applyBorder="1" applyAlignment="1">
      <alignment wrapText="1"/>
    </xf>
    <xf numFmtId="0" fontId="68" fillId="0" borderId="38" xfId="0" applyFont="1" applyBorder="1" applyAlignment="1">
      <alignment wrapText="1"/>
    </xf>
    <xf numFmtId="0" fontId="68" fillId="0" borderId="23" xfId="0" applyFont="1" applyBorder="1" applyAlignment="1">
      <alignment wrapText="1"/>
    </xf>
    <xf numFmtId="0" fontId="68" fillId="0" borderId="36" xfId="0" applyFont="1" applyBorder="1" applyAlignment="1">
      <alignment wrapText="1"/>
    </xf>
    <xf numFmtId="0" fontId="68" fillId="0" borderId="15" xfId="0" applyFont="1" applyBorder="1" applyAlignment="1">
      <alignment wrapText="1"/>
    </xf>
    <xf numFmtId="1" fontId="73" fillId="0" borderId="13" xfId="0" applyNumberFormat="1" applyFont="1" applyBorder="1" applyAlignment="1">
      <alignment horizontal="center" wrapText="1"/>
    </xf>
    <xf numFmtId="0" fontId="16" fillId="0" borderId="23" xfId="0" applyFont="1" applyBorder="1" applyAlignment="1">
      <alignment horizontal="center" wrapText="1"/>
    </xf>
    <xf numFmtId="49" fontId="73" fillId="0" borderId="5" xfId="0" applyNumberFormat="1" applyFont="1" applyBorder="1" applyAlignment="1">
      <alignment wrapText="1"/>
    </xf>
    <xf numFmtId="0" fontId="15" fillId="0" borderId="8" xfId="0" applyFont="1" applyBorder="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00FFFF"/>
      <color rgb="FFFFFF99"/>
      <color rgb="FFFF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1</xdr:row>
      <xdr:rowOff>381000</xdr:rowOff>
    </xdr:from>
    <xdr:to>
      <xdr:col>10</xdr:col>
      <xdr:colOff>866775</xdr:colOff>
      <xdr:row>2</xdr:row>
      <xdr:rowOff>514350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86450" y="457200"/>
          <a:ext cx="704850" cy="695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Q23"/>
  <sheetViews>
    <sheetView showGridLines="0" workbookViewId="0">
      <selection activeCell="C3" sqref="C3:K3"/>
    </sheetView>
  </sheetViews>
  <sheetFormatPr defaultColWidth="9.1328125" defaultRowHeight="13.15"/>
  <cols>
    <col min="1" max="1" width="2.86328125" style="10" customWidth="1"/>
    <col min="2" max="2" width="2.265625" style="10" customWidth="1"/>
    <col min="3" max="3" width="10.59765625" style="10" customWidth="1"/>
    <col min="4" max="8" width="9.1328125" style="10"/>
    <col min="9" max="9" width="15.265625" style="10" customWidth="1"/>
    <col min="10" max="10" width="9.1328125" style="10"/>
    <col min="11" max="11" width="13.1328125" style="10" customWidth="1"/>
    <col min="12" max="16384" width="9.1328125" style="10"/>
  </cols>
  <sheetData>
    <row r="1" spans="2:17" ht="6" customHeight="1"/>
    <row r="2" spans="2:17" s="2" customFormat="1" ht="44.25" customHeight="1">
      <c r="C2" s="559" t="s">
        <v>83</v>
      </c>
      <c r="D2" s="560"/>
      <c r="E2" s="560"/>
      <c r="F2" s="560"/>
      <c r="G2" s="560"/>
      <c r="H2" s="560"/>
      <c r="I2" s="560"/>
      <c r="J2" s="560"/>
      <c r="K2" s="560"/>
      <c r="M2" s="11"/>
      <c r="N2" s="12"/>
      <c r="O2" s="13"/>
      <c r="P2" s="13"/>
      <c r="Q2" s="13"/>
    </row>
    <row r="3" spans="2:17" s="2" customFormat="1" ht="41.25" customHeight="1">
      <c r="C3" s="561" t="s">
        <v>315</v>
      </c>
      <c r="D3" s="562"/>
      <c r="E3" s="562"/>
      <c r="F3" s="562"/>
      <c r="G3" s="562"/>
      <c r="H3" s="562"/>
      <c r="I3" s="562"/>
      <c r="J3" s="562"/>
      <c r="K3" s="562"/>
      <c r="M3" s="11"/>
      <c r="N3" s="12"/>
      <c r="O3" s="13"/>
      <c r="P3" s="13"/>
      <c r="Q3" s="13"/>
    </row>
    <row r="4" spans="2:17" ht="6" customHeight="1"/>
    <row r="5" spans="2:17" ht="15">
      <c r="C5" s="14" t="s">
        <v>99</v>
      </c>
      <c r="D5" s="15"/>
      <c r="E5" s="15"/>
      <c r="F5" s="15"/>
      <c r="G5" s="15"/>
      <c r="H5" s="15"/>
      <c r="I5" s="15"/>
      <c r="J5" s="15"/>
      <c r="K5" s="15"/>
    </row>
    <row r="6" spans="2:17" ht="5.25" customHeight="1">
      <c r="C6" s="16"/>
    </row>
    <row r="7" spans="2:17" ht="46.9" customHeight="1">
      <c r="C7" s="564" t="s">
        <v>299</v>
      </c>
      <c r="D7" s="565"/>
      <c r="E7" s="565"/>
      <c r="F7" s="565"/>
      <c r="G7" s="565"/>
      <c r="H7" s="565"/>
      <c r="I7" s="565"/>
      <c r="J7" s="565"/>
      <c r="K7" s="565"/>
    </row>
    <row r="8" spans="2:17" ht="35.1" customHeight="1">
      <c r="C8" s="558" t="s">
        <v>298</v>
      </c>
      <c r="D8" s="563"/>
      <c r="E8" s="563"/>
      <c r="F8" s="563"/>
      <c r="G8" s="563"/>
      <c r="H8" s="563"/>
      <c r="I8" s="563"/>
      <c r="J8" s="563"/>
      <c r="K8" s="563"/>
    </row>
    <row r="9" spans="2:17" ht="32.1" customHeight="1">
      <c r="C9" s="558" t="s">
        <v>297</v>
      </c>
      <c r="D9" s="563"/>
      <c r="E9" s="563"/>
      <c r="F9" s="563"/>
      <c r="G9" s="563"/>
      <c r="H9" s="563"/>
      <c r="I9" s="563"/>
      <c r="J9" s="563"/>
      <c r="K9" s="563"/>
    </row>
    <row r="10" spans="2:17" ht="32.1" customHeight="1">
      <c r="C10" s="558" t="s">
        <v>294</v>
      </c>
      <c r="D10" s="565"/>
      <c r="E10" s="565"/>
      <c r="F10" s="565"/>
      <c r="G10" s="565"/>
      <c r="H10" s="565"/>
      <c r="I10" s="565"/>
      <c r="J10" s="565"/>
      <c r="K10" s="565"/>
    </row>
    <row r="11" spans="2:17" ht="46.9" customHeight="1">
      <c r="C11" s="564" t="s">
        <v>293</v>
      </c>
      <c r="D11" s="565"/>
      <c r="E11" s="565"/>
      <c r="F11" s="565"/>
      <c r="G11" s="565"/>
      <c r="H11" s="565"/>
      <c r="I11" s="565"/>
      <c r="J11" s="565"/>
      <c r="K11" s="565"/>
    </row>
    <row r="12" spans="2:17" ht="18.75" customHeight="1">
      <c r="B12" s="17"/>
      <c r="C12" s="558" t="s">
        <v>121</v>
      </c>
      <c r="D12" s="563"/>
      <c r="E12" s="563"/>
      <c r="F12" s="563"/>
      <c r="G12" s="563"/>
      <c r="H12" s="563"/>
      <c r="I12" s="563"/>
      <c r="J12" s="563"/>
      <c r="K12" s="563"/>
    </row>
    <row r="13" spans="2:17" ht="18.75" customHeight="1">
      <c r="B13" s="17"/>
      <c r="C13" s="224" t="s">
        <v>123</v>
      </c>
      <c r="D13" s="5"/>
      <c r="E13" s="5"/>
      <c r="F13" s="5"/>
      <c r="G13" s="5"/>
      <c r="H13" s="5"/>
      <c r="I13" s="5"/>
      <c r="J13" s="5"/>
      <c r="K13" s="5"/>
    </row>
    <row r="14" spans="2:17" ht="18.75" customHeight="1">
      <c r="B14" s="17"/>
      <c r="C14" s="224" t="s">
        <v>124</v>
      </c>
      <c r="D14" s="5"/>
      <c r="E14" s="5"/>
      <c r="F14" s="5"/>
      <c r="G14" s="5"/>
      <c r="H14" s="5"/>
      <c r="I14" s="5"/>
      <c r="J14" s="5"/>
      <c r="K14" s="5"/>
    </row>
    <row r="15" spans="2:17" ht="34.15" customHeight="1">
      <c r="B15" s="17"/>
      <c r="C15" s="558" t="s">
        <v>126</v>
      </c>
      <c r="D15" s="563"/>
      <c r="E15" s="563"/>
      <c r="F15" s="563"/>
      <c r="G15" s="563"/>
      <c r="H15" s="563"/>
      <c r="I15" s="563"/>
      <c r="J15" s="563"/>
      <c r="K15" s="563"/>
    </row>
    <row r="16" spans="2:17" ht="18.75" customHeight="1">
      <c r="B16" s="17"/>
      <c r="C16" s="224" t="s">
        <v>295</v>
      </c>
      <c r="D16" s="5"/>
      <c r="E16" s="5"/>
      <c r="F16" s="5"/>
      <c r="G16" s="5"/>
      <c r="H16" s="5"/>
      <c r="I16" s="5"/>
      <c r="J16" s="5"/>
      <c r="K16" s="5"/>
    </row>
    <row r="17" spans="2:11" ht="18.75" customHeight="1">
      <c r="B17" s="17"/>
      <c r="C17" s="224" t="s">
        <v>149</v>
      </c>
      <c r="D17" s="5"/>
      <c r="E17" s="5"/>
      <c r="F17" s="5"/>
      <c r="G17" s="5"/>
      <c r="H17" s="5"/>
      <c r="I17" s="5"/>
      <c r="J17" s="5"/>
      <c r="K17" s="5"/>
    </row>
    <row r="18" spans="2:11" ht="18.75" customHeight="1">
      <c r="B18" s="17"/>
      <c r="C18" s="224"/>
      <c r="D18" s="5"/>
      <c r="E18" s="5"/>
      <c r="F18" s="5"/>
      <c r="G18" s="5"/>
      <c r="H18" s="5"/>
      <c r="I18" s="5"/>
      <c r="J18" s="5"/>
      <c r="K18" s="5"/>
    </row>
    <row r="19" spans="2:11" ht="18" customHeight="1">
      <c r="C19" s="4" t="s">
        <v>3</v>
      </c>
      <c r="D19" s="3"/>
      <c r="E19" s="3"/>
      <c r="F19" s="2"/>
      <c r="G19" s="2"/>
      <c r="H19" s="3"/>
      <c r="I19" s="2"/>
      <c r="J19" s="2"/>
      <c r="K19" s="2"/>
    </row>
    <row r="20" spans="2:11" ht="9.75" customHeight="1">
      <c r="C20" s="9"/>
      <c r="D20" s="8"/>
      <c r="E20" s="8"/>
      <c r="F20" s="8"/>
      <c r="G20" s="8"/>
      <c r="H20" s="8"/>
      <c r="I20" s="8"/>
      <c r="J20" s="8"/>
      <c r="K20" s="8"/>
    </row>
    <row r="21" spans="2:11" ht="47.25" customHeight="1">
      <c r="C21" s="557" t="s">
        <v>316</v>
      </c>
      <c r="D21" s="558"/>
      <c r="E21" s="558"/>
      <c r="F21" s="558"/>
      <c r="G21" s="558"/>
      <c r="H21" s="558"/>
      <c r="I21" s="558"/>
      <c r="J21" s="558"/>
      <c r="K21" s="558"/>
    </row>
    <row r="22" spans="2:11" ht="9.75" customHeight="1">
      <c r="C22" s="9"/>
      <c r="D22" s="8"/>
      <c r="E22" s="8"/>
      <c r="F22" s="8"/>
      <c r="G22" s="8"/>
      <c r="H22" s="8"/>
      <c r="I22" s="8"/>
      <c r="J22" s="8"/>
      <c r="K22" s="8"/>
    </row>
    <row r="23" spans="2:11" ht="47.25" customHeight="1">
      <c r="C23" s="557" t="s">
        <v>317</v>
      </c>
      <c r="D23" s="558"/>
      <c r="E23" s="558"/>
      <c r="F23" s="558"/>
      <c r="G23" s="558"/>
      <c r="H23" s="558"/>
      <c r="I23" s="558"/>
      <c r="J23" s="558"/>
      <c r="K23" s="558"/>
    </row>
  </sheetData>
  <sheetProtection algorithmName="SHA-512" hashValue="HuXRqKW7WzE2ruFOIaaqppKG23b+dFOyBhx6j1p9CYgxfOdDRvIflcENyadEp1amjSTEdblwrBnNfxzh0E6m0w==" saltValue="SBOJQjCXGTLH3UncPT5OaA==" spinCount="100000" sheet="1" objects="1" scenarios="1"/>
  <mergeCells count="11">
    <mergeCell ref="C23:K23"/>
    <mergeCell ref="C2:K2"/>
    <mergeCell ref="C3:K3"/>
    <mergeCell ref="C12:K12"/>
    <mergeCell ref="C21:K21"/>
    <mergeCell ref="C11:K11"/>
    <mergeCell ref="C15:K15"/>
    <mergeCell ref="C10:K10"/>
    <mergeCell ref="C9:K9"/>
    <mergeCell ref="C8:K8"/>
    <mergeCell ref="C7:K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6D94F-0DAE-4694-ACB4-0C66B5B14F8C}">
  <sheetPr>
    <tabColor theme="9" tint="0.79998168889431442"/>
    <pageSetUpPr fitToPage="1"/>
  </sheetPr>
  <dimension ref="B2:P195"/>
  <sheetViews>
    <sheetView showGridLines="0" showRowColHeaders="0" tabSelected="1" topLeftCell="B1" workbookViewId="0">
      <selection activeCell="B60" sqref="B60:I61"/>
      <extLst>
        <ext xmlns:xlsdti="http://schemas.microsoft.com/office/spreadsheetml/2023/showDataTypeIcons" uri="{77bfe23e-c014-4d31-8a63-9c772dbf06b6}">
          <xlsdti:showDataTypeIcons visible="0"/>
        </ext>
      </extLst>
    </sheetView>
  </sheetViews>
  <sheetFormatPr defaultColWidth="9.265625" defaultRowHeight="13.15"/>
  <cols>
    <col min="1" max="1" width="9.265625" style="20"/>
    <col min="2" max="2" width="1.59765625" style="20" customWidth="1"/>
    <col min="3" max="3" width="16.86328125" style="19" customWidth="1"/>
    <col min="4" max="4" width="34.1328125" style="19" customWidth="1"/>
    <col min="5" max="5" width="14.59765625" style="19" customWidth="1"/>
    <col min="6" max="6" width="14.59765625" style="53" customWidth="1"/>
    <col min="7" max="8" width="12.59765625" style="19" customWidth="1"/>
    <col min="9" max="9" width="12.73046875" style="19" customWidth="1"/>
    <col min="10" max="10" width="15.73046875" style="49" customWidth="1"/>
    <col min="11" max="11" width="16" style="22" hidden="1" customWidth="1"/>
    <col min="12" max="12" width="15.73046875" style="22" customWidth="1"/>
    <col min="13" max="14" width="12.73046875" style="22" customWidth="1"/>
    <col min="15" max="15" width="14.73046875" style="22" customWidth="1"/>
    <col min="16" max="16" width="14.73046875" style="20" customWidth="1"/>
    <col min="17" max="16384" width="9.265625" style="20"/>
  </cols>
  <sheetData>
    <row r="2" spans="2:15" ht="26.25">
      <c r="C2" s="575" t="s">
        <v>286</v>
      </c>
      <c r="D2" s="576"/>
      <c r="E2" s="576"/>
      <c r="F2" s="576"/>
      <c r="G2" s="576"/>
      <c r="H2" s="576"/>
      <c r="I2" s="576"/>
    </row>
    <row r="3" spans="2:15" ht="18">
      <c r="C3" s="202" t="s">
        <v>109</v>
      </c>
    </row>
    <row r="4" spans="2:15" ht="18">
      <c r="C4" s="202" t="s">
        <v>314</v>
      </c>
      <c r="D4" s="24"/>
      <c r="E4" s="24"/>
      <c r="G4" s="24"/>
      <c r="H4" s="24"/>
      <c r="I4" s="24"/>
      <c r="J4" s="50"/>
    </row>
    <row r="5" spans="2:15" ht="18">
      <c r="C5" s="203" t="s">
        <v>312</v>
      </c>
      <c r="D5" s="24"/>
      <c r="E5" s="24"/>
      <c r="G5" s="24"/>
      <c r="H5" s="24"/>
      <c r="I5" s="24"/>
      <c r="J5" s="50"/>
    </row>
    <row r="6" spans="2:15" ht="10.15" customHeight="1">
      <c r="C6" s="23"/>
      <c r="D6" s="24"/>
      <c r="E6" s="24"/>
      <c r="G6" s="24"/>
      <c r="H6" s="24"/>
      <c r="I6" s="24"/>
      <c r="J6" s="50"/>
    </row>
    <row r="7" spans="2:15" ht="15.75">
      <c r="C7" s="201" t="s">
        <v>107</v>
      </c>
      <c r="D7" s="24"/>
      <c r="E7" s="24"/>
      <c r="G7" s="24"/>
      <c r="H7" s="24"/>
      <c r="I7" s="24"/>
      <c r="J7" s="50"/>
    </row>
    <row r="8" spans="2:15" ht="17.25" customHeight="1">
      <c r="C8" s="577" t="s">
        <v>105</v>
      </c>
      <c r="D8" s="563"/>
      <c r="E8" s="563"/>
      <c r="F8" s="563"/>
      <c r="G8" s="563"/>
      <c r="H8" s="563"/>
      <c r="I8" s="563"/>
      <c r="J8" s="50"/>
    </row>
    <row r="9" spans="2:15" ht="34.15" customHeight="1">
      <c r="C9" s="577" t="s">
        <v>106</v>
      </c>
      <c r="D9" s="563"/>
      <c r="E9" s="563"/>
      <c r="F9" s="563"/>
      <c r="G9" s="563"/>
      <c r="H9" s="563"/>
      <c r="I9" s="563"/>
      <c r="J9" s="50"/>
    </row>
    <row r="10" spans="2:15" ht="17.25" customHeight="1">
      <c r="C10" s="577" t="s">
        <v>108</v>
      </c>
      <c r="D10" s="563"/>
      <c r="E10" s="563"/>
      <c r="F10" s="563"/>
      <c r="G10" s="563"/>
      <c r="H10" s="563"/>
      <c r="I10" s="563"/>
      <c r="J10" s="50"/>
    </row>
    <row r="11" spans="2:15" ht="49.15" customHeight="1">
      <c r="C11" s="569" t="s">
        <v>236</v>
      </c>
      <c r="D11" s="563"/>
      <c r="E11" s="563"/>
      <c r="F11" s="563"/>
      <c r="G11" s="563"/>
      <c r="H11" s="563"/>
      <c r="I11" s="563"/>
      <c r="J11" s="50"/>
    </row>
    <row r="12" spans="2:15" ht="34.15" customHeight="1">
      <c r="C12" s="577" t="s">
        <v>285</v>
      </c>
      <c r="D12" s="563"/>
      <c r="E12" s="563"/>
      <c r="F12" s="563"/>
      <c r="G12" s="563"/>
      <c r="H12" s="563"/>
      <c r="I12" s="563"/>
      <c r="J12" s="50"/>
    </row>
    <row r="13" spans="2:15" ht="51" customHeight="1">
      <c r="C13" s="577" t="s">
        <v>300</v>
      </c>
      <c r="D13" s="563"/>
      <c r="E13" s="563"/>
      <c r="F13" s="563"/>
      <c r="G13" s="563"/>
      <c r="H13" s="563"/>
      <c r="I13" s="563"/>
      <c r="J13" s="26"/>
      <c r="L13" s="20"/>
      <c r="M13" s="20"/>
      <c r="N13" s="20"/>
      <c r="O13" s="20"/>
    </row>
    <row r="14" spans="2:15" ht="34.15" customHeight="1">
      <c r="C14" s="577" t="s">
        <v>226</v>
      </c>
      <c r="D14" s="563"/>
      <c r="E14" s="563"/>
      <c r="F14" s="563"/>
      <c r="G14" s="563"/>
      <c r="H14" s="563"/>
      <c r="I14" s="563"/>
      <c r="J14" s="26"/>
    </row>
    <row r="15" spans="2:15" ht="15" customHeight="1" thickBot="1">
      <c r="C15" s="26"/>
      <c r="D15" s="27"/>
      <c r="E15" s="27"/>
      <c r="F15" s="27"/>
      <c r="G15" s="27"/>
      <c r="H15" s="27"/>
      <c r="I15" s="27"/>
      <c r="J15" s="27"/>
    </row>
    <row r="16" spans="2:15" ht="5.25" customHeight="1" thickTop="1">
      <c r="B16" s="61"/>
      <c r="C16" s="70"/>
      <c r="D16" s="71"/>
      <c r="E16" s="71"/>
      <c r="F16" s="71"/>
      <c r="G16" s="72"/>
      <c r="H16" s="27"/>
      <c r="I16" s="27"/>
      <c r="J16" s="27"/>
    </row>
    <row r="17" spans="2:11" ht="15" customHeight="1" thickBot="1">
      <c r="B17" s="62"/>
      <c r="C17" s="67" t="s">
        <v>62</v>
      </c>
      <c r="D17" s="73"/>
      <c r="E17" s="73"/>
      <c r="F17" s="73"/>
      <c r="G17" s="74"/>
      <c r="H17" s="27"/>
      <c r="I17" s="27"/>
      <c r="J17" s="27"/>
    </row>
    <row r="18" spans="2:11" ht="15" customHeight="1" thickTop="1">
      <c r="B18" s="62"/>
      <c r="C18" s="81" t="s">
        <v>61</v>
      </c>
      <c r="D18" s="566"/>
      <c r="E18" s="567"/>
      <c r="F18" s="73"/>
      <c r="G18" s="74"/>
      <c r="H18" s="27"/>
      <c r="I18" s="27"/>
      <c r="J18" s="27"/>
    </row>
    <row r="19" spans="2:11" ht="15" customHeight="1">
      <c r="B19" s="62"/>
      <c r="C19" s="81" t="s">
        <v>58</v>
      </c>
      <c r="D19" s="578"/>
      <c r="E19" s="579"/>
      <c r="F19" s="73"/>
      <c r="G19" s="74"/>
      <c r="H19" s="27"/>
      <c r="I19" s="27"/>
      <c r="J19" s="27"/>
      <c r="K19" s="20"/>
    </row>
    <row r="20" spans="2:11" ht="15" customHeight="1">
      <c r="B20" s="62"/>
      <c r="C20" s="81" t="s">
        <v>66</v>
      </c>
      <c r="D20" s="222"/>
      <c r="E20" s="223"/>
      <c r="F20" s="73"/>
      <c r="G20" s="74"/>
      <c r="H20" s="27"/>
      <c r="I20" s="27"/>
      <c r="J20" s="27"/>
      <c r="K20" s="28" t="s">
        <v>287</v>
      </c>
    </row>
    <row r="21" spans="2:11" ht="15" customHeight="1" thickBot="1">
      <c r="B21" s="62"/>
      <c r="C21" s="81" t="s">
        <v>104</v>
      </c>
      <c r="D21" s="580"/>
      <c r="E21" s="581"/>
      <c r="F21" s="73"/>
      <c r="G21" s="74"/>
      <c r="H21" s="27"/>
      <c r="I21" s="27"/>
      <c r="J21" s="27"/>
      <c r="K21" s="28" t="s">
        <v>288</v>
      </c>
    </row>
    <row r="22" spans="2:11" ht="5.25" customHeight="1" thickTop="1">
      <c r="B22" s="62"/>
      <c r="C22" s="75"/>
      <c r="D22" s="82"/>
      <c r="E22" s="73"/>
      <c r="F22" s="76"/>
      <c r="G22" s="74"/>
      <c r="H22" s="27"/>
      <c r="I22" s="27"/>
      <c r="J22" s="27"/>
    </row>
    <row r="23" spans="2:11" ht="15" customHeight="1" thickBot="1">
      <c r="B23" s="62"/>
      <c r="C23" s="67" t="s">
        <v>100</v>
      </c>
      <c r="D23" s="73"/>
      <c r="E23" s="73"/>
      <c r="F23" s="76"/>
      <c r="G23" s="74"/>
      <c r="H23" s="27"/>
      <c r="I23" s="27"/>
      <c r="J23" s="114"/>
      <c r="K23" s="28" t="s">
        <v>36</v>
      </c>
    </row>
    <row r="24" spans="2:11" ht="20.25" customHeight="1" thickTop="1" thickBot="1">
      <c r="B24" s="62"/>
      <c r="C24" s="81" t="s">
        <v>306</v>
      </c>
      <c r="D24" s="170" t="s">
        <v>288</v>
      </c>
      <c r="E24" s="66"/>
      <c r="F24" s="77"/>
      <c r="G24" s="63"/>
      <c r="H24" s="20"/>
      <c r="I24" s="20"/>
      <c r="J24" s="114"/>
      <c r="K24" s="28" t="s">
        <v>1</v>
      </c>
    </row>
    <row r="25" spans="2:11" ht="5.25" customHeight="1" thickTop="1">
      <c r="B25" s="62"/>
      <c r="C25" s="69"/>
      <c r="D25" s="82"/>
      <c r="E25" s="78"/>
      <c r="F25" s="79"/>
      <c r="G25" s="63"/>
      <c r="H25" s="20"/>
      <c r="I25" s="20"/>
      <c r="J25" s="51"/>
      <c r="K25" s="28" t="s">
        <v>2</v>
      </c>
    </row>
    <row r="26" spans="2:11" ht="15" customHeight="1" thickBot="1">
      <c r="B26" s="62"/>
      <c r="C26" s="67" t="s">
        <v>63</v>
      </c>
      <c r="D26" s="73"/>
      <c r="E26" s="73"/>
      <c r="F26" s="76"/>
      <c r="G26" s="74"/>
      <c r="H26" s="27"/>
      <c r="I26" s="27"/>
      <c r="J26" s="115"/>
      <c r="K26" s="140"/>
    </row>
    <row r="27" spans="2:11" ht="20.25" customHeight="1" thickTop="1" thickBot="1">
      <c r="B27" s="62"/>
      <c r="C27" s="65" t="s">
        <v>307</v>
      </c>
      <c r="D27" s="170" t="s">
        <v>36</v>
      </c>
      <c r="E27" s="572" t="str">
        <f>IF(D24=K20," Not Applicable -(Solids Only)",IF(OR(D27=K24,D27=K25)," Caution! Land Use Restrictions Might Apply.",""))</f>
        <v/>
      </c>
      <c r="F27" s="573"/>
      <c r="G27" s="574"/>
      <c r="H27" s="43"/>
      <c r="I27" s="20"/>
      <c r="J27" s="116"/>
      <c r="K27" s="140"/>
    </row>
    <row r="28" spans="2:11" ht="5.25" customHeight="1" thickTop="1">
      <c r="B28" s="62"/>
      <c r="C28" s="65"/>
      <c r="D28" s="82"/>
      <c r="E28" s="144"/>
      <c r="F28" s="145"/>
      <c r="G28" s="80"/>
      <c r="H28" s="20"/>
      <c r="I28" s="20"/>
      <c r="J28" s="51"/>
    </row>
    <row r="29" spans="2:11" ht="15" customHeight="1">
      <c r="B29" s="62"/>
      <c r="C29" s="64" t="s">
        <v>235</v>
      </c>
      <c r="D29" s="144"/>
      <c r="E29" s="144"/>
      <c r="F29" s="145"/>
      <c r="G29" s="80"/>
      <c r="H29" s="20"/>
      <c r="I29" s="20"/>
      <c r="J29" s="51"/>
    </row>
    <row r="30" spans="2:11" ht="5.25" customHeight="1">
      <c r="B30" s="62"/>
      <c r="C30" s="64"/>
      <c r="D30" s="82"/>
      <c r="E30" s="144"/>
      <c r="F30" s="145"/>
      <c r="G30" s="80"/>
      <c r="H30" s="20"/>
      <c r="I30" s="20"/>
      <c r="J30" s="51"/>
    </row>
    <row r="31" spans="2:11" ht="15" customHeight="1">
      <c r="B31" s="62"/>
      <c r="C31" s="65" t="s">
        <v>238</v>
      </c>
      <c r="D31" s="426"/>
      <c r="E31" s="82"/>
      <c r="F31" s="82"/>
      <c r="G31" s="80"/>
      <c r="H31" s="147" t="str">
        <f>IF(D31="","","Provide supporting information in report.")</f>
        <v/>
      </c>
      <c r="I31" s="20"/>
      <c r="J31" s="51"/>
    </row>
    <row r="32" spans="2:11" ht="20.25" customHeight="1">
      <c r="B32" s="62"/>
      <c r="C32" s="65" t="s">
        <v>227</v>
      </c>
      <c r="D32" s="426"/>
      <c r="E32" s="82"/>
      <c r="F32" s="82"/>
      <c r="G32" s="80"/>
      <c r="H32" s="147" t="str">
        <f>IF(D32="","","Provide supporting information in report.")</f>
        <v/>
      </c>
      <c r="I32" s="20"/>
      <c r="J32" s="51"/>
    </row>
    <row r="33" spans="2:16" ht="5.25" customHeight="1">
      <c r="B33" s="62"/>
      <c r="C33" s="65"/>
      <c r="D33" s="82"/>
      <c r="E33" s="82"/>
      <c r="F33" s="82"/>
      <c r="G33" s="80"/>
      <c r="H33" s="20"/>
      <c r="I33" s="20"/>
      <c r="J33" s="51"/>
    </row>
    <row r="34" spans="2:16" ht="15" customHeight="1">
      <c r="B34" s="62"/>
      <c r="C34" s="64" t="s">
        <v>150</v>
      </c>
      <c r="D34" s="144"/>
      <c r="E34" s="144"/>
      <c r="F34" s="145"/>
      <c r="G34" s="80"/>
      <c r="H34" s="20"/>
      <c r="I34" s="20"/>
      <c r="J34" s="51"/>
    </row>
    <row r="35" spans="2:16" ht="5.25" customHeight="1" thickBot="1">
      <c r="B35" s="68"/>
      <c r="C35" s="157"/>
      <c r="D35" s="320"/>
      <c r="E35" s="320"/>
      <c r="F35" s="320"/>
      <c r="G35" s="130"/>
      <c r="H35" s="20"/>
      <c r="I35" s="20"/>
      <c r="J35" s="51"/>
    </row>
    <row r="36" spans="2:16" ht="15" customHeight="1" thickTop="1">
      <c r="B36" s="147"/>
      <c r="C36" s="42"/>
      <c r="D36" s="43"/>
      <c r="E36" s="43"/>
      <c r="F36" s="54"/>
      <c r="G36" s="20"/>
      <c r="H36" s="147"/>
      <c r="I36" s="20"/>
      <c r="J36" s="51"/>
    </row>
    <row r="37" spans="2:16" ht="15" customHeight="1" thickBot="1">
      <c r="B37" s="58" t="s">
        <v>68</v>
      </c>
      <c r="C37" s="42"/>
      <c r="D37" s="43"/>
      <c r="E37" s="43"/>
      <c r="F37" s="54"/>
      <c r="G37" s="20"/>
      <c r="H37" s="43"/>
      <c r="I37" s="20"/>
      <c r="J37" s="51"/>
      <c r="K37" s="140"/>
    </row>
    <row r="38" spans="2:16" ht="33" customHeight="1" thickTop="1" thickBot="1">
      <c r="B38" s="466"/>
      <c r="C38" s="467"/>
      <c r="D38" s="468" t="s">
        <v>96</v>
      </c>
      <c r="E38" s="459" t="str">
        <f>IF(D24=K20,K38,K39)</f>
        <v>Concentration (µg/kg)</v>
      </c>
      <c r="F38" s="453" t="s">
        <v>241</v>
      </c>
      <c r="G38" s="460" t="s">
        <v>292</v>
      </c>
      <c r="H38" s="469" t="s">
        <v>240</v>
      </c>
      <c r="I38" s="51"/>
      <c r="J38" s="51"/>
      <c r="K38" s="140" t="s">
        <v>82</v>
      </c>
      <c r="P38" s="22"/>
    </row>
    <row r="39" spans="2:16" ht="15" customHeight="1">
      <c r="B39" s="83"/>
      <c r="C39" s="118"/>
      <c r="D39" s="136" t="s">
        <v>301</v>
      </c>
      <c r="E39" s="461" t="str">
        <f>'2. Sample Data Input'!D32</f>
        <v/>
      </c>
      <c r="F39" s="454" t="str">
        <f>IF(E39="","",E39/$E$43)</f>
        <v/>
      </c>
      <c r="G39" s="161" t="str">
        <f>IF('1. Total PFAS Calculator'!$D$24='1. Total PFAS Calculator'!$K$20,'5. Liquids Total PFASs Risk'!M27,'4. Solids Total PFASs Risk'!M27)</f>
        <v/>
      </c>
      <c r="H39" s="449" t="str">
        <f>IF(G39="","",G39/$G$43)</f>
        <v/>
      </c>
      <c r="I39" s="51"/>
      <c r="J39" s="51"/>
      <c r="K39" s="140" t="s">
        <v>81</v>
      </c>
      <c r="P39" s="22"/>
    </row>
    <row r="40" spans="2:16" ht="15" customHeight="1">
      <c r="B40" s="83"/>
      <c r="C40" s="117"/>
      <c r="D40" s="136" t="s">
        <v>302</v>
      </c>
      <c r="E40" s="461" t="str">
        <f>IF('1. Total PFAS Calculator'!$D$24='1. Total PFAS Calculator'!$K$20,'5. Liquids Total PFASs Risk'!I27,'4. Solids Total PFASs Risk'!I27)</f>
        <v/>
      </c>
      <c r="F40" s="454" t="str">
        <f t="shared" ref="F40:F41" si="0">IF(E40="","",E40/$E$43)</f>
        <v/>
      </c>
      <c r="G40" s="161" t="str">
        <f>IF('1. Total PFAS Calculator'!$D$24='1. Total PFAS Calculator'!$K$20,'5. Liquids Total PFASs Risk'!N27,'4. Solids Total PFASs Risk'!N27)</f>
        <v/>
      </c>
      <c r="H40" s="449" t="str">
        <f t="shared" ref="H40:H42" si="1">IF(G40="","",G40/$G$43)</f>
        <v/>
      </c>
      <c r="I40" s="51"/>
      <c r="J40" s="51"/>
      <c r="K40" s="51"/>
      <c r="L40" s="146"/>
      <c r="P40" s="22"/>
    </row>
    <row r="41" spans="2:16" ht="15" customHeight="1" thickBot="1">
      <c r="B41" s="470"/>
      <c r="C41" s="471"/>
      <c r="D41" s="472" t="s">
        <v>310</v>
      </c>
      <c r="E41" s="462" t="str">
        <f>IF('2. Sample Data Input'!D7="","",IF('1. Total PFAS Calculator'!$D$24='1. Total PFAS Calculator'!$K$20,'5. Liquids Total PFASs Risk'!L31,'4. Solids Total PFASs Risk'!L31))</f>
        <v/>
      </c>
      <c r="F41" s="455" t="str">
        <f t="shared" si="0"/>
        <v/>
      </c>
      <c r="G41" s="463" t="str">
        <f>IF(OR('2. Sample Data Input'!D7="",'4. Solids Total PFASs Risk'!L29="Error",'5. Liquids Total PFASs Risk'!L29="Error"),"",IF('1. Total PFAS Calculator'!$D$24='1. Total PFAS Calculator'!$K$20,'5. Liquids Total PFASs Risk'!L32,'4. Solids Total PFASs Risk'!L32))</f>
        <v/>
      </c>
      <c r="H41" s="464" t="str">
        <f t="shared" si="1"/>
        <v/>
      </c>
      <c r="I41" s="172"/>
      <c r="J41" s="51"/>
      <c r="K41" s="51"/>
      <c r="L41" s="28"/>
      <c r="P41" s="22"/>
    </row>
    <row r="42" spans="2:16" ht="3" customHeight="1">
      <c r="B42" s="83"/>
      <c r="C42" s="118"/>
      <c r="D42" s="118"/>
      <c r="E42" s="465"/>
      <c r="F42" s="456" t="str">
        <f t="shared" ref="F42" si="2">IF(E42="","",E42/$G$43)</f>
        <v/>
      </c>
      <c r="G42" s="131"/>
      <c r="H42" s="450" t="str">
        <f t="shared" si="1"/>
        <v/>
      </c>
      <c r="I42" s="51"/>
      <c r="J42" s="51"/>
      <c r="K42" s="51"/>
      <c r="P42" s="22"/>
    </row>
    <row r="43" spans="2:16" ht="15" customHeight="1">
      <c r="B43" s="83"/>
      <c r="C43" s="118"/>
      <c r="D43" s="141" t="s">
        <v>311</v>
      </c>
      <c r="E43" s="461" t="str">
        <f>IF(SUM(E39:E41)=0,"",SUM(E39:E41))</f>
        <v/>
      </c>
      <c r="F43" s="457" t="str">
        <f>IF(SUM(F39:F41)=0,"",SUM(F39:F41))</f>
        <v/>
      </c>
      <c r="G43" s="137" t="str">
        <f>IF(SUM(G39:G41)=0,"",SUM(G39:G41))</f>
        <v/>
      </c>
      <c r="H43" s="451" t="str">
        <f>IF(AND(H39="",H40="",H41=""),"",SUM(H39:H41))</f>
        <v/>
      </c>
      <c r="I43" s="51"/>
      <c r="J43" s="51"/>
      <c r="K43" s="51"/>
      <c r="L43" s="28"/>
      <c r="P43" s="22"/>
    </row>
    <row r="44" spans="2:16" ht="3" customHeight="1" thickBot="1">
      <c r="B44" s="84"/>
      <c r="C44" s="85"/>
      <c r="D44" s="85"/>
      <c r="E44" s="473"/>
      <c r="F44" s="458"/>
      <c r="G44" s="86"/>
      <c r="H44" s="452"/>
      <c r="I44" s="51"/>
      <c r="J44" s="51"/>
      <c r="K44" s="51"/>
      <c r="P44" s="22"/>
    </row>
    <row r="45" spans="2:16" ht="15" customHeight="1" thickTop="1">
      <c r="B45" s="570" t="str">
        <f>IF(E43="","",IF('2. Sample Data Input'!D7="","TOF PFASs: Input of sample TOF data required to identify Excess Organic Fluorine!",IF(E41="Error","Error - Input Sample TOF less than TOPs-predicted TOF.","")))</f>
        <v/>
      </c>
      <c r="C45" s="571"/>
      <c r="D45" s="571"/>
      <c r="E45" s="571"/>
      <c r="F45" s="571"/>
      <c r="G45" s="571"/>
      <c r="H45" s="51"/>
      <c r="I45" s="51"/>
      <c r="J45" s="51"/>
      <c r="K45" s="28"/>
    </row>
    <row r="46" spans="2:16" ht="15" customHeight="1">
      <c r="B46" s="570" t="str">
        <f>IF(G43="","",IF(G43&gt;1,K46,K47))</f>
        <v/>
      </c>
      <c r="C46" s="571"/>
      <c r="D46" s="571"/>
      <c r="E46" s="571"/>
      <c r="F46" s="571"/>
      <c r="G46" s="571"/>
      <c r="J46" s="51"/>
      <c r="K46" s="142" t="s">
        <v>84</v>
      </c>
    </row>
    <row r="47" spans="2:16" ht="15" customHeight="1">
      <c r="B47" s="171"/>
      <c r="C47" s="173"/>
      <c r="D47" s="173"/>
      <c r="E47" s="173"/>
      <c r="F47" s="173"/>
      <c r="G47" s="173"/>
      <c r="J47" s="51"/>
      <c r="K47" s="142" t="s">
        <v>85</v>
      </c>
    </row>
    <row r="48" spans="2:16" ht="15" customHeight="1">
      <c r="B48" s="58" t="s">
        <v>88</v>
      </c>
      <c r="C48" s="196"/>
      <c r="D48" s="196"/>
      <c r="E48" s="196"/>
      <c r="F48" s="197"/>
      <c r="G48" s="196"/>
      <c r="J48" s="27"/>
      <c r="O48" s="20"/>
    </row>
    <row r="49" spans="2:15" ht="34.15" customHeight="1">
      <c r="B49" s="568" t="s">
        <v>313</v>
      </c>
      <c r="C49" s="565"/>
      <c r="D49" s="565"/>
      <c r="E49" s="565"/>
      <c r="F49" s="565"/>
      <c r="G49" s="565"/>
      <c r="H49" s="563"/>
      <c r="I49" s="563"/>
      <c r="J49" s="27"/>
      <c r="O49" s="20"/>
    </row>
    <row r="50" spans="2:15" ht="15" customHeight="1">
      <c r="B50" s="171"/>
      <c r="C50" s="173"/>
      <c r="D50" s="173"/>
      <c r="E50" s="173"/>
      <c r="F50" s="173"/>
      <c r="G50" s="173"/>
      <c r="J50" s="51"/>
      <c r="K50" s="142"/>
    </row>
    <row r="51" spans="2:15" ht="18" customHeight="1">
      <c r="B51" s="25" t="s">
        <v>0</v>
      </c>
      <c r="C51" s="198"/>
      <c r="D51" s="198"/>
      <c r="E51" s="198"/>
      <c r="F51" s="198"/>
      <c r="G51" s="198"/>
      <c r="H51" s="51"/>
      <c r="I51" s="51"/>
      <c r="K51" s="20"/>
      <c r="L51" s="40"/>
    </row>
    <row r="52" spans="2:15" ht="34.15" customHeight="1">
      <c r="B52" s="577" t="s">
        <v>114</v>
      </c>
      <c r="C52" s="565"/>
      <c r="D52" s="565"/>
      <c r="E52" s="565"/>
      <c r="F52" s="565"/>
      <c r="G52" s="565"/>
      <c r="H52" s="563"/>
      <c r="I52" s="563"/>
      <c r="K52" s="142"/>
      <c r="L52" s="40"/>
    </row>
    <row r="53" spans="2:15" ht="34.15" customHeight="1">
      <c r="B53" s="568" t="s">
        <v>289</v>
      </c>
      <c r="C53" s="563"/>
      <c r="D53" s="563"/>
      <c r="E53" s="563"/>
      <c r="F53" s="563"/>
      <c r="G53" s="563"/>
      <c r="H53" s="563"/>
      <c r="I53" s="563"/>
      <c r="J53" s="27"/>
      <c r="K53" s="20"/>
      <c r="O53" s="20"/>
    </row>
    <row r="54" spans="2:15" ht="30" customHeight="1">
      <c r="B54" s="568" t="s">
        <v>290</v>
      </c>
      <c r="C54" s="565"/>
      <c r="D54" s="565"/>
      <c r="E54" s="565"/>
      <c r="F54" s="565"/>
      <c r="G54" s="565"/>
      <c r="H54" s="563"/>
      <c r="I54" s="563"/>
      <c r="J54" s="27"/>
      <c r="K54" s="20"/>
      <c r="O54" s="20"/>
    </row>
    <row r="55" spans="2:15" ht="16.149999999999999" customHeight="1">
      <c r="B55" s="568" t="s">
        <v>303</v>
      </c>
      <c r="C55" s="565"/>
      <c r="D55" s="565"/>
      <c r="E55" s="565"/>
      <c r="F55" s="565"/>
      <c r="G55" s="565"/>
      <c r="H55" s="563"/>
      <c r="I55" s="563"/>
      <c r="J55" s="27"/>
      <c r="K55" s="20"/>
      <c r="O55" s="20"/>
    </row>
    <row r="56" spans="2:15" ht="50.65" customHeight="1">
      <c r="B56" s="568" t="s">
        <v>304</v>
      </c>
      <c r="C56" s="565"/>
      <c r="D56" s="565"/>
      <c r="E56" s="565"/>
      <c r="F56" s="565"/>
      <c r="G56" s="565"/>
      <c r="H56" s="563"/>
      <c r="I56" s="563"/>
      <c r="J56" s="27"/>
      <c r="K56" s="143"/>
      <c r="O56" s="20"/>
    </row>
    <row r="57" spans="2:15" ht="34.15" customHeight="1">
      <c r="B57" s="568" t="s">
        <v>305</v>
      </c>
      <c r="C57" s="565"/>
      <c r="D57" s="565"/>
      <c r="E57" s="565"/>
      <c r="F57" s="565"/>
      <c r="G57" s="565"/>
      <c r="H57" s="563"/>
      <c r="I57" s="563"/>
      <c r="J57" s="27"/>
      <c r="K57" s="20"/>
      <c r="O57" s="20"/>
    </row>
    <row r="58" spans="2:15" ht="31.15" customHeight="1">
      <c r="B58" s="568" t="s">
        <v>308</v>
      </c>
      <c r="C58" s="563"/>
      <c r="D58" s="563"/>
      <c r="E58" s="563"/>
      <c r="F58" s="563"/>
      <c r="G58" s="563"/>
      <c r="H58" s="563"/>
      <c r="I58" s="563"/>
      <c r="J58" s="27"/>
      <c r="K58" s="20"/>
      <c r="O58" s="20"/>
    </row>
    <row r="59" spans="2:15" ht="30" customHeight="1">
      <c r="B59" s="568" t="s">
        <v>309</v>
      </c>
      <c r="C59" s="563"/>
      <c r="D59" s="563"/>
      <c r="E59" s="563"/>
      <c r="F59" s="563"/>
      <c r="G59" s="563"/>
      <c r="H59" s="563"/>
      <c r="I59" s="563"/>
      <c r="J59" s="27"/>
      <c r="K59" s="20"/>
      <c r="O59" s="20"/>
    </row>
    <row r="60" spans="2:15" ht="80.650000000000006" customHeight="1">
      <c r="B60" s="569" t="s">
        <v>291</v>
      </c>
      <c r="C60" s="569"/>
      <c r="D60" s="569"/>
      <c r="E60" s="569"/>
      <c r="F60" s="569"/>
      <c r="G60" s="569"/>
      <c r="H60" s="569"/>
      <c r="I60" s="569"/>
      <c r="J60" s="27"/>
      <c r="K60" s="20"/>
      <c r="O60" s="20"/>
    </row>
    <row r="61" spans="2:15" ht="15" customHeight="1">
      <c r="B61" s="569"/>
      <c r="C61" s="569"/>
      <c r="D61" s="569"/>
      <c r="E61" s="569"/>
      <c r="F61" s="569"/>
      <c r="G61" s="569"/>
      <c r="H61" s="569"/>
      <c r="I61" s="569"/>
      <c r="J61" s="27"/>
      <c r="O61" s="20"/>
    </row>
    <row r="64" spans="2:15" ht="40.15" customHeight="1">
      <c r="J64" s="27"/>
      <c r="O64" s="20"/>
    </row>
    <row r="65" spans="10:15" ht="15" customHeight="1">
      <c r="J65" s="27"/>
      <c r="O65" s="20"/>
    </row>
    <row r="66" spans="10:15" ht="15" customHeight="1">
      <c r="J66" s="27"/>
      <c r="O66" s="20"/>
    </row>
    <row r="67" spans="10:15" ht="40.15" customHeight="1">
      <c r="J67" s="51"/>
    </row>
    <row r="68" spans="10:15" ht="15" customHeight="1">
      <c r="J68" s="20"/>
      <c r="O68" s="20"/>
    </row>
    <row r="69" spans="10:15" ht="5.25" customHeight="1">
      <c r="J69" s="20"/>
      <c r="O69" s="20"/>
    </row>
    <row r="70" spans="10:15" ht="15" customHeight="1">
      <c r="J70" s="20"/>
      <c r="O70" s="20"/>
    </row>
    <row r="71" spans="10:15" ht="5.25" customHeight="1">
      <c r="J71" s="20"/>
      <c r="O71" s="20"/>
    </row>
    <row r="72" spans="10:15" ht="15" customHeight="1">
      <c r="J72" s="20"/>
      <c r="O72" s="20"/>
    </row>
    <row r="73" spans="10:15" ht="5.25" customHeight="1">
      <c r="J73" s="20"/>
    </row>
    <row r="74" spans="10:15">
      <c r="J74" s="20"/>
    </row>
    <row r="75" spans="10:15">
      <c r="J75" s="20"/>
      <c r="O75" s="20"/>
    </row>
    <row r="76" spans="10:15" ht="5.25" customHeight="1">
      <c r="J76" s="20"/>
      <c r="O76" s="20"/>
    </row>
    <row r="77" spans="10:15" ht="19.149999999999999" customHeight="1">
      <c r="J77" s="20"/>
      <c r="L77" s="40"/>
      <c r="O77" s="20"/>
    </row>
    <row r="78" spans="10:15" ht="5.25" customHeight="1">
      <c r="K78" s="40"/>
      <c r="L78" s="40"/>
    </row>
    <row r="79" spans="10:15" ht="17.25" customHeight="1">
      <c r="K79" s="40"/>
      <c r="L79" s="40"/>
    </row>
    <row r="80" spans="10:15" ht="5.25" customHeight="1">
      <c r="K80" s="40"/>
      <c r="L80" s="40"/>
    </row>
    <row r="81" spans="4:15" ht="5.25" customHeight="1">
      <c r="K81" s="40"/>
      <c r="L81" s="40"/>
    </row>
    <row r="82" spans="4:15">
      <c r="K82" s="40"/>
      <c r="L82" s="40"/>
    </row>
    <row r="83" spans="4:15" ht="5.25" customHeight="1">
      <c r="K83" s="40"/>
    </row>
    <row r="85" spans="4:15" ht="15" customHeight="1">
      <c r="J85" s="27"/>
      <c r="O85" s="20"/>
    </row>
    <row r="86" spans="4:15" ht="15" customHeight="1">
      <c r="D86" s="38"/>
      <c r="E86" s="38"/>
      <c r="G86" s="38"/>
      <c r="J86" s="27"/>
      <c r="O86" s="20"/>
    </row>
    <row r="87" spans="4:15" ht="5.25" customHeight="1">
      <c r="D87" s="38"/>
      <c r="E87" s="38"/>
      <c r="G87" s="38"/>
      <c r="J87" s="27"/>
      <c r="O87" s="20"/>
    </row>
    <row r="88" spans="4:15" ht="15" customHeight="1">
      <c r="D88" s="38"/>
      <c r="E88" s="38"/>
      <c r="G88" s="38"/>
      <c r="J88" s="27"/>
      <c r="O88" s="20"/>
    </row>
    <row r="89" spans="4:15" ht="5.25" customHeight="1">
      <c r="D89" s="38"/>
      <c r="E89" s="38"/>
      <c r="G89" s="38"/>
      <c r="J89" s="27"/>
      <c r="O89" s="20"/>
    </row>
    <row r="90" spans="4:15" ht="15" customHeight="1">
      <c r="D90" s="38"/>
      <c r="E90" s="38"/>
      <c r="G90" s="38"/>
      <c r="J90" s="27"/>
      <c r="O90" s="20"/>
    </row>
    <row r="91" spans="4:15" ht="15" customHeight="1">
      <c r="D91" s="38"/>
      <c r="E91" s="38"/>
      <c r="G91" s="38"/>
    </row>
    <row r="92" spans="4:15" ht="5.25" customHeight="1">
      <c r="D92" s="38"/>
      <c r="E92" s="38"/>
      <c r="G92" s="38"/>
    </row>
    <row r="93" spans="4:15" ht="17.25" customHeight="1">
      <c r="D93" s="38"/>
      <c r="E93" s="38"/>
      <c r="G93" s="38"/>
    </row>
    <row r="94" spans="4:15" ht="5.25" customHeight="1">
      <c r="D94" s="38"/>
      <c r="E94" s="38"/>
      <c r="G94" s="38"/>
    </row>
    <row r="95" spans="4:15" ht="5.25" customHeight="1">
      <c r="D95" s="38"/>
      <c r="E95" s="38"/>
      <c r="G95" s="38"/>
    </row>
    <row r="96" spans="4:15">
      <c r="D96" s="38"/>
      <c r="E96" s="38"/>
      <c r="G96" s="38"/>
      <c r="J96" s="20"/>
      <c r="M96" s="20"/>
      <c r="N96" s="20"/>
      <c r="O96" s="20"/>
    </row>
    <row r="97" spans="2:12" s="40" customFormat="1" ht="27.75" customHeight="1">
      <c r="B97" s="20"/>
      <c r="C97" s="19"/>
      <c r="D97" s="38"/>
      <c r="E97" s="38"/>
      <c r="F97" s="53"/>
      <c r="G97" s="38"/>
      <c r="H97" s="38"/>
      <c r="I97" s="38"/>
      <c r="J97" s="47"/>
      <c r="K97" s="22"/>
      <c r="L97" s="22"/>
    </row>
    <row r="98" spans="2:12" s="40" customFormat="1" ht="15" customHeight="1">
      <c r="B98" s="20"/>
      <c r="C98" s="19"/>
      <c r="D98" s="38"/>
      <c r="E98" s="38"/>
      <c r="F98" s="53"/>
      <c r="G98" s="38"/>
      <c r="H98" s="38"/>
      <c r="I98" s="38"/>
      <c r="J98" s="47"/>
      <c r="K98" s="22"/>
      <c r="L98" s="22"/>
    </row>
    <row r="99" spans="2:12" s="40" customFormat="1" ht="45" customHeight="1">
      <c r="B99" s="20"/>
      <c r="C99" s="19"/>
      <c r="D99" s="38"/>
      <c r="E99" s="38"/>
      <c r="F99" s="53"/>
      <c r="G99" s="38"/>
      <c r="H99" s="38"/>
      <c r="I99" s="38"/>
      <c r="J99" s="46"/>
      <c r="K99" s="22"/>
      <c r="L99" s="22"/>
    </row>
    <row r="100" spans="2:12" s="40" customFormat="1" ht="30" customHeight="1">
      <c r="B100" s="20"/>
      <c r="C100" s="19"/>
      <c r="D100" s="38"/>
      <c r="E100" s="38"/>
      <c r="F100" s="53"/>
      <c r="G100" s="38"/>
      <c r="H100" s="38"/>
      <c r="I100" s="38"/>
      <c r="J100" s="47"/>
      <c r="K100" s="22"/>
      <c r="L100" s="22"/>
    </row>
    <row r="101" spans="2:12" s="40" customFormat="1" ht="15" customHeight="1">
      <c r="B101" s="20"/>
      <c r="C101" s="19"/>
      <c r="D101" s="38"/>
      <c r="E101" s="38"/>
      <c r="F101" s="53"/>
      <c r="G101" s="38"/>
      <c r="H101" s="38"/>
      <c r="I101" s="38"/>
      <c r="J101" s="46"/>
      <c r="K101" s="22"/>
      <c r="L101" s="22"/>
    </row>
    <row r="102" spans="2:12" s="40" customFormat="1" ht="15" customHeight="1">
      <c r="B102" s="20"/>
      <c r="C102" s="19"/>
      <c r="D102" s="38"/>
      <c r="E102" s="38"/>
      <c r="F102" s="53"/>
      <c r="G102" s="38"/>
      <c r="H102" s="38"/>
      <c r="I102" s="38"/>
      <c r="J102" s="46"/>
      <c r="K102" s="22"/>
      <c r="L102" s="22"/>
    </row>
    <row r="103" spans="2:12" s="40" customFormat="1" ht="30" customHeight="1">
      <c r="B103" s="20"/>
      <c r="C103" s="19"/>
      <c r="D103" s="38"/>
      <c r="E103" s="38"/>
      <c r="F103" s="53"/>
      <c r="G103" s="38"/>
      <c r="H103" s="38"/>
      <c r="I103" s="38"/>
      <c r="J103" s="46"/>
      <c r="K103" s="22"/>
      <c r="L103" s="22"/>
    </row>
    <row r="104" spans="2:12" s="40" customFormat="1" ht="15" customHeight="1">
      <c r="B104" s="20"/>
      <c r="C104" s="19"/>
      <c r="D104" s="38"/>
      <c r="E104" s="38"/>
      <c r="F104" s="53"/>
      <c r="G104" s="38"/>
      <c r="H104" s="38"/>
      <c r="I104" s="38"/>
      <c r="J104" s="45"/>
      <c r="K104" s="22"/>
      <c r="L104" s="22"/>
    </row>
    <row r="105" spans="2:12" s="40" customFormat="1" ht="90" customHeight="1">
      <c r="B105" s="20"/>
      <c r="C105" s="19"/>
      <c r="D105" s="38"/>
      <c r="E105" s="38"/>
      <c r="F105" s="53"/>
      <c r="G105" s="38"/>
      <c r="H105" s="38"/>
      <c r="I105" s="38"/>
      <c r="J105" s="44"/>
      <c r="K105" s="22"/>
      <c r="L105" s="22"/>
    </row>
    <row r="106" spans="2:12">
      <c r="D106" s="38"/>
      <c r="E106" s="38"/>
      <c r="G106" s="38"/>
      <c r="H106" s="38"/>
      <c r="I106" s="38"/>
    </row>
    <row r="107" spans="2:12">
      <c r="D107" s="38"/>
      <c r="E107" s="38"/>
      <c r="G107" s="38"/>
      <c r="H107" s="38"/>
      <c r="I107" s="38"/>
    </row>
    <row r="108" spans="2:12">
      <c r="D108" s="38"/>
      <c r="E108" s="38"/>
      <c r="G108" s="38"/>
      <c r="H108" s="38"/>
      <c r="I108" s="38"/>
    </row>
    <row r="109" spans="2:12">
      <c r="D109" s="38"/>
      <c r="E109" s="38"/>
      <c r="G109" s="38"/>
      <c r="H109" s="38"/>
      <c r="I109" s="38"/>
    </row>
    <row r="110" spans="2:12">
      <c r="D110" s="38"/>
      <c r="E110" s="38"/>
      <c r="G110" s="38"/>
      <c r="H110" s="38"/>
      <c r="I110" s="38"/>
    </row>
    <row r="111" spans="2:12">
      <c r="D111" s="38"/>
      <c r="E111" s="38"/>
      <c r="G111" s="38"/>
      <c r="H111" s="38"/>
      <c r="I111" s="38"/>
    </row>
    <row r="112" spans="2:12">
      <c r="D112" s="38"/>
      <c r="E112" s="38"/>
      <c r="G112" s="38"/>
      <c r="H112" s="38"/>
      <c r="I112" s="38"/>
    </row>
    <row r="113" spans="4:9">
      <c r="D113" s="38"/>
      <c r="E113" s="38"/>
      <c r="G113" s="38"/>
      <c r="H113" s="38"/>
      <c r="I113" s="38"/>
    </row>
    <row r="114" spans="4:9">
      <c r="D114" s="38"/>
      <c r="E114" s="38"/>
      <c r="G114" s="38"/>
      <c r="H114" s="38"/>
      <c r="I114" s="38"/>
    </row>
    <row r="115" spans="4:9">
      <c r="D115" s="38"/>
      <c r="E115" s="38"/>
      <c r="G115" s="38"/>
      <c r="H115" s="38"/>
      <c r="I115" s="38"/>
    </row>
    <row r="116" spans="4:9">
      <c r="D116" s="38"/>
      <c r="E116" s="38"/>
      <c r="G116" s="38"/>
      <c r="H116" s="38"/>
      <c r="I116" s="38"/>
    </row>
    <row r="117" spans="4:9">
      <c r="D117" s="38"/>
      <c r="E117" s="38"/>
      <c r="G117" s="38"/>
      <c r="H117" s="38"/>
      <c r="I117" s="38"/>
    </row>
    <row r="118" spans="4:9">
      <c r="D118" s="38"/>
      <c r="E118" s="38"/>
      <c r="G118" s="38"/>
      <c r="H118" s="38"/>
      <c r="I118" s="38"/>
    </row>
    <row r="119" spans="4:9">
      <c r="D119" s="38"/>
      <c r="E119" s="38"/>
      <c r="G119" s="38"/>
      <c r="H119" s="38"/>
      <c r="I119" s="38"/>
    </row>
    <row r="120" spans="4:9">
      <c r="D120" s="38"/>
      <c r="E120" s="38"/>
      <c r="G120" s="38"/>
      <c r="H120" s="38"/>
      <c r="I120" s="38"/>
    </row>
    <row r="121" spans="4:9">
      <c r="D121" s="38"/>
      <c r="E121" s="38"/>
      <c r="G121" s="38"/>
      <c r="H121" s="38"/>
      <c r="I121" s="38"/>
    </row>
    <row r="122" spans="4:9">
      <c r="D122" s="38"/>
      <c r="E122" s="38"/>
      <c r="G122" s="38"/>
      <c r="H122" s="38"/>
      <c r="I122" s="38"/>
    </row>
    <row r="123" spans="4:9">
      <c r="D123" s="38"/>
      <c r="E123" s="38"/>
      <c r="G123" s="38"/>
      <c r="H123" s="38"/>
      <c r="I123" s="38"/>
    </row>
    <row r="124" spans="4:9">
      <c r="D124" s="38"/>
      <c r="E124" s="38"/>
      <c r="G124" s="38"/>
      <c r="H124" s="38"/>
      <c r="I124" s="38"/>
    </row>
    <row r="125" spans="4:9">
      <c r="D125" s="38"/>
      <c r="E125" s="38"/>
      <c r="G125" s="38"/>
      <c r="H125" s="38"/>
      <c r="I125" s="38"/>
    </row>
    <row r="126" spans="4:9">
      <c r="D126" s="38"/>
      <c r="E126" s="38"/>
      <c r="G126" s="38"/>
      <c r="H126" s="38"/>
      <c r="I126" s="38"/>
    </row>
    <row r="127" spans="4:9">
      <c r="D127" s="38"/>
      <c r="E127" s="38"/>
      <c r="G127" s="38"/>
      <c r="H127" s="38"/>
      <c r="I127" s="38"/>
    </row>
    <row r="128" spans="4:9">
      <c r="D128" s="38"/>
      <c r="E128" s="38"/>
      <c r="G128" s="38"/>
      <c r="H128" s="38"/>
      <c r="I128" s="38"/>
    </row>
    <row r="129" spans="4:10">
      <c r="D129" s="38"/>
      <c r="E129" s="38"/>
      <c r="G129" s="38"/>
      <c r="H129" s="38"/>
      <c r="I129" s="38"/>
    </row>
    <row r="130" spans="4:10">
      <c r="D130" s="38"/>
      <c r="E130" s="38"/>
      <c r="G130" s="38"/>
      <c r="H130" s="38"/>
      <c r="I130" s="38"/>
    </row>
    <row r="131" spans="4:10">
      <c r="D131" s="38"/>
      <c r="E131" s="38"/>
      <c r="G131" s="38"/>
      <c r="H131" s="38"/>
      <c r="I131" s="38"/>
    </row>
    <row r="132" spans="4:10">
      <c r="D132" s="38"/>
      <c r="E132" s="38"/>
      <c r="G132" s="38"/>
      <c r="H132" s="38"/>
      <c r="I132" s="38"/>
    </row>
    <row r="133" spans="4:10">
      <c r="D133" s="38"/>
      <c r="E133" s="38"/>
      <c r="G133" s="38"/>
      <c r="H133" s="38"/>
      <c r="I133" s="38"/>
    </row>
    <row r="134" spans="4:10">
      <c r="D134" s="38"/>
      <c r="E134" s="38"/>
      <c r="G134" s="38"/>
      <c r="H134" s="38"/>
      <c r="I134" s="38"/>
    </row>
    <row r="135" spans="4:10">
      <c r="D135" s="38"/>
      <c r="E135" s="38"/>
      <c r="G135" s="38"/>
      <c r="H135" s="38"/>
      <c r="I135" s="38"/>
    </row>
    <row r="136" spans="4:10">
      <c r="D136" s="38"/>
      <c r="E136" s="38"/>
      <c r="G136" s="38"/>
      <c r="H136" s="38"/>
      <c r="I136" s="38"/>
    </row>
    <row r="137" spans="4:10">
      <c r="D137" s="38"/>
      <c r="E137" s="38"/>
      <c r="G137" s="38"/>
      <c r="H137" s="38"/>
      <c r="I137" s="38"/>
    </row>
    <row r="138" spans="4:10">
      <c r="H138" s="38"/>
      <c r="I138" s="38"/>
    </row>
    <row r="139" spans="4:10">
      <c r="H139" s="38"/>
      <c r="I139" s="38"/>
    </row>
    <row r="140" spans="4:10">
      <c r="H140" s="38"/>
      <c r="I140" s="38"/>
    </row>
    <row r="141" spans="4:10">
      <c r="H141" s="38"/>
      <c r="I141" s="38"/>
    </row>
    <row r="142" spans="4:10">
      <c r="H142" s="38"/>
      <c r="I142" s="38"/>
    </row>
    <row r="143" spans="4:10">
      <c r="H143" s="38"/>
      <c r="I143" s="38"/>
    </row>
    <row r="144" spans="4:10">
      <c r="H144" s="38"/>
      <c r="I144" s="38"/>
      <c r="J144" s="52"/>
    </row>
    <row r="145" spans="8:10">
      <c r="H145" s="38"/>
      <c r="I145" s="38"/>
      <c r="J145" s="52"/>
    </row>
    <row r="146" spans="8:10">
      <c r="H146" s="38"/>
      <c r="I146" s="38"/>
      <c r="J146" s="52"/>
    </row>
    <row r="147" spans="8:10">
      <c r="H147" s="38"/>
      <c r="I147" s="38"/>
      <c r="J147" s="52"/>
    </row>
    <row r="148" spans="8:10">
      <c r="H148" s="38"/>
      <c r="I148" s="38"/>
      <c r="J148" s="52"/>
    </row>
    <row r="149" spans="8:10">
      <c r="J149" s="52"/>
    </row>
    <row r="150" spans="8:10">
      <c r="J150" s="52"/>
    </row>
    <row r="151" spans="8:10">
      <c r="J151" s="52"/>
    </row>
    <row r="152" spans="8:10">
      <c r="J152" s="52"/>
    </row>
    <row r="153" spans="8:10">
      <c r="J153" s="52"/>
    </row>
    <row r="154" spans="8:10">
      <c r="J154" s="52"/>
    </row>
    <row r="155" spans="8:10">
      <c r="J155" s="52"/>
    </row>
    <row r="156" spans="8:10">
      <c r="J156" s="52"/>
    </row>
    <row r="157" spans="8:10">
      <c r="J157" s="52"/>
    </row>
    <row r="158" spans="8:10">
      <c r="J158" s="52"/>
    </row>
    <row r="159" spans="8:10">
      <c r="J159" s="52"/>
    </row>
    <row r="160" spans="8:10">
      <c r="J160" s="52"/>
    </row>
    <row r="161" spans="10:10">
      <c r="J161" s="52"/>
    </row>
    <row r="162" spans="10:10">
      <c r="J162" s="52"/>
    </row>
    <row r="163" spans="10:10">
      <c r="J163" s="52"/>
    </row>
    <row r="164" spans="10:10">
      <c r="J164" s="52"/>
    </row>
    <row r="165" spans="10:10">
      <c r="J165" s="52"/>
    </row>
    <row r="166" spans="10:10">
      <c r="J166" s="52"/>
    </row>
    <row r="167" spans="10:10">
      <c r="J167" s="52"/>
    </row>
    <row r="168" spans="10:10">
      <c r="J168" s="52"/>
    </row>
    <row r="169" spans="10:10">
      <c r="J169" s="52"/>
    </row>
    <row r="170" spans="10:10">
      <c r="J170" s="52"/>
    </row>
    <row r="171" spans="10:10">
      <c r="J171" s="52"/>
    </row>
    <row r="172" spans="10:10">
      <c r="J172" s="52"/>
    </row>
    <row r="173" spans="10:10">
      <c r="J173" s="52"/>
    </row>
    <row r="174" spans="10:10">
      <c r="J174" s="52"/>
    </row>
    <row r="175" spans="10:10">
      <c r="J175" s="52"/>
    </row>
    <row r="176" spans="10:10">
      <c r="J176" s="52"/>
    </row>
    <row r="177" spans="10:10">
      <c r="J177" s="52"/>
    </row>
    <row r="178" spans="10:10">
      <c r="J178" s="52"/>
    </row>
    <row r="179" spans="10:10">
      <c r="J179" s="52"/>
    </row>
    <row r="180" spans="10:10">
      <c r="J180" s="52"/>
    </row>
    <row r="181" spans="10:10">
      <c r="J181" s="52"/>
    </row>
    <row r="182" spans="10:10">
      <c r="J182" s="52"/>
    </row>
    <row r="183" spans="10:10">
      <c r="J183" s="52"/>
    </row>
    <row r="184" spans="10:10">
      <c r="J184" s="52"/>
    </row>
    <row r="185" spans="10:10">
      <c r="J185" s="52"/>
    </row>
    <row r="186" spans="10:10">
      <c r="J186" s="52"/>
    </row>
    <row r="187" spans="10:10">
      <c r="J187" s="52"/>
    </row>
    <row r="188" spans="10:10">
      <c r="J188" s="52"/>
    </row>
    <row r="189" spans="10:10">
      <c r="J189" s="52"/>
    </row>
    <row r="190" spans="10:10">
      <c r="J190" s="52"/>
    </row>
    <row r="191" spans="10:10">
      <c r="J191" s="52"/>
    </row>
    <row r="192" spans="10:10">
      <c r="J192" s="52"/>
    </row>
    <row r="193" spans="10:10">
      <c r="J193" s="52"/>
    </row>
    <row r="194" spans="10:10">
      <c r="J194" s="52"/>
    </row>
    <row r="195" spans="10:10">
      <c r="J195" s="52"/>
    </row>
  </sheetData>
  <sheetProtection algorithmName="SHA-512" hashValue="NCvTLwYev3QtVLxSzmVkAQII8dwme/PwGTlvQhlpoxVvxW1I49Z5cJSyKUoTWGHG+vAjyhs6bDGircICK0tflA==" saltValue="YbTGwxIXsXs7z6qzDfZDhA==" spinCount="100000" sheet="1" objects="1" scenarios="1"/>
  <mergeCells count="24">
    <mergeCell ref="C2:I2"/>
    <mergeCell ref="B49:I49"/>
    <mergeCell ref="B52:I52"/>
    <mergeCell ref="B53:I53"/>
    <mergeCell ref="B56:I56"/>
    <mergeCell ref="D19:E19"/>
    <mergeCell ref="D21:E21"/>
    <mergeCell ref="B45:G45"/>
    <mergeCell ref="C8:I8"/>
    <mergeCell ref="C9:I9"/>
    <mergeCell ref="C10:I10"/>
    <mergeCell ref="C12:I12"/>
    <mergeCell ref="B54:I54"/>
    <mergeCell ref="C11:I11"/>
    <mergeCell ref="C13:I13"/>
    <mergeCell ref="C14:I14"/>
    <mergeCell ref="D18:E18"/>
    <mergeCell ref="B57:I57"/>
    <mergeCell ref="B55:I55"/>
    <mergeCell ref="B60:I61"/>
    <mergeCell ref="B58:I58"/>
    <mergeCell ref="B59:I59"/>
    <mergeCell ref="B46:G46"/>
    <mergeCell ref="E27:G27"/>
  </mergeCells>
  <dataValidations count="4">
    <dataValidation type="list" allowBlank="1" showInputMessage="1" showErrorMessage="1" sqref="F25" xr:uid="{9F8073AC-EA58-4657-934B-7BC0EE7022B1}">
      <formula1>$K$13:$K$15</formula1>
    </dataValidation>
    <dataValidation type="list" allowBlank="1" showInputMessage="1" showErrorMessage="1" sqref="D24" xr:uid="{1B88244A-D409-4E64-A5CD-5FBC1248B0C6}">
      <formula1>$K$20:$K$21</formula1>
    </dataValidation>
    <dataValidation type="list" allowBlank="1" showInputMessage="1" showErrorMessage="1" sqref="D29 E28:F30" xr:uid="{7587FEE8-D823-49D5-A358-8A0C1F4073FB}">
      <formula1>$K$17:$K$21</formula1>
    </dataValidation>
    <dataValidation type="list" allowBlank="1" showInputMessage="1" showErrorMessage="1" sqref="D27" xr:uid="{56F47380-3C40-446B-9116-5575D5EE1C22}">
      <formula1>$K$23:$K$25</formula1>
    </dataValidation>
  </dataValidations>
  <pageMargins left="0.7" right="0.7" top="0.75" bottom="0.75" header="0.3" footer="0.3"/>
  <pageSetup scale="80" orientation="portrait" r:id="rId1"/>
  <headerFooter>
    <oddFooter>&amp;R&amp;F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042B-4D3B-4BDB-A0FC-FC0D428A3825}">
  <sheetPr>
    <tabColor theme="9" tint="0.79998168889431442"/>
    <pageSetUpPr fitToPage="1"/>
  </sheetPr>
  <dimension ref="B1:K39"/>
  <sheetViews>
    <sheetView showGridLines="0" showRowColHeaders="0" workbookViewId="0">
      <selection activeCell="C1" sqref="C1"/>
    </sheetView>
  </sheetViews>
  <sheetFormatPr defaultRowHeight="12.75"/>
  <cols>
    <col min="2" max="2" width="14.59765625" customWidth="1"/>
    <col min="3" max="3" width="55.59765625" customWidth="1"/>
    <col min="4" max="5" width="15.59765625" customWidth="1"/>
    <col min="6" max="6" width="12.59765625" customWidth="1"/>
    <col min="8" max="8" width="14.3984375" style="120" hidden="1" customWidth="1"/>
    <col min="9" max="9" width="22.3984375" customWidth="1"/>
    <col min="10" max="10" width="12.59765625" customWidth="1"/>
    <col min="11" max="11" width="12.59765625" style="1" customWidth="1"/>
  </cols>
  <sheetData>
    <row r="1" spans="2:11" ht="15.75">
      <c r="B1" s="296" t="s">
        <v>61</v>
      </c>
      <c r="C1" s="297" t="str">
        <f>IF('1. Total PFAS Calculator'!D18="","",'1. Total PFAS Calculator'!D18)</f>
        <v/>
      </c>
    </row>
    <row r="2" spans="2:11" ht="15.75">
      <c r="B2" s="296" t="s">
        <v>58</v>
      </c>
      <c r="C2" s="297" t="str">
        <f>IF('1. Total PFAS Calculator'!D19="","",'1. Total PFAS Calculator'!D19)</f>
        <v/>
      </c>
    </row>
    <row r="3" spans="2:11" ht="15.75">
      <c r="B3" s="296" t="s">
        <v>66</v>
      </c>
      <c r="C3" s="297" t="str">
        <f>IF('1. Total PFAS Calculator'!D20="","",'1. Total PFAS Calculator'!D20)</f>
        <v/>
      </c>
    </row>
    <row r="5" spans="2:11" s="7" customFormat="1" ht="27" customHeight="1">
      <c r="B5" s="582" t="s">
        <v>74</v>
      </c>
      <c r="C5" s="582"/>
      <c r="D5" s="582"/>
      <c r="E5" s="582"/>
      <c r="H5" s="125"/>
      <c r="K5" s="126"/>
    </row>
    <row r="6" spans="2:11" ht="13.15" thickBot="1"/>
    <row r="7" spans="2:11" ht="16.149999999999999" thickTop="1">
      <c r="B7" s="587" t="str">
        <f>IF('1. Total PFAS Calculator'!D24='1. Total PFAS Calculator'!K20,H12,H13)</f>
        <v>Input Extractable Organic Fluorine Concentration (µg/Kg):</v>
      </c>
      <c r="C7" s="588"/>
      <c r="D7" s="193"/>
    </row>
    <row r="8" spans="2:11" ht="16.149999999999999" thickBot="1">
      <c r="B8" s="589" t="s">
        <v>101</v>
      </c>
      <c r="C8" s="590"/>
      <c r="D8" s="194">
        <v>1.73</v>
      </c>
    </row>
    <row r="9" spans="2:11" ht="13.5" thickTop="1" thickBot="1"/>
    <row r="10" spans="2:11" ht="15.75" thickTop="1" thickBot="1">
      <c r="B10" s="113" t="s">
        <v>69</v>
      </c>
      <c r="D10" s="585" t="s">
        <v>127</v>
      </c>
      <c r="E10" s="586"/>
    </row>
    <row r="11" spans="2:11" s="20" customFormat="1" ht="43.15" customHeight="1" thickTop="1" thickBot="1">
      <c r="B11" s="30" t="s">
        <v>86</v>
      </c>
      <c r="C11" s="31" t="s">
        <v>87</v>
      </c>
      <c r="D11" s="123" t="str">
        <f>IF('1. Total PFAS Calculator'!D24='1. Total PFAS Calculator'!K20,H14,H15)</f>
        <v>Input Pre-TOPs Concentration (µg/Kg)</v>
      </c>
      <c r="E11" s="124" t="str">
        <f>IF('1. Total PFAS Calculator'!D24='1. Total PFAS Calculator'!K20,H16,H17)</f>
        <v>Input Post-TOPs Concentration (µg/Kg)</v>
      </c>
      <c r="F11" s="87"/>
      <c r="H11" s="128" t="s">
        <v>77</v>
      </c>
      <c r="K11" s="22"/>
    </row>
    <row r="12" spans="2:11" s="20" customFormat="1" ht="14.65">
      <c r="B12" s="32" t="s">
        <v>4</v>
      </c>
      <c r="C12" s="33" t="s">
        <v>21</v>
      </c>
      <c r="D12" s="204"/>
      <c r="E12" s="205"/>
      <c r="F12" s="88"/>
      <c r="H12" s="121" t="s">
        <v>94</v>
      </c>
      <c r="J12" s="22"/>
      <c r="K12" s="119"/>
    </row>
    <row r="13" spans="2:11" s="20" customFormat="1" ht="14.65">
      <c r="B13" s="32" t="s">
        <v>6</v>
      </c>
      <c r="C13" s="33" t="s">
        <v>57</v>
      </c>
      <c r="D13" s="206"/>
      <c r="E13" s="207"/>
      <c r="F13" s="53"/>
      <c r="H13" s="121" t="s">
        <v>95</v>
      </c>
      <c r="J13" s="22"/>
      <c r="K13" s="119"/>
    </row>
    <row r="14" spans="2:11" s="20" customFormat="1" ht="14.65">
      <c r="B14" s="34" t="s">
        <v>5</v>
      </c>
      <c r="C14" s="35" t="s">
        <v>22</v>
      </c>
      <c r="D14" s="208"/>
      <c r="E14" s="209"/>
      <c r="F14" s="89"/>
      <c r="H14" s="121" t="s">
        <v>70</v>
      </c>
      <c r="J14" s="22"/>
      <c r="K14" s="22"/>
    </row>
    <row r="15" spans="2:11" s="20" customFormat="1" ht="14.65">
      <c r="B15" s="34" t="s">
        <v>6</v>
      </c>
      <c r="C15" s="48" t="s">
        <v>37</v>
      </c>
      <c r="D15" s="208"/>
      <c r="E15" s="209"/>
      <c r="F15" s="90"/>
      <c r="H15" s="121" t="s">
        <v>71</v>
      </c>
      <c r="J15" s="22"/>
      <c r="K15" s="22"/>
    </row>
    <row r="16" spans="2:11" s="20" customFormat="1" ht="14.65">
      <c r="B16" s="34" t="s">
        <v>7</v>
      </c>
      <c r="C16" s="35" t="s">
        <v>23</v>
      </c>
      <c r="D16" s="208"/>
      <c r="E16" s="210"/>
      <c r="F16" s="53"/>
      <c r="H16" s="121" t="s">
        <v>72</v>
      </c>
      <c r="J16" s="22"/>
      <c r="K16" s="22"/>
    </row>
    <row r="17" spans="2:11" s="20" customFormat="1" ht="15" customHeight="1">
      <c r="B17" s="34" t="s">
        <v>8</v>
      </c>
      <c r="C17" s="35" t="s">
        <v>24</v>
      </c>
      <c r="D17" s="208"/>
      <c r="E17" s="210"/>
      <c r="F17" s="53"/>
      <c r="H17" s="121" t="s">
        <v>73</v>
      </c>
      <c r="J17" s="22"/>
      <c r="K17" s="22"/>
    </row>
    <row r="18" spans="2:11" s="20" customFormat="1" ht="15" customHeight="1">
      <c r="B18" s="34" t="s">
        <v>192</v>
      </c>
      <c r="C18" s="35" t="s">
        <v>228</v>
      </c>
      <c r="D18" s="208"/>
      <c r="E18" s="210"/>
      <c r="F18" s="53"/>
      <c r="H18" s="121"/>
      <c r="J18" s="22"/>
      <c r="K18" s="22"/>
    </row>
    <row r="19" spans="2:11" s="20" customFormat="1" ht="15" customHeight="1">
      <c r="B19" s="34" t="s">
        <v>59</v>
      </c>
      <c r="C19" s="35" t="s">
        <v>38</v>
      </c>
      <c r="D19" s="208"/>
      <c r="E19" s="210"/>
      <c r="F19" s="53"/>
      <c r="H19" s="129" t="s">
        <v>75</v>
      </c>
      <c r="J19" s="22"/>
      <c r="K19" s="119"/>
    </row>
    <row r="20" spans="2:11" s="20" customFormat="1" ht="15" customHeight="1">
      <c r="B20" s="34" t="s">
        <v>9</v>
      </c>
      <c r="C20" s="35" t="s">
        <v>25</v>
      </c>
      <c r="D20" s="211"/>
      <c r="E20" s="210"/>
      <c r="F20" s="91"/>
      <c r="H20" s="129" t="s">
        <v>76</v>
      </c>
      <c r="J20" s="22"/>
      <c r="K20" s="119"/>
    </row>
    <row r="21" spans="2:11" s="20" customFormat="1" ht="15" customHeight="1">
      <c r="B21" s="34" t="s">
        <v>10</v>
      </c>
      <c r="C21" s="35" t="s">
        <v>26</v>
      </c>
      <c r="D21" s="211"/>
      <c r="E21" s="210"/>
      <c r="F21" s="92"/>
      <c r="H21" s="122"/>
      <c r="I21" s="22"/>
      <c r="J21" s="22"/>
      <c r="K21" s="119"/>
    </row>
    <row r="22" spans="2:11" s="20" customFormat="1" ht="15" customHeight="1">
      <c r="B22" s="34" t="s">
        <v>11</v>
      </c>
      <c r="C22" s="35" t="s">
        <v>27</v>
      </c>
      <c r="D22" s="211"/>
      <c r="E22" s="210"/>
      <c r="F22" s="91"/>
      <c r="H22" s="122"/>
      <c r="I22" s="22"/>
      <c r="J22" s="22"/>
      <c r="K22" s="119"/>
    </row>
    <row r="23" spans="2:11" s="20" customFormat="1" ht="15" customHeight="1">
      <c r="B23" s="34" t="s">
        <v>12</v>
      </c>
      <c r="C23" s="35" t="s">
        <v>28</v>
      </c>
      <c r="D23" s="211"/>
      <c r="E23" s="210"/>
      <c r="F23" s="91"/>
      <c r="H23" s="122"/>
      <c r="I23" s="22"/>
      <c r="J23" s="22"/>
      <c r="K23" s="22"/>
    </row>
    <row r="24" spans="2:11" s="20" customFormat="1" ht="15" customHeight="1">
      <c r="B24" s="34" t="s">
        <v>13</v>
      </c>
      <c r="C24" s="35" t="s">
        <v>29</v>
      </c>
      <c r="D24" s="208"/>
      <c r="E24" s="210"/>
      <c r="F24" s="91"/>
      <c r="H24" s="122"/>
      <c r="I24" s="22"/>
      <c r="J24" s="22"/>
      <c r="K24" s="22"/>
    </row>
    <row r="25" spans="2:11" s="20" customFormat="1" ht="15" customHeight="1">
      <c r="B25" s="34" t="s">
        <v>14</v>
      </c>
      <c r="C25" s="35" t="s">
        <v>30</v>
      </c>
      <c r="D25" s="208"/>
      <c r="E25" s="210"/>
      <c r="F25" s="91"/>
      <c r="H25" s="122"/>
      <c r="I25" s="22"/>
      <c r="J25" s="22"/>
      <c r="K25" s="22"/>
    </row>
    <row r="26" spans="2:11" s="20" customFormat="1" ht="15" customHeight="1">
      <c r="B26" s="34" t="s">
        <v>15</v>
      </c>
      <c r="C26" s="35" t="s">
        <v>31</v>
      </c>
      <c r="D26" s="208"/>
      <c r="E26" s="210"/>
      <c r="F26" s="91"/>
      <c r="H26" s="122"/>
      <c r="I26" s="22"/>
      <c r="J26" s="22"/>
      <c r="K26" s="22"/>
    </row>
    <row r="27" spans="2:11" s="20" customFormat="1" ht="15" customHeight="1">
      <c r="B27" s="34" t="s">
        <v>16</v>
      </c>
      <c r="C27" s="35" t="s">
        <v>32</v>
      </c>
      <c r="D27" s="208"/>
      <c r="E27" s="210"/>
      <c r="F27" s="91"/>
      <c r="H27" s="122"/>
      <c r="I27" s="22"/>
      <c r="J27" s="22"/>
      <c r="K27" s="22"/>
    </row>
    <row r="28" spans="2:11" s="20" customFormat="1" ht="15" customHeight="1">
      <c r="B28" s="34" t="s">
        <v>17</v>
      </c>
      <c r="C28" s="35" t="s">
        <v>33</v>
      </c>
      <c r="D28" s="208"/>
      <c r="E28" s="210"/>
      <c r="F28" s="91"/>
      <c r="H28" s="122"/>
      <c r="I28" s="22"/>
      <c r="J28" s="22"/>
      <c r="K28" s="22"/>
    </row>
    <row r="29" spans="2:11" s="20" customFormat="1" ht="15" customHeight="1">
      <c r="B29" s="34" t="s">
        <v>18</v>
      </c>
      <c r="C29" s="35" t="s">
        <v>34</v>
      </c>
      <c r="D29" s="208"/>
      <c r="E29" s="210"/>
      <c r="F29" s="89"/>
      <c r="H29" s="122"/>
      <c r="I29" s="22"/>
      <c r="J29" s="22"/>
      <c r="K29" s="22"/>
    </row>
    <row r="30" spans="2:11" s="20" customFormat="1" ht="15" customHeight="1">
      <c r="B30" s="478" t="s">
        <v>19</v>
      </c>
      <c r="C30" s="479" t="s">
        <v>35</v>
      </c>
      <c r="D30" s="480"/>
      <c r="E30" s="481"/>
      <c r="F30" s="89"/>
      <c r="H30" s="122"/>
      <c r="I30" s="22"/>
      <c r="J30" s="22"/>
      <c r="K30" s="22"/>
    </row>
    <row r="31" spans="2:11" ht="13.5" thickBot="1">
      <c r="B31" s="138" t="s">
        <v>208</v>
      </c>
      <c r="C31" s="139" t="s">
        <v>209</v>
      </c>
      <c r="D31" s="212"/>
      <c r="E31" s="213"/>
    </row>
    <row r="32" spans="2:11" s="20" customFormat="1" ht="13.5" thickBot="1">
      <c r="B32" s="60"/>
      <c r="C32" s="127" t="str">
        <f>IF('1. Total PFAS Calculator'!D24='1. Total PFAS Calculator'!K20,H19,H20)</f>
        <v>Total Post-TOPs PFASs (µg/Kg):</v>
      </c>
      <c r="D32" s="232" t="str">
        <f>IF(SUM(D12:D30)=0,"",SUM(D12:D31))</f>
        <v/>
      </c>
      <c r="E32" s="231" t="str">
        <f>IF(SUM(E12:E30)=0,"",SUM(E12:E31))</f>
        <v/>
      </c>
      <c r="F32" s="93"/>
      <c r="H32" s="122"/>
      <c r="I32" s="22"/>
      <c r="J32" s="22"/>
      <c r="K32" s="22"/>
    </row>
    <row r="33" spans="2:11" s="20" customFormat="1" ht="13.5" thickTop="1">
      <c r="B33" s="236" t="s">
        <v>128</v>
      </c>
      <c r="C33" s="19"/>
      <c r="D33" s="56"/>
      <c r="E33" s="57"/>
      <c r="F33" s="57"/>
      <c r="H33" s="122"/>
      <c r="I33" s="22"/>
      <c r="J33" s="22"/>
      <c r="K33" s="22"/>
    </row>
    <row r="34" spans="2:11" s="40" customFormat="1" ht="34.15" customHeight="1">
      <c r="B34" s="583" t="s">
        <v>318</v>
      </c>
      <c r="C34" s="583"/>
      <c r="D34" s="583"/>
      <c r="E34" s="583"/>
      <c r="F34" s="47"/>
      <c r="K34" s="55"/>
    </row>
    <row r="35" spans="2:11" s="20" customFormat="1" ht="13.15">
      <c r="B35" s="36"/>
      <c r="C35" s="19"/>
      <c r="D35" s="56"/>
      <c r="E35" s="57"/>
      <c r="F35" s="57"/>
      <c r="H35" s="122"/>
      <c r="I35" s="22"/>
      <c r="J35" s="22"/>
      <c r="K35" s="22"/>
    </row>
    <row r="36" spans="2:11" s="20" customFormat="1" ht="13.15">
      <c r="B36" s="39" t="s">
        <v>0</v>
      </c>
      <c r="C36" s="19"/>
      <c r="D36" s="37"/>
      <c r="E36" s="59"/>
      <c r="F36" s="59"/>
      <c r="H36" s="122"/>
      <c r="I36" s="22"/>
      <c r="J36" s="22"/>
      <c r="K36" s="22"/>
    </row>
    <row r="37" spans="2:11" s="40" customFormat="1" ht="60" customHeight="1">
      <c r="B37" s="583" t="s">
        <v>242</v>
      </c>
      <c r="C37" s="584"/>
      <c r="D37" s="584"/>
      <c r="E37" s="584"/>
      <c r="F37" s="46"/>
      <c r="K37" s="55"/>
    </row>
    <row r="38" spans="2:11" ht="30" customHeight="1">
      <c r="B38" s="583" t="s">
        <v>113</v>
      </c>
      <c r="C38" s="583"/>
      <c r="D38" s="583"/>
      <c r="E38" s="583"/>
    </row>
    <row r="39" spans="2:11" ht="15" customHeight="1">
      <c r="B39" s="47"/>
      <c r="C39" s="47"/>
      <c r="D39" s="47"/>
      <c r="E39" s="47"/>
    </row>
  </sheetData>
  <sheetProtection algorithmName="SHA-512" hashValue="cRaycv+/F3URKZ9LiMkdxRbT3VM60PsYoZsXSMJ+6SUrSMXLqm5lHU2X/i/5+PTVkz01ily8IIDCHHngxv3abQ==" saltValue="54b9yZVw3rjwiUG75nQHiQ==" spinCount="100000" sheet="1" objects="1" scenarios="1"/>
  <mergeCells count="7">
    <mergeCell ref="B5:E5"/>
    <mergeCell ref="B38:E38"/>
    <mergeCell ref="B34:E34"/>
    <mergeCell ref="B37:E37"/>
    <mergeCell ref="D10:E10"/>
    <mergeCell ref="B7:C7"/>
    <mergeCell ref="B8:C8"/>
  </mergeCells>
  <pageMargins left="0.7" right="0.7" top="0.75" bottom="0.75" header="0.3" footer="0.3"/>
  <pageSetup scale="91" orientation="portrait" r:id="rId1"/>
  <headerFooter>
    <oddFooter>&amp;R&amp;F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D788B-ED54-4BF9-B11A-55541A8BBE81}">
  <sheetPr>
    <tabColor rgb="FF7030A0"/>
    <pageSetUpPr fitToPage="1"/>
  </sheetPr>
  <dimension ref="B3:L35"/>
  <sheetViews>
    <sheetView showGridLines="0" showRowColHeaders="0" topLeftCell="B1" workbookViewId="0">
      <selection activeCell="D14" sqref="D14"/>
    </sheetView>
  </sheetViews>
  <sheetFormatPr defaultRowHeight="12.75"/>
  <cols>
    <col min="1" max="1" width="6.86328125" customWidth="1"/>
    <col min="2" max="2" width="15.59765625" customWidth="1"/>
    <col min="3" max="3" width="34.59765625" customWidth="1"/>
    <col min="4" max="9" width="15.59765625" style="1" customWidth="1"/>
    <col min="11" max="11" width="12.86328125" customWidth="1"/>
  </cols>
  <sheetData>
    <row r="3" spans="2:12" ht="15">
      <c r="D3" s="6" t="s">
        <v>279</v>
      </c>
      <c r="E3" s="6"/>
      <c r="F3" s="6"/>
    </row>
    <row r="4" spans="2:12" ht="13.15" thickBot="1"/>
    <row r="5" spans="2:12" ht="15" customHeight="1" thickTop="1" thickBot="1">
      <c r="D5" s="594" t="s">
        <v>282</v>
      </c>
      <c r="E5" s="595"/>
      <c r="F5" s="596"/>
      <c r="G5" s="591" t="s">
        <v>283</v>
      </c>
      <c r="H5" s="592"/>
      <c r="I5" s="593"/>
    </row>
    <row r="6" spans="2:12" ht="40.15" thickTop="1" thickBot="1">
      <c r="B6" s="95" t="s">
        <v>97</v>
      </c>
      <c r="C6" s="96" t="s">
        <v>98</v>
      </c>
      <c r="D6" s="422" t="s">
        <v>116</v>
      </c>
      <c r="E6" s="162" t="s">
        <v>91</v>
      </c>
      <c r="F6" s="163" t="s">
        <v>92</v>
      </c>
      <c r="G6" s="164" t="s">
        <v>117</v>
      </c>
      <c r="H6" s="165" t="s">
        <v>118</v>
      </c>
      <c r="I6" s="166" t="s">
        <v>119</v>
      </c>
    </row>
    <row r="7" spans="2:12" ht="15" customHeight="1">
      <c r="B7" s="100" t="s">
        <v>4</v>
      </c>
      <c r="C7" s="101" t="s">
        <v>21</v>
      </c>
      <c r="D7" s="427">
        <v>1694.9152542372901</v>
      </c>
      <c r="E7" s="302">
        <v>127000000</v>
      </c>
      <c r="F7" s="303">
        <v>127000000</v>
      </c>
      <c r="G7" s="304">
        <v>3792.8104235024821</v>
      </c>
      <c r="H7" s="305">
        <v>33852.140614431271</v>
      </c>
      <c r="I7" s="306">
        <v>68176.871649796551</v>
      </c>
      <c r="K7" s="429"/>
      <c r="L7" s="132"/>
    </row>
    <row r="8" spans="2:12" ht="15" customHeight="1">
      <c r="B8" s="100" t="s">
        <v>6</v>
      </c>
      <c r="C8" s="101" t="s">
        <v>57</v>
      </c>
      <c r="D8" s="428">
        <v>580.76923076923106</v>
      </c>
      <c r="E8" s="307">
        <v>2538.4615384615381</v>
      </c>
      <c r="F8" s="308">
        <v>2538.4615384615381</v>
      </c>
      <c r="G8" s="309">
        <v>1909.0531225825821</v>
      </c>
      <c r="H8" s="310">
        <v>17039.009583766612</v>
      </c>
      <c r="I8" s="306">
        <v>34368.764172335592</v>
      </c>
      <c r="K8" s="429"/>
      <c r="L8" s="132"/>
    </row>
    <row r="9" spans="2:12" ht="15" customHeight="1">
      <c r="B9" s="103" t="s">
        <v>5</v>
      </c>
      <c r="C9" s="104" t="s">
        <v>22</v>
      </c>
      <c r="D9" s="423">
        <v>7.6923076923076898</v>
      </c>
      <c r="E9" s="307">
        <v>10000</v>
      </c>
      <c r="F9" s="308">
        <v>10000</v>
      </c>
      <c r="G9" s="309">
        <v>25.285298441059922</v>
      </c>
      <c r="H9" s="310">
        <v>225.67895761042504</v>
      </c>
      <c r="I9" s="311">
        <v>453.45316961357139</v>
      </c>
      <c r="K9" s="429"/>
      <c r="L9" s="132"/>
    </row>
    <row r="10" spans="2:12" ht="15" customHeight="1">
      <c r="B10" s="103" t="s">
        <v>6</v>
      </c>
      <c r="C10" s="106" t="s">
        <v>37</v>
      </c>
      <c r="D10" s="309">
        <v>38.461538461538474</v>
      </c>
      <c r="E10" s="307">
        <v>38.461538461538474</v>
      </c>
      <c r="F10" s="308">
        <v>38.461538461538474</v>
      </c>
      <c r="G10" s="309">
        <v>126.4273591114293</v>
      </c>
      <c r="H10" s="310">
        <v>1128.4112307130213</v>
      </c>
      <c r="I10" s="311">
        <v>2276.0770975056698</v>
      </c>
      <c r="K10" s="429"/>
      <c r="L10" s="132"/>
    </row>
    <row r="11" spans="2:12" ht="15" customHeight="1">
      <c r="B11" s="103" t="s">
        <v>7</v>
      </c>
      <c r="C11" s="104" t="s">
        <v>23</v>
      </c>
      <c r="D11" s="423">
        <v>7.6923076923076925</v>
      </c>
      <c r="E11" s="307">
        <v>1100</v>
      </c>
      <c r="F11" s="308">
        <v>31000</v>
      </c>
      <c r="G11" s="309">
        <v>25.285443995509162</v>
      </c>
      <c r="H11" s="310">
        <v>225.68171834703264</v>
      </c>
      <c r="I11" s="311">
        <v>454.93166709593243</v>
      </c>
      <c r="K11" s="429"/>
      <c r="L11" s="132"/>
    </row>
    <row r="12" spans="2:12" ht="15" customHeight="1">
      <c r="B12" s="103" t="s">
        <v>8</v>
      </c>
      <c r="C12" s="104" t="s">
        <v>24</v>
      </c>
      <c r="D12" s="309">
        <v>38.461538461538474</v>
      </c>
      <c r="E12" s="307">
        <v>38.461538461538474</v>
      </c>
      <c r="F12" s="308">
        <v>38.461538461538474</v>
      </c>
      <c r="G12" s="309">
        <v>126.4273591114293</v>
      </c>
      <c r="H12" s="310">
        <v>1128.4112307130213</v>
      </c>
      <c r="I12" s="311">
        <v>2276.0770975056698</v>
      </c>
      <c r="K12" s="429"/>
      <c r="L12" s="132"/>
    </row>
    <row r="13" spans="2:12" ht="15" customHeight="1">
      <c r="B13" s="103" t="s">
        <v>192</v>
      </c>
      <c r="C13" s="104" t="s">
        <v>228</v>
      </c>
      <c r="D13" s="309">
        <v>46753.246753246756</v>
      </c>
      <c r="E13" s="307">
        <v>100000</v>
      </c>
      <c r="F13" s="308">
        <v>100000</v>
      </c>
      <c r="G13" s="309">
        <v>29086.715505210876</v>
      </c>
      <c r="H13" s="310">
        <v>131030.96035843424</v>
      </c>
      <c r="I13" s="311">
        <v>197938.70304450087</v>
      </c>
      <c r="J13" s="556"/>
      <c r="K13" s="429"/>
      <c r="L13" s="132"/>
    </row>
    <row r="14" spans="2:12" ht="15" customHeight="1">
      <c r="B14" s="103" t="s">
        <v>59</v>
      </c>
      <c r="C14" s="104" t="s">
        <v>38</v>
      </c>
      <c r="D14" s="309">
        <v>1298.7012987012999</v>
      </c>
      <c r="E14" s="307">
        <v>1298.7012987012999</v>
      </c>
      <c r="F14" s="308">
        <v>1298.7012987012999</v>
      </c>
      <c r="G14" s="309">
        <v>5037.6844612152217</v>
      </c>
      <c r="H14" s="310">
        <v>36600.912741910484</v>
      </c>
      <c r="I14" s="311">
        <v>65311.465881931879</v>
      </c>
      <c r="J14" s="556"/>
      <c r="K14" s="429"/>
      <c r="L14" s="132"/>
    </row>
    <row r="15" spans="2:12" ht="15" customHeight="1">
      <c r="B15" s="103" t="s">
        <v>9</v>
      </c>
      <c r="C15" s="104" t="s">
        <v>25</v>
      </c>
      <c r="D15" s="309">
        <v>14615.384615384617</v>
      </c>
      <c r="E15" s="307">
        <v>830000</v>
      </c>
      <c r="F15" s="308">
        <v>830000</v>
      </c>
      <c r="G15" s="309">
        <v>48041.58279245138</v>
      </c>
      <c r="H15" s="310">
        <v>428780.83492000279</v>
      </c>
      <c r="I15" s="311">
        <v>856685.85570140521</v>
      </c>
      <c r="K15" s="429"/>
      <c r="L15" s="132"/>
    </row>
    <row r="16" spans="2:12" ht="15" customHeight="1">
      <c r="B16" s="103" t="s">
        <v>10</v>
      </c>
      <c r="C16" s="104" t="s">
        <v>26</v>
      </c>
      <c r="D16" s="309">
        <v>1538.4615384615383</v>
      </c>
      <c r="E16" s="307">
        <v>1538.4615384615383</v>
      </c>
      <c r="F16" s="308">
        <v>1538.4615384615383</v>
      </c>
      <c r="G16" s="309">
        <v>5057.0299660946039</v>
      </c>
      <c r="H16" s="310">
        <v>45135.227788967059</v>
      </c>
      <c r="I16" s="311">
        <v>90390.698692459642</v>
      </c>
      <c r="K16" s="429"/>
      <c r="L16" s="132"/>
    </row>
    <row r="17" spans="2:12" ht="15" customHeight="1">
      <c r="B17" s="103" t="s">
        <v>11</v>
      </c>
      <c r="C17" s="104" t="s">
        <v>27</v>
      </c>
      <c r="D17" s="309">
        <v>1923.0769230769231</v>
      </c>
      <c r="E17" s="307">
        <v>6300000</v>
      </c>
      <c r="F17" s="308">
        <v>48000000</v>
      </c>
      <c r="G17" s="309">
        <v>6321.2874576182548</v>
      </c>
      <c r="H17" s="310">
        <v>56419.034736208829</v>
      </c>
      <c r="I17" s="311">
        <v>112988.37336557455</v>
      </c>
      <c r="K17" s="429"/>
      <c r="L17" s="132"/>
    </row>
    <row r="18" spans="2:12" ht="15" customHeight="1">
      <c r="B18" s="103" t="s">
        <v>12</v>
      </c>
      <c r="C18" s="104" t="s">
        <v>28</v>
      </c>
      <c r="D18" s="309">
        <v>76.923076923076948</v>
      </c>
      <c r="E18" s="307">
        <v>76.923076923076948</v>
      </c>
      <c r="F18" s="308">
        <v>76.923076923076948</v>
      </c>
      <c r="G18" s="309">
        <v>252.85471822285859</v>
      </c>
      <c r="H18" s="310">
        <v>2256.8224614260425</v>
      </c>
      <c r="I18" s="311">
        <v>4552.1541950113397</v>
      </c>
      <c r="K18" s="429"/>
      <c r="L18" s="132"/>
    </row>
    <row r="19" spans="2:12" ht="15" customHeight="1">
      <c r="B19" s="103" t="s">
        <v>13</v>
      </c>
      <c r="C19" s="104" t="s">
        <v>29</v>
      </c>
      <c r="D19" s="309">
        <v>11.538461538461538</v>
      </c>
      <c r="E19" s="307">
        <v>8300</v>
      </c>
      <c r="F19" s="308">
        <v>119000</v>
      </c>
      <c r="G19" s="309">
        <v>37.926970838246824</v>
      </c>
      <c r="H19" s="310">
        <v>338.49990962808232</v>
      </c>
      <c r="I19" s="311">
        <v>670.43116929740654</v>
      </c>
      <c r="K19" s="429"/>
      <c r="L19" s="132"/>
    </row>
    <row r="20" spans="2:12" ht="15" customHeight="1">
      <c r="B20" s="103" t="s">
        <v>14</v>
      </c>
      <c r="C20" s="104" t="s">
        <v>30</v>
      </c>
      <c r="D20" s="309">
        <v>11.538461538461538</v>
      </c>
      <c r="E20" s="307">
        <v>8000</v>
      </c>
      <c r="F20" s="308">
        <v>8000</v>
      </c>
      <c r="G20" s="309">
        <v>37.928026611592529</v>
      </c>
      <c r="H20" s="310">
        <v>338.51993385705856</v>
      </c>
      <c r="I20" s="311">
        <v>680.98004149923361</v>
      </c>
      <c r="K20" s="429"/>
      <c r="L20" s="132"/>
    </row>
    <row r="21" spans="2:12" ht="15" customHeight="1">
      <c r="B21" s="103" t="s">
        <v>15</v>
      </c>
      <c r="C21" s="104" t="s">
        <v>31</v>
      </c>
      <c r="D21" s="423">
        <v>7.6923076923076925</v>
      </c>
      <c r="E21" s="307">
        <v>10000</v>
      </c>
      <c r="F21" s="308">
        <v>10000</v>
      </c>
      <c r="G21" s="309">
        <v>25.285429294595264</v>
      </c>
      <c r="H21" s="310">
        <v>225.68143951263295</v>
      </c>
      <c r="I21" s="311">
        <v>454.78190292617006</v>
      </c>
      <c r="K21" s="429"/>
      <c r="L21" s="132"/>
    </row>
    <row r="22" spans="2:12" ht="15" customHeight="1">
      <c r="B22" s="103" t="s">
        <v>16</v>
      </c>
      <c r="C22" s="104" t="s">
        <v>32</v>
      </c>
      <c r="D22" s="309">
        <v>19.230769230769237</v>
      </c>
      <c r="E22" s="307">
        <v>10000</v>
      </c>
      <c r="F22" s="308">
        <v>10000</v>
      </c>
      <c r="G22" s="309">
        <v>63.213679555714648</v>
      </c>
      <c r="H22" s="310">
        <v>564.20561535651063</v>
      </c>
      <c r="I22" s="311">
        <v>1138.0385487528349</v>
      </c>
      <c r="K22" s="429"/>
      <c r="L22" s="132"/>
    </row>
    <row r="23" spans="2:12" ht="15" customHeight="1">
      <c r="B23" s="103" t="s">
        <v>17</v>
      </c>
      <c r="C23" s="104" t="s">
        <v>33</v>
      </c>
      <c r="D23" s="309">
        <v>25.769230769230766</v>
      </c>
      <c r="E23" s="307">
        <v>20000</v>
      </c>
      <c r="F23" s="308">
        <v>20000</v>
      </c>
      <c r="G23" s="309">
        <v>84.705728342417075</v>
      </c>
      <c r="H23" s="310">
        <v>756.02410143670159</v>
      </c>
      <c r="I23" s="311">
        <v>1518.8511239975139</v>
      </c>
      <c r="K23" s="429"/>
      <c r="L23" s="132"/>
    </row>
    <row r="24" spans="2:12" ht="15" customHeight="1">
      <c r="B24" s="103" t="s">
        <v>18</v>
      </c>
      <c r="C24" s="104" t="s">
        <v>34</v>
      </c>
      <c r="D24" s="309">
        <v>25.769230769230766</v>
      </c>
      <c r="E24" s="307">
        <v>25.769230769230766</v>
      </c>
      <c r="F24" s="308">
        <v>25.769230769230766</v>
      </c>
      <c r="G24" s="309">
        <v>84.706330604657623</v>
      </c>
      <c r="H24" s="310">
        <v>756.03552457772423</v>
      </c>
      <c r="I24" s="311">
        <v>1524.9716553287981</v>
      </c>
      <c r="K24" s="429"/>
      <c r="L24" s="132"/>
    </row>
    <row r="25" spans="2:12" ht="15" customHeight="1">
      <c r="B25" s="484" t="s">
        <v>19</v>
      </c>
      <c r="C25" s="485" t="s">
        <v>35</v>
      </c>
      <c r="D25" s="486">
        <v>257.69230769230774</v>
      </c>
      <c r="E25" s="487">
        <v>257.69230769230774</v>
      </c>
      <c r="F25" s="488">
        <v>257.69230769230774</v>
      </c>
      <c r="G25" s="486">
        <v>847.06330604657603</v>
      </c>
      <c r="H25" s="489">
        <v>7560.3552457772412</v>
      </c>
      <c r="I25" s="490">
        <v>15249.716553287983</v>
      </c>
      <c r="K25" s="429"/>
      <c r="L25" s="132"/>
    </row>
    <row r="26" spans="2:12" s="126" customFormat="1" ht="26.65" thickBot="1">
      <c r="B26" s="482" t="s">
        <v>208</v>
      </c>
      <c r="C26" s="483" t="s">
        <v>209</v>
      </c>
      <c r="D26" s="491">
        <v>11.538461538461499</v>
      </c>
      <c r="E26" s="492">
        <v>11.538461538461499</v>
      </c>
      <c r="F26" s="494">
        <v>11.538461538461499</v>
      </c>
      <c r="G26" s="491">
        <v>37.928207733428785</v>
      </c>
      <c r="H26" s="492">
        <v>338.52336921390628</v>
      </c>
      <c r="I26" s="493">
        <v>682.82312925170083</v>
      </c>
    </row>
    <row r="27" spans="2:12" ht="26.1" customHeight="1" thickTop="1">
      <c r="B27" s="598" t="s">
        <v>284</v>
      </c>
      <c r="C27" s="599"/>
      <c r="D27" s="599"/>
      <c r="E27" s="599"/>
      <c r="F27" s="599"/>
      <c r="G27" s="599"/>
      <c r="H27" s="599"/>
      <c r="I27" s="599"/>
      <c r="K27" s="429"/>
    </row>
    <row r="28" spans="2:12" ht="13.15">
      <c r="B28" s="158" t="s">
        <v>280</v>
      </c>
      <c r="C28" s="158"/>
      <c r="D28" s="158"/>
      <c r="E28" s="159"/>
      <c r="F28" s="159"/>
      <c r="G28" s="159"/>
      <c r="K28" s="429"/>
    </row>
    <row r="29" spans="2:12" ht="13.15">
      <c r="B29" s="158" t="s">
        <v>281</v>
      </c>
      <c r="C29" s="158"/>
      <c r="D29" s="158"/>
      <c r="E29" s="159"/>
      <c r="F29" s="159"/>
      <c r="G29" s="159"/>
      <c r="K29" s="429"/>
    </row>
    <row r="31" spans="2:12" ht="13.15">
      <c r="B31" s="160" t="s">
        <v>79</v>
      </c>
      <c r="C31" s="160"/>
      <c r="D31" s="160"/>
      <c r="E31" s="159"/>
      <c r="F31" s="159"/>
      <c r="G31" s="159"/>
      <c r="K31" s="429"/>
    </row>
    <row r="32" spans="2:12" ht="30" customHeight="1">
      <c r="B32" s="597" t="s">
        <v>319</v>
      </c>
      <c r="C32" s="563"/>
      <c r="D32" s="563"/>
      <c r="E32" s="563"/>
      <c r="F32" s="563"/>
      <c r="G32" s="563"/>
      <c r="H32" s="563"/>
      <c r="I32" s="563"/>
      <c r="J32" s="120"/>
    </row>
    <row r="33" spans="4:9" ht="13.15">
      <c r="D33" s="55"/>
      <c r="E33" s="55"/>
      <c r="F33" s="55"/>
      <c r="G33" s="55"/>
      <c r="H33" s="55"/>
      <c r="I33" s="55"/>
    </row>
    <row r="34" spans="4:9" ht="13.15">
      <c r="D34" s="55"/>
      <c r="E34" s="55"/>
      <c r="F34" s="55"/>
      <c r="G34" s="55"/>
      <c r="H34" s="55"/>
      <c r="I34" s="55"/>
    </row>
    <row r="35" spans="4:9" ht="13.15">
      <c r="D35" s="55"/>
      <c r="E35" s="55"/>
      <c r="F35" s="55"/>
      <c r="G35" s="55"/>
      <c r="H35" s="55"/>
      <c r="I35" s="55"/>
    </row>
  </sheetData>
  <sheetProtection algorithmName="SHA-512" hashValue="zCsVRD/NLVUclGlt2CViP9ImzjYWkEJghon40dC0MFBubXhP7h7D9P5H3Ffko1X7athucVgKTZBCoDm81eeFKA==" saltValue="F62eQ1PEswMUFWQbg0YQOA==" spinCount="100000" sheet="1" objects="1" scenarios="1"/>
  <mergeCells count="4">
    <mergeCell ref="G5:I5"/>
    <mergeCell ref="D5:F5"/>
    <mergeCell ref="B32:I32"/>
    <mergeCell ref="B27:I27"/>
  </mergeCells>
  <pageMargins left="0.7" right="0.7" top="0.75" bottom="0.75" header="0.3" footer="0.3"/>
  <pageSetup scale="89" orientation="landscape" r:id="rId1"/>
  <headerFooter>
    <oddFooter>&amp;R&amp;F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98E6C-C432-47A1-BC3F-80EEEF64813E}">
  <sheetPr>
    <tabColor rgb="FF00FFFF"/>
    <pageSetUpPr fitToPage="1"/>
  </sheetPr>
  <dimension ref="B1:R44"/>
  <sheetViews>
    <sheetView workbookViewId="0">
      <pane xSplit="3" topLeftCell="E1" activePane="topRight" state="frozen"/>
      <selection pane="topRight" activeCell="E7" sqref="E7"/>
    </sheetView>
  </sheetViews>
  <sheetFormatPr defaultRowHeight="12.75"/>
  <cols>
    <col min="2" max="2" width="13.59765625" customWidth="1"/>
    <col min="3" max="3" width="34.59765625" customWidth="1"/>
    <col min="4" max="4" width="15.59765625" customWidth="1"/>
    <col min="5" max="5" width="8.59765625" customWidth="1"/>
    <col min="6" max="6" width="12.59765625" customWidth="1"/>
    <col min="7" max="12" width="13.59765625" customWidth="1"/>
    <col min="13" max="14" width="14.59765625" customWidth="1"/>
    <col min="15" max="16" width="15.1328125" customWidth="1"/>
    <col min="17" max="17" width="14.59765625" customWidth="1"/>
    <col min="18" max="18" width="9.86328125" hidden="1" customWidth="1"/>
    <col min="19" max="20" width="12.59765625" customWidth="1"/>
  </cols>
  <sheetData>
    <row r="1" spans="2:18" ht="15.75">
      <c r="B1" s="296" t="s">
        <v>61</v>
      </c>
      <c r="C1" s="297" t="str">
        <f>IF('1. Total PFAS Calculator'!D18="","",'1. Total PFAS Calculator'!D18)</f>
        <v/>
      </c>
    </row>
    <row r="2" spans="2:18" ht="15.75">
      <c r="B2" s="296" t="s">
        <v>58</v>
      </c>
      <c r="C2" s="297" t="str">
        <f>IF('1. Total PFAS Calculator'!D19="","",'1. Total PFAS Calculator'!D19)</f>
        <v/>
      </c>
      <c r="F2" s="18"/>
    </row>
    <row r="3" spans="2:18" ht="15.75">
      <c r="B3" s="296" t="s">
        <v>66</v>
      </c>
      <c r="C3" s="297" t="str">
        <f>IF('1. Total PFAS Calculator'!D20="","",'1. Total PFAS Calculator'!D20)</f>
        <v/>
      </c>
    </row>
    <row r="4" spans="2:18" ht="15.4" thickBot="1">
      <c r="B4" s="113" t="s">
        <v>111</v>
      </c>
    </row>
    <row r="5" spans="2:18" ht="16.5" thickTop="1" thickBot="1">
      <c r="M5" s="604" t="s">
        <v>264</v>
      </c>
      <c r="N5" s="605"/>
      <c r="O5" s="600" t="s">
        <v>125</v>
      </c>
      <c r="P5" s="601"/>
      <c r="Q5" s="5"/>
    </row>
    <row r="6" spans="2:18" s="20" customFormat="1" ht="55.15" customHeight="1" thickTop="1" thickBot="1">
      <c r="B6" s="95" t="s">
        <v>64</v>
      </c>
      <c r="C6" s="96" t="s">
        <v>65</v>
      </c>
      <c r="D6" s="97" t="s">
        <v>60</v>
      </c>
      <c r="E6" s="200" t="s">
        <v>20</v>
      </c>
      <c r="F6" s="134" t="s">
        <v>80</v>
      </c>
      <c r="G6" s="98" t="s">
        <v>249</v>
      </c>
      <c r="H6" s="99" t="s">
        <v>73</v>
      </c>
      <c r="I6" s="435" t="s">
        <v>250</v>
      </c>
      <c r="J6" s="437" t="s">
        <v>243</v>
      </c>
      <c r="K6" s="437" t="s">
        <v>244</v>
      </c>
      <c r="L6" s="241" t="s">
        <v>251</v>
      </c>
      <c r="M6" s="111" t="s">
        <v>245</v>
      </c>
      <c r="N6" s="111" t="s">
        <v>246</v>
      </c>
      <c r="O6" s="227" t="s">
        <v>247</v>
      </c>
      <c r="P6" s="229" t="s">
        <v>248</v>
      </c>
      <c r="Q6" s="179"/>
      <c r="R6" s="29" t="s">
        <v>56</v>
      </c>
    </row>
    <row r="7" spans="2:18" s="20" customFormat="1" ht="14.65">
      <c r="B7" s="100" t="s">
        <v>4</v>
      </c>
      <c r="C7" s="101" t="s">
        <v>21</v>
      </c>
      <c r="D7" s="102" t="s">
        <v>39</v>
      </c>
      <c r="E7" s="424">
        <v>299.08999999999997</v>
      </c>
      <c r="F7" s="300">
        <f>IF('1. Total PFAS Calculator'!$D$27='1. Total PFAS Calculator'!$K$23,'3. PFAS Summary Action Levels'!G7,IF('1. Total PFAS Calculator'!$D$27='1. Total PFAS Calculator'!$K$24,'3. PFAS Summary Action Levels'!H7,'3. PFAS Summary Action Levels'!I7))</f>
        <v>3792.8104235024821</v>
      </c>
      <c r="G7" s="177">
        <f>IF('1. Total PFAS Calculator'!$D$24='1. Total PFAS Calculator'!$K$20,"",IF('2. Sample Data Input'!D12="",0,'2. Sample Data Input'!D12))</f>
        <v>0</v>
      </c>
      <c r="H7" s="178">
        <f>IF('1. Total PFAS Calculator'!$D$24='1. Total PFAS Calculator'!$K$20,"",IF('2. Sample Data Input'!E12="",0,'2. Sample Data Input'!E12))</f>
        <v>0</v>
      </c>
      <c r="I7" s="444">
        <f>IF(H7="",0,IF(AND(G7="",H7=""),0,IF(AND(G7="",H7&gt;0),H7,IF((H7-G7)&lt;0,0,(H7-G7)))))</f>
        <v>0</v>
      </c>
      <c r="J7" s="438" t="str">
        <f>IF(G7="","",IF(G7=0,"",(G7/$G$27)))</f>
        <v/>
      </c>
      <c r="K7" s="474" t="str">
        <f>IF(I7=0,"",IF(AND(G7="",H7&gt;0),(I7/$I$27),IF((H7-G7)&lt;0,"",(I7/$I$27))))</f>
        <v/>
      </c>
      <c r="L7" s="191">
        <f>IF(AND(G7="",H7=""),"",(G7+I7)*((R7*18.998)/E7))</f>
        <v>0</v>
      </c>
      <c r="M7" s="175">
        <f>IF('1. Total PFAS Calculator'!$D$24='1. Total PFAS Calculator'!$K$20,"",IF(G7="","",IF('1. Total PFAS Calculator'!$D$24='1. Total PFAS Calculator'!$K$20,"",(G7/F7))))</f>
        <v>0</v>
      </c>
      <c r="N7" s="225">
        <f>IF('1. Total PFAS Calculator'!$D$24='1. Total PFAS Calculator'!$K$20,"",IF(I7="","",IF('1. Total PFAS Calculator'!$D$24='1. Total PFAS Calculator'!$K$20,"",(I7/F7))))</f>
        <v>0</v>
      </c>
      <c r="O7" s="228" t="str">
        <f>IF(OR(M7="",M7=0),"",M7/$M$27)</f>
        <v/>
      </c>
      <c r="P7" s="230" t="str">
        <f>IF(OR(N7="",N7=0),"",N7/$N$27)</f>
        <v/>
      </c>
      <c r="Q7" s="133"/>
      <c r="R7" s="22">
        <v>9</v>
      </c>
    </row>
    <row r="8" spans="2:18" s="20" customFormat="1" ht="14.65">
      <c r="B8" s="100" t="s">
        <v>6</v>
      </c>
      <c r="C8" s="101" t="s">
        <v>115</v>
      </c>
      <c r="D8" s="102" t="s">
        <v>122</v>
      </c>
      <c r="E8" s="425">
        <v>349</v>
      </c>
      <c r="F8" s="301">
        <f>IF('1. Total PFAS Calculator'!$D$27='1. Total PFAS Calculator'!$K$23,'3. PFAS Summary Action Levels'!G8,IF('1. Total PFAS Calculator'!$D$27='1. Total PFAS Calculator'!$K$24,'3. PFAS Summary Action Levels'!H8,'3. PFAS Summary Action Levels'!I8))</f>
        <v>1909.0531225825821</v>
      </c>
      <c r="G8" s="182">
        <f>IF('1. Total PFAS Calculator'!$D$24='1. Total PFAS Calculator'!$K$20,"",IF('2. Sample Data Input'!D13="",0,'2. Sample Data Input'!D13))</f>
        <v>0</v>
      </c>
      <c r="H8" s="181">
        <f>IF('1. Total PFAS Calculator'!$D$24='1. Total PFAS Calculator'!$K$20,"",IF('2. Sample Data Input'!E13="",0,'2. Sample Data Input'!E13))</f>
        <v>0</v>
      </c>
      <c r="I8" s="436">
        <f t="shared" ref="I8:I24" si="0">IF(H8="",0,IF(AND(G8="",H8=""),0,IF(AND(G8="",H8&gt;0),H8,IF((H8-G8)&lt;0,0,(H8-G8)))))</f>
        <v>0</v>
      </c>
      <c r="J8" s="439" t="str">
        <f t="shared" ref="J8:J24" si="1">IF(G8="","",IF(G8=0,"",(G8/$G$27)))</f>
        <v/>
      </c>
      <c r="K8" s="475" t="str">
        <f t="shared" ref="K8:K24" si="2">IF(I8=0,"",IF(AND(G8="",H8&gt;0),(I8/$I$27),IF((H8-G8)&lt;0,"",(I8/$I$27))))</f>
        <v/>
      </c>
      <c r="L8" s="192">
        <f t="shared" ref="L8:L24" si="3">IF(AND(G8="",H8=""),"",(G8+I8)*((R8*18.998)/E8))</f>
        <v>0</v>
      </c>
      <c r="M8" s="176">
        <f>IF('1. Total PFAS Calculator'!$D$24='1. Total PFAS Calculator'!$K$20,"",IF(G8="","",IF('1. Total PFAS Calculator'!$D$24='1. Total PFAS Calculator'!$K$20,"",(G8/F8))))</f>
        <v>0</v>
      </c>
      <c r="N8" s="226">
        <f>IF('1. Total PFAS Calculator'!$D$24='1. Total PFAS Calculator'!$K$20,"",IF(I8="","",IF('1. Total PFAS Calculator'!$D$24='1. Total PFAS Calculator'!$K$20,"",(I8/F8))))</f>
        <v>0</v>
      </c>
      <c r="O8" s="228" t="str">
        <f t="shared" ref="O8:O24" si="4">IF(OR(M8="",M8=0),"",M8/$M$27)</f>
        <v/>
      </c>
      <c r="P8" s="230" t="str">
        <f t="shared" ref="P8:P24" si="5">IF(OR(N8="",N8=0),"",N8/$N$27)</f>
        <v/>
      </c>
      <c r="Q8" s="133"/>
      <c r="R8" s="22">
        <v>11</v>
      </c>
    </row>
    <row r="9" spans="2:18" s="20" customFormat="1" ht="14.65">
      <c r="B9" s="103" t="s">
        <v>5</v>
      </c>
      <c r="C9" s="104" t="s">
        <v>22</v>
      </c>
      <c r="D9" s="105" t="s">
        <v>40</v>
      </c>
      <c r="E9" s="425">
        <v>399.1</v>
      </c>
      <c r="F9" s="301">
        <f>IF('1. Total PFAS Calculator'!$D$27='1. Total PFAS Calculator'!$K$23,'3. PFAS Summary Action Levels'!G9,IF('1. Total PFAS Calculator'!$D$27='1. Total PFAS Calculator'!$K$24,'3. PFAS Summary Action Levels'!H9,'3. PFAS Summary Action Levels'!I9))</f>
        <v>25.285298441059922</v>
      </c>
      <c r="G9" s="182">
        <f>IF('1. Total PFAS Calculator'!$D$24='1. Total PFAS Calculator'!$K$20,"",IF('2. Sample Data Input'!D14="",0,'2. Sample Data Input'!D14))</f>
        <v>0</v>
      </c>
      <c r="H9" s="181">
        <f>IF('1. Total PFAS Calculator'!$D$24='1. Total PFAS Calculator'!$K$20,"",IF('2. Sample Data Input'!E14="",0,'2. Sample Data Input'!E14))</f>
        <v>0</v>
      </c>
      <c r="I9" s="436">
        <f t="shared" si="0"/>
        <v>0</v>
      </c>
      <c r="J9" s="439" t="str">
        <f t="shared" si="1"/>
        <v/>
      </c>
      <c r="K9" s="475" t="str">
        <f t="shared" si="2"/>
        <v/>
      </c>
      <c r="L9" s="192">
        <f t="shared" si="3"/>
        <v>0</v>
      </c>
      <c r="M9" s="176">
        <f>IF('1. Total PFAS Calculator'!$D$24='1. Total PFAS Calculator'!$K$20,"",IF(G9="","",IF('1. Total PFAS Calculator'!$D$24='1. Total PFAS Calculator'!$K$20,"",(G9/F9))))</f>
        <v>0</v>
      </c>
      <c r="N9" s="226">
        <f>IF('1. Total PFAS Calculator'!$D$24='1. Total PFAS Calculator'!$K$20,"",IF(I9="","",IF('1. Total PFAS Calculator'!$D$24='1. Total PFAS Calculator'!$K$20,"",(I9/F9))))</f>
        <v>0</v>
      </c>
      <c r="O9" s="228" t="str">
        <f t="shared" si="4"/>
        <v/>
      </c>
      <c r="P9" s="230" t="str">
        <f t="shared" si="5"/>
        <v/>
      </c>
      <c r="Q9" s="133"/>
      <c r="R9" s="22">
        <v>13</v>
      </c>
    </row>
    <row r="10" spans="2:18" s="20" customFormat="1" ht="14.65">
      <c r="B10" s="103" t="s">
        <v>6</v>
      </c>
      <c r="C10" s="106" t="s">
        <v>37</v>
      </c>
      <c r="D10" s="107" t="s">
        <v>41</v>
      </c>
      <c r="E10" s="425">
        <v>449.11</v>
      </c>
      <c r="F10" s="301">
        <f>IF('1. Total PFAS Calculator'!$D$27='1. Total PFAS Calculator'!$K$23,'3. PFAS Summary Action Levels'!G10,IF('1. Total PFAS Calculator'!$D$27='1. Total PFAS Calculator'!$K$24,'3. PFAS Summary Action Levels'!H10,'3. PFAS Summary Action Levels'!I10))</f>
        <v>126.4273591114293</v>
      </c>
      <c r="G10" s="182">
        <f>IF('1. Total PFAS Calculator'!$D$24='1. Total PFAS Calculator'!$K$20,"",IF('2. Sample Data Input'!D15="",0,'2. Sample Data Input'!D15))</f>
        <v>0</v>
      </c>
      <c r="H10" s="181">
        <f>IF('1. Total PFAS Calculator'!$D$24='1. Total PFAS Calculator'!$K$20,"",IF('2. Sample Data Input'!E15="",0,'2. Sample Data Input'!E15))</f>
        <v>0</v>
      </c>
      <c r="I10" s="436">
        <f t="shared" si="0"/>
        <v>0</v>
      </c>
      <c r="J10" s="439" t="str">
        <f t="shared" si="1"/>
        <v/>
      </c>
      <c r="K10" s="475" t="str">
        <f t="shared" si="2"/>
        <v/>
      </c>
      <c r="L10" s="192">
        <f t="shared" si="3"/>
        <v>0</v>
      </c>
      <c r="M10" s="176">
        <f>IF('1. Total PFAS Calculator'!$D$24='1. Total PFAS Calculator'!$K$20,"",IF(G10="","",IF('1. Total PFAS Calculator'!$D$24='1. Total PFAS Calculator'!$K$20,"",(G10/F10))))</f>
        <v>0</v>
      </c>
      <c r="N10" s="226">
        <f>IF('1. Total PFAS Calculator'!$D$24='1. Total PFAS Calculator'!$K$20,"",IF(I10="","",IF('1. Total PFAS Calculator'!$D$24='1. Total PFAS Calculator'!$K$20,"",(I10/F10))))</f>
        <v>0</v>
      </c>
      <c r="O10" s="228" t="str">
        <f t="shared" si="4"/>
        <v/>
      </c>
      <c r="P10" s="230" t="str">
        <f t="shared" si="5"/>
        <v/>
      </c>
      <c r="Q10" s="133"/>
      <c r="R10" s="22">
        <v>15</v>
      </c>
    </row>
    <row r="11" spans="2:18" s="20" customFormat="1" ht="14.65">
      <c r="B11" s="103" t="s">
        <v>7</v>
      </c>
      <c r="C11" s="104" t="s">
        <v>23</v>
      </c>
      <c r="D11" s="105" t="s">
        <v>42</v>
      </c>
      <c r="E11" s="425">
        <v>499.12</v>
      </c>
      <c r="F11" s="301">
        <f>IF('1. Total PFAS Calculator'!$D$27='1. Total PFAS Calculator'!$K$23,'3. PFAS Summary Action Levels'!G11,IF('1. Total PFAS Calculator'!$D$27='1. Total PFAS Calculator'!$K$24,'3. PFAS Summary Action Levels'!H11,'3. PFAS Summary Action Levels'!I11))</f>
        <v>25.285443995509162</v>
      </c>
      <c r="G11" s="182">
        <f>IF('1. Total PFAS Calculator'!$D$24='1. Total PFAS Calculator'!$K$20,"",IF('2. Sample Data Input'!D16="",0,'2. Sample Data Input'!D16))</f>
        <v>0</v>
      </c>
      <c r="H11" s="181">
        <f>IF('1. Total PFAS Calculator'!$D$24='1. Total PFAS Calculator'!$K$20,"",IF('2. Sample Data Input'!E16="",0,'2. Sample Data Input'!E16))</f>
        <v>0</v>
      </c>
      <c r="I11" s="436">
        <f t="shared" si="0"/>
        <v>0</v>
      </c>
      <c r="J11" s="439" t="str">
        <f t="shared" si="1"/>
        <v/>
      </c>
      <c r="K11" s="475" t="str">
        <f t="shared" si="2"/>
        <v/>
      </c>
      <c r="L11" s="192">
        <f t="shared" si="3"/>
        <v>0</v>
      </c>
      <c r="M11" s="176">
        <f>IF('1. Total PFAS Calculator'!$D$24='1. Total PFAS Calculator'!$K$20,"",IF(G11="","",IF('1. Total PFAS Calculator'!$D$24='1. Total PFAS Calculator'!$K$20,"",(G11/F11))))</f>
        <v>0</v>
      </c>
      <c r="N11" s="226">
        <f>IF('1. Total PFAS Calculator'!$D$24='1. Total PFAS Calculator'!$K$20,"",IF(I11="","",IF('1. Total PFAS Calculator'!$D$24='1. Total PFAS Calculator'!$K$20,"",(I11/F11))))</f>
        <v>0</v>
      </c>
      <c r="O11" s="228" t="str">
        <f t="shared" si="4"/>
        <v/>
      </c>
      <c r="P11" s="230" t="str">
        <f t="shared" si="5"/>
        <v/>
      </c>
      <c r="Q11" s="133"/>
      <c r="R11" s="22">
        <v>17</v>
      </c>
    </row>
    <row r="12" spans="2:18" s="20" customFormat="1" ht="15" customHeight="1">
      <c r="B12" s="103" t="s">
        <v>8</v>
      </c>
      <c r="C12" s="104" t="s">
        <v>24</v>
      </c>
      <c r="D12" s="105" t="s">
        <v>43</v>
      </c>
      <c r="E12" s="425">
        <v>599.13</v>
      </c>
      <c r="F12" s="301">
        <f>IF('1. Total PFAS Calculator'!$D$27='1. Total PFAS Calculator'!$K$23,'3. PFAS Summary Action Levels'!G12,IF('1. Total PFAS Calculator'!$D$27='1. Total PFAS Calculator'!$K$24,'3. PFAS Summary Action Levels'!H12,'3. PFAS Summary Action Levels'!I12))</f>
        <v>126.4273591114293</v>
      </c>
      <c r="G12" s="182">
        <f>IF('1. Total PFAS Calculator'!$D$24='1. Total PFAS Calculator'!$K$20,"",IF('2. Sample Data Input'!D17="",0,'2. Sample Data Input'!D17))</f>
        <v>0</v>
      </c>
      <c r="H12" s="181">
        <f>IF('1. Total PFAS Calculator'!$D$24='1. Total PFAS Calculator'!$K$20,"",IF('2. Sample Data Input'!E17="",0,'2. Sample Data Input'!E17))</f>
        <v>0</v>
      </c>
      <c r="I12" s="436">
        <f t="shared" si="0"/>
        <v>0</v>
      </c>
      <c r="J12" s="439" t="str">
        <f t="shared" si="1"/>
        <v/>
      </c>
      <c r="K12" s="475" t="str">
        <f t="shared" si="2"/>
        <v/>
      </c>
      <c r="L12" s="192">
        <f t="shared" si="3"/>
        <v>0</v>
      </c>
      <c r="M12" s="176">
        <f>IF('1. Total PFAS Calculator'!$D$24='1. Total PFAS Calculator'!$K$20,"",IF(G12="","",IF('1. Total PFAS Calculator'!$D$24='1. Total PFAS Calculator'!$K$20,"",(G12/F12))))</f>
        <v>0</v>
      </c>
      <c r="N12" s="226">
        <f>IF('1. Total PFAS Calculator'!$D$24='1. Total PFAS Calculator'!$K$20,"",IF(I12="","",IF('1. Total PFAS Calculator'!$D$24='1. Total PFAS Calculator'!$K$20,"",(I12/F12))))</f>
        <v>0</v>
      </c>
      <c r="O12" s="228" t="str">
        <f t="shared" si="4"/>
        <v/>
      </c>
      <c r="P12" s="230" t="str">
        <f t="shared" si="5"/>
        <v/>
      </c>
      <c r="Q12" s="133"/>
      <c r="R12" s="22">
        <v>21</v>
      </c>
    </row>
    <row r="13" spans="2:18" s="20" customFormat="1" ht="15" customHeight="1">
      <c r="B13" s="103" t="s">
        <v>192</v>
      </c>
      <c r="C13" s="104" t="s">
        <v>239</v>
      </c>
      <c r="D13" s="105" t="s">
        <v>237</v>
      </c>
      <c r="E13" s="425">
        <v>114</v>
      </c>
      <c r="F13" s="301">
        <f>IF('1. Total PFAS Calculator'!$D$27='1. Total PFAS Calculator'!$K$23,'3. PFAS Summary Action Levels'!G13,IF('1. Total PFAS Calculator'!$D$27='1. Total PFAS Calculator'!$K$24,'3. PFAS Summary Action Levels'!H13,'3. PFAS Summary Action Levels'!I13))</f>
        <v>29086.715505210876</v>
      </c>
      <c r="G13" s="182">
        <f>IF('1. Total PFAS Calculator'!$D$24='1. Total PFAS Calculator'!$K$20,"",IF('2. Sample Data Input'!D18="",0,'2. Sample Data Input'!D18))</f>
        <v>0</v>
      </c>
      <c r="H13" s="181">
        <f>IF('1. Total PFAS Calculator'!$D$24='1. Total PFAS Calculator'!$K$20,"",IF('2. Sample Data Input'!E18="",0,'2. Sample Data Input'!E18))</f>
        <v>0</v>
      </c>
      <c r="I13" s="436">
        <f t="shared" si="0"/>
        <v>0</v>
      </c>
      <c r="J13" s="439" t="str">
        <f t="shared" si="1"/>
        <v/>
      </c>
      <c r="K13" s="475" t="str">
        <f t="shared" si="2"/>
        <v/>
      </c>
      <c r="L13" s="192">
        <f t="shared" si="3"/>
        <v>0</v>
      </c>
      <c r="M13" s="176">
        <f>IF('1. Total PFAS Calculator'!$D$24='1. Total PFAS Calculator'!$K$20,"",IF(G13="","",IF('1. Total PFAS Calculator'!$D$24='1. Total PFAS Calculator'!$K$20,"",(G13/F13))))</f>
        <v>0</v>
      </c>
      <c r="N13" s="226">
        <f>IF('1. Total PFAS Calculator'!$D$24='1. Total PFAS Calculator'!$K$20,"",IF(I13="","",IF('1. Total PFAS Calculator'!$D$24='1. Total PFAS Calculator'!$K$20,"",(I13/F13))))</f>
        <v>0</v>
      </c>
      <c r="O13" s="228" t="str">
        <f t="shared" si="4"/>
        <v/>
      </c>
      <c r="P13" s="230" t="str">
        <f t="shared" si="5"/>
        <v/>
      </c>
      <c r="Q13" s="133"/>
      <c r="R13" s="22">
        <v>3</v>
      </c>
    </row>
    <row r="14" spans="2:18" s="20" customFormat="1" ht="15" customHeight="1">
      <c r="B14" s="103" t="s">
        <v>59</v>
      </c>
      <c r="C14" s="104" t="s">
        <v>38</v>
      </c>
      <c r="D14" s="105" t="s">
        <v>46</v>
      </c>
      <c r="E14" s="425">
        <v>164</v>
      </c>
      <c r="F14" s="301">
        <f>IF('1. Total PFAS Calculator'!$D$27='1. Total PFAS Calculator'!$K$23,'3. PFAS Summary Action Levels'!G14,IF('1. Total PFAS Calculator'!$D$27='1. Total PFAS Calculator'!$K$24,'3. PFAS Summary Action Levels'!H14,'3. PFAS Summary Action Levels'!I14))</f>
        <v>5037.6844612152217</v>
      </c>
      <c r="G14" s="182">
        <f>IF('1. Total PFAS Calculator'!$D$24='1. Total PFAS Calculator'!$K$20,"",IF('2. Sample Data Input'!D19="",0,'2. Sample Data Input'!D19))</f>
        <v>0</v>
      </c>
      <c r="H14" s="181">
        <f>IF('1. Total PFAS Calculator'!$D$24='1. Total PFAS Calculator'!$K$20,"",IF('2. Sample Data Input'!E19="",0,'2. Sample Data Input'!E19))</f>
        <v>0</v>
      </c>
      <c r="I14" s="436">
        <f t="shared" si="0"/>
        <v>0</v>
      </c>
      <c r="J14" s="439" t="str">
        <f t="shared" si="1"/>
        <v/>
      </c>
      <c r="K14" s="475" t="str">
        <f t="shared" si="2"/>
        <v/>
      </c>
      <c r="L14" s="192">
        <f t="shared" si="3"/>
        <v>0</v>
      </c>
      <c r="M14" s="176">
        <f>IF('1. Total PFAS Calculator'!$D$24='1. Total PFAS Calculator'!$K$20,"",IF(G14="","",IF('1. Total PFAS Calculator'!$D$24='1. Total PFAS Calculator'!$K$20,"",(G14/F14))))</f>
        <v>0</v>
      </c>
      <c r="N14" s="226">
        <f>IF('1. Total PFAS Calculator'!$D$24='1. Total PFAS Calculator'!$K$20,"",IF(I14="","",IF('1. Total PFAS Calculator'!$D$24='1. Total PFAS Calculator'!$K$20,"",(I14/F14))))</f>
        <v>0</v>
      </c>
      <c r="O14" s="228" t="str">
        <f t="shared" si="4"/>
        <v/>
      </c>
      <c r="P14" s="230" t="str">
        <f t="shared" si="5"/>
        <v/>
      </c>
      <c r="Q14" s="133"/>
      <c r="R14" s="22">
        <v>5</v>
      </c>
    </row>
    <row r="15" spans="2:18" s="20" customFormat="1" ht="15" customHeight="1">
      <c r="B15" s="103" t="s">
        <v>9</v>
      </c>
      <c r="C15" s="104" t="s">
        <v>25</v>
      </c>
      <c r="D15" s="105" t="s">
        <v>44</v>
      </c>
      <c r="E15" s="425">
        <v>213.03100000000001</v>
      </c>
      <c r="F15" s="301">
        <f>IF('1. Total PFAS Calculator'!$D$27='1. Total PFAS Calculator'!$K$23,'3. PFAS Summary Action Levels'!G15,IF('1. Total PFAS Calculator'!$D$27='1. Total PFAS Calculator'!$K$24,'3. PFAS Summary Action Levels'!H15,'3. PFAS Summary Action Levels'!I15))</f>
        <v>48041.58279245138</v>
      </c>
      <c r="G15" s="182">
        <f>IF('1. Total PFAS Calculator'!$D$24='1. Total PFAS Calculator'!$K$20,"",IF('2. Sample Data Input'!D20="",0,'2. Sample Data Input'!D20))</f>
        <v>0</v>
      </c>
      <c r="H15" s="181">
        <f>IF('1. Total PFAS Calculator'!$D$24='1. Total PFAS Calculator'!$K$20,"",IF('2. Sample Data Input'!E20="",0,'2. Sample Data Input'!E20))</f>
        <v>0</v>
      </c>
      <c r="I15" s="436">
        <f t="shared" si="0"/>
        <v>0</v>
      </c>
      <c r="J15" s="439" t="str">
        <f t="shared" si="1"/>
        <v/>
      </c>
      <c r="K15" s="475" t="str">
        <f t="shared" si="2"/>
        <v/>
      </c>
      <c r="L15" s="192">
        <f t="shared" si="3"/>
        <v>0</v>
      </c>
      <c r="M15" s="176">
        <f>IF('1. Total PFAS Calculator'!$D$24='1. Total PFAS Calculator'!$K$20,"",IF(G15="","",IF('1. Total PFAS Calculator'!$D$24='1. Total PFAS Calculator'!$K$20,"",(G15/F15))))</f>
        <v>0</v>
      </c>
      <c r="N15" s="226">
        <f>IF('1. Total PFAS Calculator'!$D$24='1. Total PFAS Calculator'!$K$20,"",IF(I15="","",IF('1. Total PFAS Calculator'!$D$24='1. Total PFAS Calculator'!$K$20,"",(I15/F15))))</f>
        <v>0</v>
      </c>
      <c r="O15" s="228" t="str">
        <f t="shared" si="4"/>
        <v/>
      </c>
      <c r="P15" s="230" t="str">
        <f t="shared" si="5"/>
        <v/>
      </c>
      <c r="Q15" s="133"/>
      <c r="R15" s="22">
        <v>7</v>
      </c>
    </row>
    <row r="16" spans="2:18" s="20" customFormat="1" ht="15" customHeight="1">
      <c r="B16" s="103" t="s">
        <v>10</v>
      </c>
      <c r="C16" s="104" t="s">
        <v>26</v>
      </c>
      <c r="D16" s="105" t="s">
        <v>45</v>
      </c>
      <c r="E16" s="425">
        <v>263.03899999999999</v>
      </c>
      <c r="F16" s="301">
        <f>IF('1. Total PFAS Calculator'!$D$27='1. Total PFAS Calculator'!$K$23,'3. PFAS Summary Action Levels'!G16,IF('1. Total PFAS Calculator'!$D$27='1. Total PFAS Calculator'!$K$24,'3. PFAS Summary Action Levels'!H16,'3. PFAS Summary Action Levels'!I16))</f>
        <v>5057.0299660946039</v>
      </c>
      <c r="G16" s="182">
        <f>IF('1. Total PFAS Calculator'!$D$24='1. Total PFAS Calculator'!$K$20,"",IF('2. Sample Data Input'!D21="",0,'2. Sample Data Input'!D21))</f>
        <v>0</v>
      </c>
      <c r="H16" s="181">
        <f>IF('1. Total PFAS Calculator'!$D$24='1. Total PFAS Calculator'!$K$20,"",IF('2. Sample Data Input'!E21="",0,'2. Sample Data Input'!E21))</f>
        <v>0</v>
      </c>
      <c r="I16" s="436">
        <f t="shared" si="0"/>
        <v>0</v>
      </c>
      <c r="J16" s="439" t="str">
        <f t="shared" si="1"/>
        <v/>
      </c>
      <c r="K16" s="475" t="str">
        <f t="shared" si="2"/>
        <v/>
      </c>
      <c r="L16" s="192">
        <f t="shared" si="3"/>
        <v>0</v>
      </c>
      <c r="M16" s="176">
        <f>IF('1. Total PFAS Calculator'!$D$24='1. Total PFAS Calculator'!$K$20,"",IF(G16="","",IF('1. Total PFAS Calculator'!$D$24='1. Total PFAS Calculator'!$K$20,"",(G16/F16))))</f>
        <v>0</v>
      </c>
      <c r="N16" s="226">
        <f>IF('1. Total PFAS Calculator'!$D$24='1. Total PFAS Calculator'!$K$20,"",IF(I16="","",IF('1. Total PFAS Calculator'!$D$24='1. Total PFAS Calculator'!$K$20,"",(I16/F16))))</f>
        <v>0</v>
      </c>
      <c r="O16" s="228" t="str">
        <f t="shared" si="4"/>
        <v/>
      </c>
      <c r="P16" s="230" t="str">
        <f t="shared" si="5"/>
        <v/>
      </c>
      <c r="Q16" s="133"/>
      <c r="R16" s="22">
        <v>9</v>
      </c>
    </row>
    <row r="17" spans="2:18" s="20" customFormat="1" ht="15" customHeight="1">
      <c r="B17" s="103" t="s">
        <v>11</v>
      </c>
      <c r="C17" s="104" t="s">
        <v>27</v>
      </c>
      <c r="D17" s="105" t="s">
        <v>47</v>
      </c>
      <c r="E17" s="425">
        <v>313.04700000000003</v>
      </c>
      <c r="F17" s="301">
        <f>IF('1. Total PFAS Calculator'!$D$27='1. Total PFAS Calculator'!$K$23,'3. PFAS Summary Action Levels'!G17,IF('1. Total PFAS Calculator'!$D$27='1. Total PFAS Calculator'!$K$24,'3. PFAS Summary Action Levels'!H17,'3. PFAS Summary Action Levels'!I17))</f>
        <v>6321.2874576182548</v>
      </c>
      <c r="G17" s="182">
        <f>IF('1. Total PFAS Calculator'!$D$24='1. Total PFAS Calculator'!$K$20,"",IF('2. Sample Data Input'!D22="",0,'2. Sample Data Input'!D22))</f>
        <v>0</v>
      </c>
      <c r="H17" s="181">
        <f>IF('1. Total PFAS Calculator'!$D$24='1. Total PFAS Calculator'!$K$20,"",IF('2. Sample Data Input'!E22="",0,'2. Sample Data Input'!E22))</f>
        <v>0</v>
      </c>
      <c r="I17" s="436">
        <f t="shared" si="0"/>
        <v>0</v>
      </c>
      <c r="J17" s="439" t="str">
        <f t="shared" si="1"/>
        <v/>
      </c>
      <c r="K17" s="475" t="str">
        <f t="shared" si="2"/>
        <v/>
      </c>
      <c r="L17" s="192">
        <f t="shared" si="3"/>
        <v>0</v>
      </c>
      <c r="M17" s="176">
        <f>IF('1. Total PFAS Calculator'!$D$24='1. Total PFAS Calculator'!$K$20,"",IF(G17="","",IF('1. Total PFAS Calculator'!$D$24='1. Total PFAS Calculator'!$K$20,"",(G17/F17))))</f>
        <v>0</v>
      </c>
      <c r="N17" s="226">
        <f>IF('1. Total PFAS Calculator'!$D$24='1. Total PFAS Calculator'!$K$20,"",IF(I17="","",IF('1. Total PFAS Calculator'!$D$24='1. Total PFAS Calculator'!$K$20,"",(I17/F17))))</f>
        <v>0</v>
      </c>
      <c r="O17" s="228" t="str">
        <f t="shared" si="4"/>
        <v/>
      </c>
      <c r="P17" s="230" t="str">
        <f t="shared" si="5"/>
        <v/>
      </c>
      <c r="Q17" s="133"/>
      <c r="R17" s="22">
        <v>11</v>
      </c>
    </row>
    <row r="18" spans="2:18" s="20" customFormat="1" ht="15" customHeight="1">
      <c r="B18" s="103" t="s">
        <v>12</v>
      </c>
      <c r="C18" s="104" t="s">
        <v>28</v>
      </c>
      <c r="D18" s="105" t="s">
        <v>48</v>
      </c>
      <c r="E18" s="425">
        <v>363.05500000000001</v>
      </c>
      <c r="F18" s="301">
        <f>IF('1. Total PFAS Calculator'!$D$27='1. Total PFAS Calculator'!$K$23,'3. PFAS Summary Action Levels'!G18,IF('1. Total PFAS Calculator'!$D$27='1. Total PFAS Calculator'!$K$24,'3. PFAS Summary Action Levels'!H18,'3. PFAS Summary Action Levels'!I18))</f>
        <v>252.85471822285859</v>
      </c>
      <c r="G18" s="182">
        <f>IF('1. Total PFAS Calculator'!$D$24='1. Total PFAS Calculator'!$K$20,"",IF('2. Sample Data Input'!D23="",0,'2. Sample Data Input'!D23))</f>
        <v>0</v>
      </c>
      <c r="H18" s="181">
        <f>IF('1. Total PFAS Calculator'!$D$24='1. Total PFAS Calculator'!$K$20,"",IF('2. Sample Data Input'!E23="",0,'2. Sample Data Input'!E23))</f>
        <v>0</v>
      </c>
      <c r="I18" s="436">
        <f t="shared" si="0"/>
        <v>0</v>
      </c>
      <c r="J18" s="439" t="str">
        <f t="shared" si="1"/>
        <v/>
      </c>
      <c r="K18" s="475" t="str">
        <f t="shared" si="2"/>
        <v/>
      </c>
      <c r="L18" s="192">
        <f t="shared" si="3"/>
        <v>0</v>
      </c>
      <c r="M18" s="176">
        <f>IF('1. Total PFAS Calculator'!$D$24='1. Total PFAS Calculator'!$K$20,"",IF(G18="","",IF('1. Total PFAS Calculator'!$D$24='1. Total PFAS Calculator'!$K$20,"",(G18/F18))))</f>
        <v>0</v>
      </c>
      <c r="N18" s="226">
        <f>IF('1. Total PFAS Calculator'!$D$24='1. Total PFAS Calculator'!$K$20,"",IF(I18="","",IF('1. Total PFAS Calculator'!$D$24='1. Total PFAS Calculator'!$K$20,"",(I18/F18))))</f>
        <v>0</v>
      </c>
      <c r="O18" s="228" t="str">
        <f t="shared" si="4"/>
        <v/>
      </c>
      <c r="P18" s="230" t="str">
        <f t="shared" si="5"/>
        <v/>
      </c>
      <c r="Q18" s="133"/>
      <c r="R18" s="22">
        <v>13</v>
      </c>
    </row>
    <row r="19" spans="2:18" s="20" customFormat="1" ht="15" customHeight="1">
      <c r="B19" s="103" t="s">
        <v>13</v>
      </c>
      <c r="C19" s="104" t="s">
        <v>29</v>
      </c>
      <c r="D19" s="105" t="s">
        <v>49</v>
      </c>
      <c r="E19" s="425">
        <v>413.06299999999999</v>
      </c>
      <c r="F19" s="301">
        <f>IF('1. Total PFAS Calculator'!$D$27='1. Total PFAS Calculator'!$K$23,'3. PFAS Summary Action Levels'!G19,IF('1. Total PFAS Calculator'!$D$27='1. Total PFAS Calculator'!$K$24,'3. PFAS Summary Action Levels'!H19,'3. PFAS Summary Action Levels'!I19))</f>
        <v>37.926970838246824</v>
      </c>
      <c r="G19" s="182">
        <f>IF('1. Total PFAS Calculator'!$D$24='1. Total PFAS Calculator'!$K$20,"",IF('2. Sample Data Input'!D24="",0,'2. Sample Data Input'!D24))</f>
        <v>0</v>
      </c>
      <c r="H19" s="181">
        <f>IF('1. Total PFAS Calculator'!$D$24='1. Total PFAS Calculator'!$K$20,"",IF('2. Sample Data Input'!E24="",0,'2. Sample Data Input'!E24))</f>
        <v>0</v>
      </c>
      <c r="I19" s="436">
        <f t="shared" si="0"/>
        <v>0</v>
      </c>
      <c r="J19" s="439" t="str">
        <f t="shared" si="1"/>
        <v/>
      </c>
      <c r="K19" s="475" t="str">
        <f t="shared" si="2"/>
        <v/>
      </c>
      <c r="L19" s="192">
        <f t="shared" si="3"/>
        <v>0</v>
      </c>
      <c r="M19" s="176">
        <f>IF('1. Total PFAS Calculator'!$D$24='1. Total PFAS Calculator'!$K$20,"",IF(G19="","",IF('1. Total PFAS Calculator'!$D$24='1. Total PFAS Calculator'!$K$20,"",(G19/F19))))</f>
        <v>0</v>
      </c>
      <c r="N19" s="226">
        <f>IF('1. Total PFAS Calculator'!$D$24='1. Total PFAS Calculator'!$K$20,"",IF(I19="","",IF('1. Total PFAS Calculator'!$D$24='1. Total PFAS Calculator'!$K$20,"",(I19/F19))))</f>
        <v>0</v>
      </c>
      <c r="O19" s="228" t="str">
        <f t="shared" si="4"/>
        <v/>
      </c>
      <c r="P19" s="230" t="str">
        <f t="shared" si="5"/>
        <v/>
      </c>
      <c r="Q19" s="133"/>
      <c r="R19" s="22">
        <v>15</v>
      </c>
    </row>
    <row r="20" spans="2:18" s="20" customFormat="1" ht="15" customHeight="1">
      <c r="B20" s="103" t="s">
        <v>14</v>
      </c>
      <c r="C20" s="104" t="s">
        <v>30</v>
      </c>
      <c r="D20" s="105" t="s">
        <v>50</v>
      </c>
      <c r="E20" s="425">
        <v>463.07</v>
      </c>
      <c r="F20" s="301">
        <f>IF('1. Total PFAS Calculator'!$D$27='1. Total PFAS Calculator'!$K$23,'3. PFAS Summary Action Levels'!G20,IF('1. Total PFAS Calculator'!$D$27='1. Total PFAS Calculator'!$K$24,'3. PFAS Summary Action Levels'!H20,'3. PFAS Summary Action Levels'!I20))</f>
        <v>37.928026611592529</v>
      </c>
      <c r="G20" s="182">
        <f>IF('1. Total PFAS Calculator'!$D$24='1. Total PFAS Calculator'!$K$20,"",IF('2. Sample Data Input'!D25="",0,'2. Sample Data Input'!D25))</f>
        <v>0</v>
      </c>
      <c r="H20" s="181">
        <f>IF('1. Total PFAS Calculator'!$D$24='1. Total PFAS Calculator'!$K$20,"",IF('2. Sample Data Input'!E25="",0,'2. Sample Data Input'!E25))</f>
        <v>0</v>
      </c>
      <c r="I20" s="436">
        <f t="shared" si="0"/>
        <v>0</v>
      </c>
      <c r="J20" s="439" t="str">
        <f t="shared" si="1"/>
        <v/>
      </c>
      <c r="K20" s="475" t="str">
        <f t="shared" si="2"/>
        <v/>
      </c>
      <c r="L20" s="192">
        <f t="shared" si="3"/>
        <v>0</v>
      </c>
      <c r="M20" s="176">
        <f>IF('1. Total PFAS Calculator'!$D$24='1. Total PFAS Calculator'!$K$20,"",IF(G20="","",IF('1. Total PFAS Calculator'!$D$24='1. Total PFAS Calculator'!$K$20,"",(G20/F20))))</f>
        <v>0</v>
      </c>
      <c r="N20" s="226">
        <f>IF('1. Total PFAS Calculator'!$D$24='1. Total PFAS Calculator'!$K$20,"",IF(I20="","",IF('1. Total PFAS Calculator'!$D$24='1. Total PFAS Calculator'!$K$20,"",(I20/F20))))</f>
        <v>0</v>
      </c>
      <c r="O20" s="228" t="str">
        <f t="shared" si="4"/>
        <v/>
      </c>
      <c r="P20" s="230" t="str">
        <f t="shared" si="5"/>
        <v/>
      </c>
      <c r="Q20" s="133"/>
      <c r="R20" s="22">
        <v>17</v>
      </c>
    </row>
    <row r="21" spans="2:18" s="20" customFormat="1" ht="15" customHeight="1">
      <c r="B21" s="103" t="s">
        <v>15</v>
      </c>
      <c r="C21" s="104" t="s">
        <v>31</v>
      </c>
      <c r="D21" s="105" t="s">
        <v>51</v>
      </c>
      <c r="E21" s="425">
        <v>513.07799999999997</v>
      </c>
      <c r="F21" s="301">
        <f>IF('1. Total PFAS Calculator'!$D$27='1. Total PFAS Calculator'!$K$23,'3. PFAS Summary Action Levels'!G21,IF('1. Total PFAS Calculator'!$D$27='1. Total PFAS Calculator'!$K$24,'3. PFAS Summary Action Levels'!H21,'3. PFAS Summary Action Levels'!I21))</f>
        <v>25.285429294595264</v>
      </c>
      <c r="G21" s="182">
        <f>IF('1. Total PFAS Calculator'!$D$24='1. Total PFAS Calculator'!$K$20,"",IF('2. Sample Data Input'!D26="",0,'2. Sample Data Input'!D26))</f>
        <v>0</v>
      </c>
      <c r="H21" s="181">
        <f>IF('1. Total PFAS Calculator'!$D$24='1. Total PFAS Calculator'!$K$20,"",IF('2. Sample Data Input'!E26="",0,'2. Sample Data Input'!E26))</f>
        <v>0</v>
      </c>
      <c r="I21" s="436">
        <f t="shared" si="0"/>
        <v>0</v>
      </c>
      <c r="J21" s="439" t="str">
        <f t="shared" si="1"/>
        <v/>
      </c>
      <c r="K21" s="475" t="str">
        <f t="shared" si="2"/>
        <v/>
      </c>
      <c r="L21" s="192">
        <f t="shared" si="3"/>
        <v>0</v>
      </c>
      <c r="M21" s="176">
        <f>IF('1. Total PFAS Calculator'!$D$24='1. Total PFAS Calculator'!$K$20,"",IF(G21="","",IF('1. Total PFAS Calculator'!$D$24='1. Total PFAS Calculator'!$K$20,"",(G21/F21))))</f>
        <v>0</v>
      </c>
      <c r="N21" s="226">
        <f>IF('1. Total PFAS Calculator'!$D$24='1. Total PFAS Calculator'!$K$20,"",IF(I21="","",IF('1. Total PFAS Calculator'!$D$24='1. Total PFAS Calculator'!$K$20,"",(I21/F21))))</f>
        <v>0</v>
      </c>
      <c r="O21" s="228" t="str">
        <f t="shared" si="4"/>
        <v/>
      </c>
      <c r="P21" s="230" t="str">
        <f t="shared" si="5"/>
        <v/>
      </c>
      <c r="Q21" s="133"/>
      <c r="R21" s="22">
        <v>19</v>
      </c>
    </row>
    <row r="22" spans="2:18" s="20" customFormat="1" ht="15" customHeight="1">
      <c r="B22" s="103" t="s">
        <v>16</v>
      </c>
      <c r="C22" s="104" t="s">
        <v>32</v>
      </c>
      <c r="D22" s="105" t="s">
        <v>52</v>
      </c>
      <c r="E22" s="425">
        <v>563.08600000000001</v>
      </c>
      <c r="F22" s="301">
        <f>IF('1. Total PFAS Calculator'!$D$27='1. Total PFAS Calculator'!$K$23,'3. PFAS Summary Action Levels'!G22,IF('1. Total PFAS Calculator'!$D$27='1. Total PFAS Calculator'!$K$24,'3. PFAS Summary Action Levels'!H22,'3. PFAS Summary Action Levels'!I22))</f>
        <v>63.213679555714648</v>
      </c>
      <c r="G22" s="182">
        <f>IF('1. Total PFAS Calculator'!$D$24='1. Total PFAS Calculator'!$K$20,"",IF('2. Sample Data Input'!D27="",0,'2. Sample Data Input'!D27))</f>
        <v>0</v>
      </c>
      <c r="H22" s="181">
        <f>IF('1. Total PFAS Calculator'!$D$24='1. Total PFAS Calculator'!$K$20,"",IF('2. Sample Data Input'!E27="",0,'2. Sample Data Input'!E27))</f>
        <v>0</v>
      </c>
      <c r="I22" s="436">
        <f t="shared" si="0"/>
        <v>0</v>
      </c>
      <c r="J22" s="439" t="str">
        <f t="shared" si="1"/>
        <v/>
      </c>
      <c r="K22" s="475" t="str">
        <f t="shared" si="2"/>
        <v/>
      </c>
      <c r="L22" s="192">
        <f t="shared" si="3"/>
        <v>0</v>
      </c>
      <c r="M22" s="176">
        <f>IF('1. Total PFAS Calculator'!$D$24='1. Total PFAS Calculator'!$K$20,"",IF(G22="","",IF('1. Total PFAS Calculator'!$D$24='1. Total PFAS Calculator'!$K$20,"",(G22/F22))))</f>
        <v>0</v>
      </c>
      <c r="N22" s="226">
        <f>IF('1. Total PFAS Calculator'!$D$24='1. Total PFAS Calculator'!$K$20,"",IF(I22="","",IF('1. Total PFAS Calculator'!$D$24='1. Total PFAS Calculator'!$K$20,"",(I22/F22))))</f>
        <v>0</v>
      </c>
      <c r="O22" s="228" t="str">
        <f t="shared" si="4"/>
        <v/>
      </c>
      <c r="P22" s="230" t="str">
        <f t="shared" si="5"/>
        <v/>
      </c>
      <c r="Q22" s="133"/>
      <c r="R22" s="22">
        <v>21</v>
      </c>
    </row>
    <row r="23" spans="2:18" s="20" customFormat="1" ht="15" customHeight="1">
      <c r="B23" s="103" t="s">
        <v>17</v>
      </c>
      <c r="C23" s="104" t="s">
        <v>33</v>
      </c>
      <c r="D23" s="105" t="s">
        <v>53</v>
      </c>
      <c r="E23" s="425">
        <v>613.09400000000005</v>
      </c>
      <c r="F23" s="301">
        <f>IF('1. Total PFAS Calculator'!$D$27='1. Total PFAS Calculator'!$K$23,'3. PFAS Summary Action Levels'!G23,IF('1. Total PFAS Calculator'!$D$27='1. Total PFAS Calculator'!$K$24,'3. PFAS Summary Action Levels'!H23,'3. PFAS Summary Action Levels'!I23))</f>
        <v>84.705728342417075</v>
      </c>
      <c r="G23" s="182">
        <f>IF('1. Total PFAS Calculator'!$D$24='1. Total PFAS Calculator'!$K$20,"",IF('2. Sample Data Input'!D28="",0,'2. Sample Data Input'!D28))</f>
        <v>0</v>
      </c>
      <c r="H23" s="181">
        <f>IF('1. Total PFAS Calculator'!$D$24='1. Total PFAS Calculator'!$K$20,"",IF('2. Sample Data Input'!E28="",0,'2. Sample Data Input'!E28))</f>
        <v>0</v>
      </c>
      <c r="I23" s="436">
        <f t="shared" si="0"/>
        <v>0</v>
      </c>
      <c r="J23" s="439" t="str">
        <f t="shared" si="1"/>
        <v/>
      </c>
      <c r="K23" s="475" t="str">
        <f t="shared" si="2"/>
        <v/>
      </c>
      <c r="L23" s="192">
        <f t="shared" si="3"/>
        <v>0</v>
      </c>
      <c r="M23" s="176">
        <f>IF('1. Total PFAS Calculator'!$D$24='1. Total PFAS Calculator'!$K$20,"",IF(G23="","",IF('1. Total PFAS Calculator'!$D$24='1. Total PFAS Calculator'!$K$20,"",(G23/F23))))</f>
        <v>0</v>
      </c>
      <c r="N23" s="226">
        <f>IF('1. Total PFAS Calculator'!$D$24='1. Total PFAS Calculator'!$K$20,"",IF(I23="","",IF('1. Total PFAS Calculator'!$D$24='1. Total PFAS Calculator'!$K$20,"",(I23/F23))))</f>
        <v>0</v>
      </c>
      <c r="O23" s="228" t="str">
        <f t="shared" si="4"/>
        <v/>
      </c>
      <c r="P23" s="230" t="str">
        <f t="shared" si="5"/>
        <v/>
      </c>
      <c r="Q23" s="133"/>
      <c r="R23" s="22">
        <v>23</v>
      </c>
    </row>
    <row r="24" spans="2:18" s="20" customFormat="1" ht="15" customHeight="1">
      <c r="B24" s="103" t="s">
        <v>18</v>
      </c>
      <c r="C24" s="104" t="s">
        <v>34</v>
      </c>
      <c r="D24" s="105" t="s">
        <v>54</v>
      </c>
      <c r="E24" s="425">
        <v>663.10199999999998</v>
      </c>
      <c r="F24" s="301">
        <f>IF('1. Total PFAS Calculator'!$D$27='1. Total PFAS Calculator'!$K$23,'3. PFAS Summary Action Levels'!G24,IF('1. Total PFAS Calculator'!$D$27='1. Total PFAS Calculator'!$K$24,'3. PFAS Summary Action Levels'!H24,'3. PFAS Summary Action Levels'!I24))</f>
        <v>84.706330604657623</v>
      </c>
      <c r="G24" s="182">
        <f>IF('1. Total PFAS Calculator'!$D$24='1. Total PFAS Calculator'!$K$20,"",IF('2. Sample Data Input'!D29="",0,'2. Sample Data Input'!D29))</f>
        <v>0</v>
      </c>
      <c r="H24" s="181">
        <f>IF('1. Total PFAS Calculator'!$D$24='1. Total PFAS Calculator'!$K$20,"",IF('2. Sample Data Input'!E29="",0,'2. Sample Data Input'!E29))</f>
        <v>0</v>
      </c>
      <c r="I24" s="436">
        <f t="shared" si="0"/>
        <v>0</v>
      </c>
      <c r="J24" s="439" t="str">
        <f t="shared" si="1"/>
        <v/>
      </c>
      <c r="K24" s="475" t="str">
        <f t="shared" si="2"/>
        <v/>
      </c>
      <c r="L24" s="192">
        <f t="shared" si="3"/>
        <v>0</v>
      </c>
      <c r="M24" s="176">
        <f>IF('1. Total PFAS Calculator'!$D$24='1. Total PFAS Calculator'!$K$20,"",IF(G24="","",IF('1. Total PFAS Calculator'!$D$24='1. Total PFAS Calculator'!$K$20,"",(G24/F24))))</f>
        <v>0</v>
      </c>
      <c r="N24" s="226">
        <f>IF('1. Total PFAS Calculator'!$D$24='1. Total PFAS Calculator'!$K$20,"",IF(I24="","",IF('1. Total PFAS Calculator'!$D$24='1. Total PFAS Calculator'!$K$20,"",(I24/F24))))</f>
        <v>0</v>
      </c>
      <c r="O24" s="228" t="str">
        <f t="shared" si="4"/>
        <v/>
      </c>
      <c r="P24" s="230" t="str">
        <f t="shared" si="5"/>
        <v/>
      </c>
      <c r="Q24" s="133"/>
      <c r="R24" s="22">
        <v>25</v>
      </c>
    </row>
    <row r="25" spans="2:18" s="20" customFormat="1" ht="15" customHeight="1">
      <c r="B25" s="484" t="s">
        <v>19</v>
      </c>
      <c r="C25" s="485" t="s">
        <v>35</v>
      </c>
      <c r="D25" s="495" t="s">
        <v>55</v>
      </c>
      <c r="E25" s="496">
        <v>713.10900000000004</v>
      </c>
      <c r="F25" s="497">
        <f>IF('1. Total PFAS Calculator'!$D$27='1. Total PFAS Calculator'!$K$23,'3. PFAS Summary Action Levels'!G25,IF('1. Total PFAS Calculator'!$D$27='1. Total PFAS Calculator'!$K$24,'3. PFAS Summary Action Levels'!H25,'3. PFAS Summary Action Levels'!I25))</f>
        <v>847.06330604657603</v>
      </c>
      <c r="G25" s="498">
        <f>IF('1. Total PFAS Calculator'!$D$24='1. Total PFAS Calculator'!$K$20,"",IF('2. Sample Data Input'!D30="",0,'2. Sample Data Input'!D30))</f>
        <v>0</v>
      </c>
      <c r="H25" s="499">
        <f>IF('1. Total PFAS Calculator'!$D$24='1. Total PFAS Calculator'!$K$20,"",IF('2. Sample Data Input'!E30="",0,'2. Sample Data Input'!E30))</f>
        <v>0</v>
      </c>
      <c r="I25" s="500">
        <f>IF(H25="",0,IF(AND(G25="",H25=""),0,IF(AND(G25="",H25&gt;0),H25,IF((H25-G25)&lt;0,0,(H25-G25)))))</f>
        <v>0</v>
      </c>
      <c r="J25" s="501" t="str">
        <f>IF(G25="","",IF(G25=0,"",(G25/$G$27)))</f>
        <v/>
      </c>
      <c r="K25" s="502" t="str">
        <f>IF(I25=0,"",IF(AND(G25="",H25&gt;0),(I25/$I$27),IF((H25-G25)&lt;0,"",(I25/$I$27))))</f>
        <v/>
      </c>
      <c r="L25" s="503">
        <f>IF(AND(G25="",H25=""),"",(G25+I25)*((R25*18.998)/E25))</f>
        <v>0</v>
      </c>
      <c r="M25" s="504">
        <f>IF('1. Total PFAS Calculator'!$D$24='1. Total PFAS Calculator'!$K$20,"",IF(G25="","",IF('1. Total PFAS Calculator'!$D$24='1. Total PFAS Calculator'!$K$20,"",(G25/F25))))</f>
        <v>0</v>
      </c>
      <c r="N25" s="505">
        <f>IF('1. Total PFAS Calculator'!$D$24='1. Total PFAS Calculator'!$K$20,"",IF(I25="","",IF('1. Total PFAS Calculator'!$D$24='1. Total PFAS Calculator'!$K$20,"",(I25/F25))))</f>
        <v>0</v>
      </c>
      <c r="O25" s="535" t="str">
        <f>IF(OR(M25="",M25=0),"",M25/$M$27)</f>
        <v/>
      </c>
      <c r="P25" s="536" t="str">
        <f>IF(OR(N25="",N25=0),"",N25/$N$27)</f>
        <v/>
      </c>
      <c r="Q25" s="133"/>
      <c r="R25" s="22">
        <v>27</v>
      </c>
    </row>
    <row r="26" spans="2:18" s="7" customFormat="1" ht="26.65" thickBot="1">
      <c r="B26" s="538" t="s">
        <v>208</v>
      </c>
      <c r="C26" s="539" t="s">
        <v>209</v>
      </c>
      <c r="D26" s="540" t="s">
        <v>296</v>
      </c>
      <c r="E26" s="541">
        <v>329</v>
      </c>
      <c r="F26" s="542">
        <f>IF('1. Total PFAS Calculator'!$D$27='1. Total PFAS Calculator'!$K$23,'3. PFAS Summary Action Levels'!G26,IF('1. Total PFAS Calculator'!$D$27='1. Total PFAS Calculator'!$K$24,'3. PFAS Summary Action Levels'!H26,'3. PFAS Summary Action Levels'!I26))</f>
        <v>37.928207733428785</v>
      </c>
      <c r="G26" s="527">
        <f>IF('1. Total PFAS Calculator'!$D$24='1. Total PFAS Calculator'!$K$20,"",IF('2. Sample Data Input'!D31="",0,'2. Sample Data Input'!D31))</f>
        <v>0</v>
      </c>
      <c r="H26" s="528">
        <f>IF('1. Total PFAS Calculator'!$D$24='1. Total PFAS Calculator'!$K$20,"",IF('2. Sample Data Input'!E31="",0,'2. Sample Data Input'!E31))</f>
        <v>0</v>
      </c>
      <c r="I26" s="529">
        <f>IF(H26="",0,IF(AND(G26="",H26=""),0,IF(AND(G26="",H26&gt;0),H26,IF((H26-G26)&lt;0,0,(H26-G26)))))</f>
        <v>0</v>
      </c>
      <c r="J26" s="530" t="str">
        <f>IF(G26="","",IF(G26=0,"",(G26/$G$27)))</f>
        <v/>
      </c>
      <c r="K26" s="531" t="str">
        <f>IF(I26=0,"",IF(AND(G26="",H26&gt;0),(I26/$I$27),IF((H26-G26)&lt;0,"",(I26/$I$27))))</f>
        <v/>
      </c>
      <c r="L26" s="532">
        <f>IF(AND(G26="",H26=""),"",(G26+I26)*((R26*18.998)/E26))</f>
        <v>0</v>
      </c>
      <c r="M26" s="533">
        <f>IF('1. Total PFAS Calculator'!$D$24='1. Total PFAS Calculator'!$K$20,"",IF(G26="","",IF('1. Total PFAS Calculator'!$D$24='1. Total PFAS Calculator'!$K$20,"",(G26/F26))))</f>
        <v>0</v>
      </c>
      <c r="N26" s="534">
        <f>IF('1. Total PFAS Calculator'!$D$24='1. Total PFAS Calculator'!$K$20,"",IF(I26="","",IF('1. Total PFAS Calculator'!$D$24='1. Total PFAS Calculator'!$K$20,"",(I26/F26))))</f>
        <v>0</v>
      </c>
      <c r="O26" s="543" t="str">
        <f>IF(OR(M26="",M26=0),"",M26/$M$27)</f>
        <v/>
      </c>
      <c r="P26" s="544" t="str">
        <f>IF(OR(N26="",N26=0),"",N26/$N$27)</f>
        <v/>
      </c>
      <c r="R26" s="126">
        <v>11</v>
      </c>
    </row>
    <row r="27" spans="2:18" s="20" customFormat="1" ht="13.5" thickBot="1">
      <c r="B27" s="108"/>
      <c r="C27" s="109"/>
      <c r="D27" s="110"/>
      <c r="E27" s="110"/>
      <c r="F27" s="537" t="s">
        <v>67</v>
      </c>
      <c r="G27" s="316">
        <f>IF('1. Total PFAS Calculator'!$D$24='1. Total PFAS Calculator'!$K$20,"",SUM(G7:G26))</f>
        <v>0</v>
      </c>
      <c r="H27" s="317">
        <f>IF('1. Total PFAS Calculator'!$D$24='1. Total PFAS Calculator'!$K$20,"",SUM(H7:H26))</f>
        <v>0</v>
      </c>
      <c r="I27" s="445" t="str">
        <f>IF('2. Sample Data Input'!E32="","",IF('1. Total PFAS Calculator'!$D$24='1. Total PFAS Calculator'!$K$20,"",SUM(I7:I26)))</f>
        <v/>
      </c>
      <c r="J27" s="447" t="str">
        <f>IF('2. Sample Data Input'!D32="","",IF('1. Total PFAS Calculator'!$D$24='1. Total PFAS Calculator'!$K$20,"",SUM(J7:J26)))</f>
        <v/>
      </c>
      <c r="K27" s="446" t="str">
        <f>IF('2. Sample Data Input'!E32="","",IF('1. Total PFAS Calculator'!$D$24='1. Total PFAS Calculator'!$K$20,"",SUM(K7:K26)))</f>
        <v/>
      </c>
      <c r="L27" s="443" t="str">
        <f>IF('2. Sample Data Input'!D7="","",IF('1. Total PFAS Calculator'!$D$24='1. Total PFAS Calculator'!$K$20,"",SUM(L7:L26)))</f>
        <v/>
      </c>
      <c r="M27" s="174" t="str">
        <f>IF('2. Sample Data Input'!D32="","",IF('1. Total PFAS Calculator'!$D$24='1. Total PFAS Calculator'!$K$20,"",SUM(M7:M26)))</f>
        <v/>
      </c>
      <c r="N27" s="235" t="str">
        <f>IF('2. Sample Data Input'!E32="","",IF('1. Total PFAS Calculator'!$D$24='1. Total PFAS Calculator'!$K$20,"",SUM(N7:N26)))</f>
        <v/>
      </c>
      <c r="O27" s="233" t="str">
        <f>IF('1. Total PFAS Calculator'!$D$24='1. Total PFAS Calculator'!$K$20,"",IF('2. Sample Data Input'!D32="","",SUM(O7:O26)))</f>
        <v/>
      </c>
      <c r="P27" s="234" t="str">
        <f>IF('1. Total PFAS Calculator'!$D$24='1. Total PFAS Calculator'!$K$20,"",IF(N27="","",SUM(P7:P26)))</f>
        <v/>
      </c>
      <c r="Q27" s="180"/>
      <c r="R27" s="22"/>
    </row>
    <row r="28" spans="2:18" s="20" customFormat="1" ht="13.5" thickTop="1">
      <c r="B28" s="36"/>
      <c r="C28" s="19"/>
      <c r="D28" s="53"/>
      <c r="E28" s="53"/>
      <c r="F28" s="56"/>
      <c r="G28" s="56"/>
      <c r="H28" s="56"/>
      <c r="I28" s="183"/>
      <c r="J28" s="184"/>
      <c r="K28" s="184" t="s">
        <v>102</v>
      </c>
      <c r="L28" s="189" t="str">
        <f>IF('1. Total PFAS Calculator'!$D$24='1. Total PFAS Calculator'!$K$20,"",IF('2. Sample Data Input'!D7="","",'2. Sample Data Input'!D7))</f>
        <v/>
      </c>
      <c r="M28" s="195"/>
      <c r="N28" s="22"/>
      <c r="Q28" s="22"/>
      <c r="R28" s="22"/>
    </row>
    <row r="29" spans="2:18" s="20" customFormat="1" ht="14.65">
      <c r="C29" s="19"/>
      <c r="D29" s="53"/>
      <c r="E29" s="53"/>
      <c r="F29" s="37"/>
      <c r="G29" s="37"/>
      <c r="H29" s="37"/>
      <c r="I29" s="185"/>
      <c r="J29" s="186"/>
      <c r="K29" s="187" t="s">
        <v>255</v>
      </c>
      <c r="L29" s="318" t="str">
        <f>IF('1. Total PFAS Calculator'!$D$24='1. Total PFAS Calculator'!$K$20,"",IF('2. Sample Data Input'!D7="","",IF(L28&lt;L27,"Error",(L28-L27))))</f>
        <v/>
      </c>
      <c r="M29" s="221" t="str">
        <f>IF('2. Sample Data Input'!D7="","",IF(L28&lt;L27,"Error - Input TOF Less Than TOPs-Predicted TOF",""))</f>
        <v/>
      </c>
      <c r="N29" s="22"/>
      <c r="Q29" s="22"/>
      <c r="R29" s="22"/>
    </row>
    <row r="30" spans="2:18" s="20" customFormat="1" ht="14.65">
      <c r="B30" s="39"/>
      <c r="C30" s="19"/>
      <c r="D30" s="53"/>
      <c r="E30" s="53"/>
      <c r="F30" s="37"/>
      <c r="G30" s="37"/>
      <c r="H30" s="37"/>
      <c r="I30" s="185"/>
      <c r="J30" s="186"/>
      <c r="K30" s="187" t="s">
        <v>256</v>
      </c>
      <c r="L30" s="190">
        <f>IF('1. Total PFAS Calculator'!$D$24='1. Total PFAS Calculator'!$K$20,"",'2. Sample Data Input'!D8)</f>
        <v>1.73</v>
      </c>
      <c r="M30" s="59"/>
      <c r="N30" s="22"/>
      <c r="Q30" s="22"/>
      <c r="R30" s="22"/>
    </row>
    <row r="31" spans="2:18" s="20" customFormat="1" ht="14.65">
      <c r="C31" s="19"/>
      <c r="D31" s="53"/>
      <c r="E31" s="53"/>
      <c r="F31" s="37"/>
      <c r="G31" s="37"/>
      <c r="H31" s="37"/>
      <c r="I31" s="214"/>
      <c r="J31" s="215"/>
      <c r="K31" s="216" t="s">
        <v>257</v>
      </c>
      <c r="L31" s="217" t="str">
        <f>IF('1. Total PFAS Calculator'!$D$24='1. Total PFAS Calculator'!$K$20,"",IF('2. Sample Data Input'!D7="","",IF(L28&lt;L27,"Error",(L29*L30))))</f>
        <v/>
      </c>
      <c r="M31" s="59"/>
      <c r="N31" s="22"/>
      <c r="Q31" s="22"/>
      <c r="R31" s="22"/>
    </row>
    <row r="32" spans="2:18" s="20" customFormat="1" ht="13.5" thickBot="1">
      <c r="B32" s="39"/>
      <c r="C32" s="19"/>
      <c r="D32" s="53"/>
      <c r="E32" s="53"/>
      <c r="F32" s="37"/>
      <c r="G32" s="37"/>
      <c r="H32" s="37"/>
      <c r="I32" s="218"/>
      <c r="J32" s="188"/>
      <c r="K32" s="188" t="s">
        <v>120</v>
      </c>
      <c r="L32" s="219" t="str">
        <f>IF(L31="","",IF(L31="Error","",IF('1. Total PFAS Calculator'!D31="",L31/F14,L31/'1. Total PFAS Calculator'!D31)))</f>
        <v/>
      </c>
      <c r="M32" s="59"/>
      <c r="N32" s="22"/>
      <c r="Q32" s="22"/>
      <c r="R32" s="22"/>
    </row>
    <row r="33" spans="2:18" s="20" customFormat="1" ht="13.5" thickTop="1">
      <c r="B33" s="39"/>
      <c r="C33" s="19"/>
      <c r="D33" s="53"/>
      <c r="E33" s="53"/>
      <c r="F33" s="37"/>
      <c r="G33" s="37"/>
      <c r="H33" s="37"/>
      <c r="I33" s="199"/>
      <c r="J33" s="199"/>
      <c r="K33" s="199"/>
      <c r="L33" s="220"/>
      <c r="M33" s="59"/>
      <c r="N33" s="22"/>
      <c r="Q33" s="22"/>
      <c r="R33" s="22"/>
    </row>
    <row r="34" spans="2:18" s="20" customFormat="1" ht="30" customHeight="1">
      <c r="B34" s="602" t="s">
        <v>320</v>
      </c>
      <c r="C34" s="563"/>
      <c r="D34" s="563"/>
      <c r="E34" s="563"/>
      <c r="F34" s="563"/>
      <c r="G34" s="563"/>
      <c r="H34" s="563"/>
      <c r="I34" s="563"/>
      <c r="J34" s="563"/>
      <c r="K34" s="563"/>
      <c r="L34" s="563"/>
      <c r="M34" s="563"/>
      <c r="N34" s="563"/>
      <c r="O34" s="22"/>
      <c r="P34" s="22"/>
      <c r="Q34" s="22"/>
      <c r="R34" s="22"/>
    </row>
    <row r="35" spans="2:18" s="20" customFormat="1" ht="13.15">
      <c r="B35" s="39"/>
      <c r="C35" s="19"/>
      <c r="D35" s="53"/>
      <c r="E35" s="53"/>
      <c r="F35" s="37"/>
      <c r="G35" s="37"/>
      <c r="H35" s="37"/>
      <c r="I35" s="37"/>
      <c r="J35" s="37"/>
      <c r="K35" s="199"/>
      <c r="L35" s="57"/>
      <c r="M35" s="59"/>
      <c r="N35" s="22"/>
      <c r="O35" s="22"/>
      <c r="P35" s="22"/>
      <c r="Q35" s="22"/>
      <c r="R35" s="22"/>
    </row>
    <row r="36" spans="2:18" s="20" customFormat="1" ht="13.15">
      <c r="B36" s="39" t="s">
        <v>0</v>
      </c>
      <c r="C36" s="19"/>
      <c r="D36" s="53"/>
      <c r="E36" s="53"/>
      <c r="F36" s="37"/>
      <c r="G36" s="37"/>
      <c r="H36" s="37"/>
      <c r="I36" s="37"/>
      <c r="J36" s="37"/>
      <c r="K36" s="199"/>
      <c r="L36" s="57"/>
      <c r="M36" s="59"/>
      <c r="N36" s="22"/>
      <c r="O36" s="22"/>
      <c r="P36" s="22"/>
      <c r="Q36" s="22"/>
      <c r="R36" s="22"/>
    </row>
    <row r="37" spans="2:18" s="40" customFormat="1" ht="17.25" customHeight="1">
      <c r="B37" s="602" t="s">
        <v>110</v>
      </c>
      <c r="C37" s="563"/>
      <c r="D37" s="563"/>
      <c r="E37" s="563"/>
      <c r="F37" s="563"/>
      <c r="G37" s="563"/>
      <c r="H37" s="563"/>
      <c r="I37" s="563"/>
      <c r="J37" s="563"/>
      <c r="K37" s="563"/>
      <c r="L37" s="563"/>
      <c r="M37" s="563"/>
      <c r="N37" s="563"/>
      <c r="R37" s="22"/>
    </row>
    <row r="38" spans="2:18" s="40" customFormat="1" ht="17.25" customHeight="1">
      <c r="B38" s="602" t="s">
        <v>252</v>
      </c>
      <c r="C38" s="563"/>
      <c r="D38" s="563"/>
      <c r="E38" s="563"/>
      <c r="F38" s="563"/>
      <c r="G38" s="563"/>
      <c r="H38" s="563"/>
      <c r="I38" s="563"/>
      <c r="J38" s="563"/>
      <c r="K38" s="563"/>
      <c r="L38" s="563"/>
      <c r="M38" s="563"/>
      <c r="N38" s="563"/>
      <c r="R38" s="22"/>
    </row>
    <row r="39" spans="2:18" s="40" customFormat="1" ht="26.65" customHeight="1">
      <c r="B39" s="602" t="s">
        <v>278</v>
      </c>
      <c r="C39" s="563"/>
      <c r="D39" s="563"/>
      <c r="E39" s="563"/>
      <c r="F39" s="563"/>
      <c r="G39" s="563"/>
      <c r="H39" s="563"/>
      <c r="I39" s="563"/>
      <c r="J39" s="563"/>
      <c r="K39" s="563"/>
      <c r="L39" s="563"/>
      <c r="M39" s="563"/>
      <c r="N39" s="563"/>
      <c r="R39" s="22"/>
    </row>
    <row r="40" spans="2:18" ht="17.25" customHeight="1">
      <c r="B40" s="602" t="s">
        <v>253</v>
      </c>
      <c r="C40" s="563"/>
      <c r="D40" s="563"/>
      <c r="E40" s="563"/>
      <c r="F40" s="563"/>
      <c r="G40" s="563"/>
      <c r="H40" s="563"/>
      <c r="I40" s="563"/>
      <c r="J40" s="563"/>
      <c r="K40" s="563"/>
      <c r="L40" s="563"/>
      <c r="M40" s="563"/>
      <c r="N40" s="563"/>
    </row>
    <row r="41" spans="2:18" ht="17.25" customHeight="1">
      <c r="B41" s="602" t="s">
        <v>261</v>
      </c>
      <c r="C41" s="563"/>
      <c r="D41" s="563"/>
      <c r="E41" s="563"/>
      <c r="F41" s="563"/>
      <c r="G41" s="563"/>
      <c r="H41" s="563"/>
      <c r="I41" s="563"/>
      <c r="J41" s="563"/>
      <c r="K41" s="563"/>
      <c r="L41" s="563"/>
      <c r="M41" s="563"/>
      <c r="N41" s="563"/>
    </row>
    <row r="42" spans="2:18" ht="17.25" customHeight="1">
      <c r="B42" s="602" t="s">
        <v>258</v>
      </c>
      <c r="C42" s="563"/>
      <c r="D42" s="563"/>
      <c r="E42" s="563"/>
      <c r="F42" s="563"/>
      <c r="G42" s="563"/>
      <c r="H42" s="563"/>
      <c r="I42" s="563"/>
      <c r="J42" s="563"/>
      <c r="K42" s="563"/>
      <c r="L42" s="563"/>
      <c r="M42" s="563"/>
      <c r="N42" s="563"/>
    </row>
    <row r="43" spans="2:18" ht="40.15" customHeight="1">
      <c r="B43" s="603" t="s">
        <v>259</v>
      </c>
      <c r="C43" s="563"/>
      <c r="D43" s="563"/>
      <c r="E43" s="563"/>
      <c r="F43" s="563"/>
      <c r="G43" s="563"/>
      <c r="H43" s="563"/>
      <c r="I43" s="563"/>
      <c r="J43" s="563"/>
      <c r="K43" s="563"/>
      <c r="L43" s="563"/>
      <c r="M43" s="563"/>
      <c r="N43" s="563"/>
    </row>
    <row r="44" spans="2:18" ht="17.25" customHeight="1">
      <c r="B44" s="602" t="s">
        <v>260</v>
      </c>
      <c r="C44" s="563"/>
      <c r="D44" s="563"/>
      <c r="E44" s="563"/>
      <c r="F44" s="563"/>
      <c r="G44" s="563"/>
      <c r="H44" s="563"/>
      <c r="I44" s="563"/>
      <c r="J44" s="563"/>
      <c r="K44" s="563"/>
      <c r="L44" s="563"/>
      <c r="M44" s="563"/>
      <c r="N44" s="563"/>
    </row>
  </sheetData>
  <sheetProtection algorithmName="SHA-512" hashValue="ztlvWdLi3BEm0TDnB59JhwBPlId7aTlnlgaCuJ537gL+HYy80XieiunUHbsukQdXuUDjE12TPdEdSYfI1EWgpQ==" saltValue="KnSROSVbIfBEwKwHFZic2w==" spinCount="100000" sheet="1" objects="1" scenarios="1"/>
  <mergeCells count="11">
    <mergeCell ref="O5:P5"/>
    <mergeCell ref="B40:N40"/>
    <mergeCell ref="B42:N42"/>
    <mergeCell ref="B43:N43"/>
    <mergeCell ref="B44:N44"/>
    <mergeCell ref="M5:N5"/>
    <mergeCell ref="B34:N34"/>
    <mergeCell ref="B37:N37"/>
    <mergeCell ref="B39:N39"/>
    <mergeCell ref="B38:N38"/>
    <mergeCell ref="B41:N41"/>
  </mergeCells>
  <pageMargins left="0.2" right="0.2" top="0.5" bottom="0.5" header="0.3" footer="0.3"/>
  <pageSetup scale="62" orientation="landscape" r:id="rId1"/>
  <headerFooter>
    <oddFooter>&amp;R&amp;F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01C47-34C6-4863-8FDE-F9668D3EC58C}">
  <sheetPr>
    <tabColor rgb="FF00FFFF"/>
    <pageSetUpPr fitToPage="1"/>
  </sheetPr>
  <dimension ref="B1:R44"/>
  <sheetViews>
    <sheetView zoomScaleNormal="100" workbookViewId="0">
      <pane xSplit="3" topLeftCell="F1" activePane="topRight" state="frozen"/>
      <selection pane="topRight" activeCell="F7" sqref="F7"/>
    </sheetView>
  </sheetViews>
  <sheetFormatPr defaultColWidth="8.73046875" defaultRowHeight="13.15"/>
  <cols>
    <col min="1" max="1" width="8.73046875" style="237"/>
    <col min="2" max="2" width="13.59765625" style="237" customWidth="1"/>
    <col min="3" max="3" width="34.265625" style="237" customWidth="1"/>
    <col min="4" max="4" width="15.59765625" style="237" customWidth="1"/>
    <col min="5" max="5" width="9.59765625" style="237" customWidth="1"/>
    <col min="6" max="6" width="12.59765625" style="237" customWidth="1"/>
    <col min="7" max="12" width="13.59765625" style="237" customWidth="1"/>
    <col min="13" max="14" width="14.59765625" style="237" customWidth="1"/>
    <col min="15" max="17" width="15.1328125" style="237" customWidth="1"/>
    <col min="18" max="18" width="9.1328125" style="237" hidden="1" customWidth="1"/>
    <col min="19" max="19" width="12.59765625" style="237" customWidth="1"/>
    <col min="20" max="16384" width="8.73046875" style="237"/>
  </cols>
  <sheetData>
    <row r="1" spans="2:18" ht="15.75">
      <c r="B1" s="296" t="s">
        <v>61</v>
      </c>
      <c r="C1" s="297" t="str">
        <f>IF('1. Total PFAS Calculator'!D18="","",'1. Total PFAS Calculator'!D18)</f>
        <v/>
      </c>
    </row>
    <row r="2" spans="2:18" ht="15.75">
      <c r="B2" s="296" t="s">
        <v>58</v>
      </c>
      <c r="C2" s="297" t="str">
        <f>IF('1. Total PFAS Calculator'!D19="","",'1. Total PFAS Calculator'!D19)</f>
        <v/>
      </c>
    </row>
    <row r="3" spans="2:18" ht="15.75">
      <c r="B3" s="296" t="s">
        <v>66</v>
      </c>
      <c r="C3" s="297" t="str">
        <f>IF('1. Total PFAS Calculator'!D20="","",'1. Total PFAS Calculator'!D20)</f>
        <v/>
      </c>
    </row>
    <row r="4" spans="2:18" ht="16.149999999999999" thickBot="1">
      <c r="B4" s="238" t="s">
        <v>112</v>
      </c>
    </row>
    <row r="5" spans="2:18" ht="17.100000000000001" customHeight="1" thickTop="1" thickBot="1">
      <c r="B5" s="295"/>
      <c r="M5" s="604" t="s">
        <v>264</v>
      </c>
      <c r="N5" s="605"/>
      <c r="O5" s="600" t="s">
        <v>125</v>
      </c>
      <c r="P5" s="601"/>
    </row>
    <row r="6" spans="2:18" s="243" customFormat="1" ht="55.15" customHeight="1" thickTop="1" thickBot="1">
      <c r="B6" s="239" t="s">
        <v>129</v>
      </c>
      <c r="C6" s="240" t="s">
        <v>130</v>
      </c>
      <c r="D6" s="97" t="s">
        <v>60</v>
      </c>
      <c r="E6" s="200" t="s">
        <v>20</v>
      </c>
      <c r="F6" s="135" t="s">
        <v>78</v>
      </c>
      <c r="G6" s="98" t="s">
        <v>254</v>
      </c>
      <c r="H6" s="99" t="s">
        <v>72</v>
      </c>
      <c r="I6" s="435" t="s">
        <v>262</v>
      </c>
      <c r="J6" s="437" t="s">
        <v>243</v>
      </c>
      <c r="K6" s="437" t="s">
        <v>244</v>
      </c>
      <c r="L6" s="241" t="s">
        <v>263</v>
      </c>
      <c r="M6" s="111" t="s">
        <v>245</v>
      </c>
      <c r="N6" s="111" t="s">
        <v>246</v>
      </c>
      <c r="O6" s="227" t="s">
        <v>247</v>
      </c>
      <c r="P6" s="229" t="s">
        <v>248</v>
      </c>
      <c r="Q6" s="242"/>
      <c r="R6" s="242" t="s">
        <v>56</v>
      </c>
    </row>
    <row r="7" spans="2:18" s="243" customFormat="1" ht="14.65">
      <c r="B7" s="244" t="s">
        <v>4</v>
      </c>
      <c r="C7" s="245" t="s">
        <v>131</v>
      </c>
      <c r="D7" s="246" t="s">
        <v>39</v>
      </c>
      <c r="E7" s="424">
        <v>299.08999999999997</v>
      </c>
      <c r="F7" s="298">
        <f>'3. PFAS Summary Action Levels'!D7</f>
        <v>1694.9152542372901</v>
      </c>
      <c r="G7" s="177" t="str">
        <f>IF('1. Total PFAS Calculator'!$D$24='1. Total PFAS Calculator'!$K$21,"",IF('2. Sample Data Input'!D12="",0,'2. Sample Data Input'!D12))</f>
        <v/>
      </c>
      <c r="H7" s="178" t="str">
        <f>IF('1. Total PFAS Calculator'!$D$24='1. Total PFAS Calculator'!$K$21,"",IF('2. Sample Data Input'!E12="",0,'2. Sample Data Input'!E12))</f>
        <v/>
      </c>
      <c r="I7" s="436">
        <f>IF(H7="",0,IF(AND(G7="",H7=""),0,IF(AND(G7="",H7&gt;0),H7,IF((H7-G7)&lt;0,0,(H7-G7)))))</f>
        <v>0</v>
      </c>
      <c r="J7" s="438" t="str">
        <f t="shared" ref="J7:J24" si="0">IF(G7="","",IF(G7=0,"",(G7/$G$27)))</f>
        <v/>
      </c>
      <c r="K7" s="433" t="str">
        <f>IF(I7=0,"",IF(AND(G7="",H7&gt;0),(I7/$I$27),IF((H7-G7)&lt;0,"",(I7/$I$27))))</f>
        <v/>
      </c>
      <c r="L7" s="247" t="str">
        <f>IF(AND(G7="",H7=""),"",(G7+I7)*((R7*18.998)/E7))</f>
        <v/>
      </c>
      <c r="M7" s="175" t="str">
        <f>IF('1. Total PFAS Calculator'!$D$24='1. Total PFAS Calculator'!$K$21,"",IF(G7="","",(G7/F7)))</f>
        <v/>
      </c>
      <c r="N7" s="248" t="str">
        <f>IF('1. Total PFAS Calculator'!$D$24='1. Total PFAS Calculator'!$K$21,"",IF(I7="","",(I7/F7)))</f>
        <v/>
      </c>
      <c r="O7" s="476" t="str">
        <f>IF(OR(M7="",M7=0),"",M7/$M$27)</f>
        <v/>
      </c>
      <c r="P7" s="477" t="str">
        <f>IF(OR(N7="",N7=0),"",N7/$N$27)</f>
        <v/>
      </c>
      <c r="Q7" s="251"/>
      <c r="R7" s="159">
        <v>9</v>
      </c>
    </row>
    <row r="8" spans="2:18" s="243" customFormat="1" ht="14.65">
      <c r="B8" s="244" t="s">
        <v>6</v>
      </c>
      <c r="C8" s="245" t="s">
        <v>115</v>
      </c>
      <c r="D8" s="246" t="s">
        <v>132</v>
      </c>
      <c r="E8" s="425">
        <v>349</v>
      </c>
      <c r="F8" s="298">
        <f>'3. PFAS Summary Action Levels'!D8</f>
        <v>580.76923076923106</v>
      </c>
      <c r="G8" s="182" t="str">
        <f>IF('1. Total PFAS Calculator'!$D$24='1. Total PFAS Calculator'!$K$21,"",IF('2. Sample Data Input'!D13="",0,'2. Sample Data Input'!D13))</f>
        <v/>
      </c>
      <c r="H8" s="181" t="str">
        <f>IF('1. Total PFAS Calculator'!$D$24='1. Total PFAS Calculator'!$K$21,"",IF('2. Sample Data Input'!E13="",0,'2. Sample Data Input'!E13))</f>
        <v/>
      </c>
      <c r="I8" s="436">
        <f t="shared" ref="I8:I24" si="1">IF(H8="",0,IF(AND(G8="",H8=""),0,IF(AND(G8="",H8&gt;0),H8,IF((H8-G8)&lt;0,0,(H8-G8)))))</f>
        <v>0</v>
      </c>
      <c r="J8" s="439" t="str">
        <f t="shared" si="0"/>
        <v/>
      </c>
      <c r="K8" s="434" t="str">
        <f t="shared" ref="K8:K24" si="2">IF(I8=0,"",IF(AND(G8="",H8&gt;0),(I8/$I$27),IF((H8-G8)&lt;0,"",(I8/$I$27))))</f>
        <v/>
      </c>
      <c r="L8" s="252" t="str">
        <f t="shared" ref="L8:L24" si="3">IF(AND(G8="",H8=""),"",(G8+I8)*((R8*18.998)/E8))</f>
        <v/>
      </c>
      <c r="M8" s="176" t="str">
        <f>IF('1. Total PFAS Calculator'!$D$24='1. Total PFAS Calculator'!$K$21,"",IF(G8="","",(G8/F8)))</f>
        <v/>
      </c>
      <c r="N8" s="253" t="str">
        <f>IF('1. Total PFAS Calculator'!$D$24='1. Total PFAS Calculator'!$K$21,"",IF(I8="","",(I8/F8)))</f>
        <v/>
      </c>
      <c r="O8" s="249" t="str">
        <f t="shared" ref="O8:O24" si="4">IF(OR(M8="",M8=0),"",M8/$M$27)</f>
        <v/>
      </c>
      <c r="P8" s="250" t="str">
        <f t="shared" ref="P8:P24" si="5">IF(OR(N8="",N8=0),"",N8/$N$27)</f>
        <v/>
      </c>
      <c r="Q8" s="251"/>
      <c r="R8" s="159">
        <v>11</v>
      </c>
    </row>
    <row r="9" spans="2:18" s="243" customFormat="1" ht="14.65">
      <c r="B9" s="254" t="s">
        <v>5</v>
      </c>
      <c r="C9" s="255" t="s">
        <v>133</v>
      </c>
      <c r="D9" s="256" t="s">
        <v>40</v>
      </c>
      <c r="E9" s="425">
        <v>399.1</v>
      </c>
      <c r="F9" s="299">
        <f>'3. PFAS Summary Action Levels'!D9</f>
        <v>7.6923076923076898</v>
      </c>
      <c r="G9" s="182" t="str">
        <f>IF('1. Total PFAS Calculator'!$D$24='1. Total PFAS Calculator'!$K$21,"",IF('2. Sample Data Input'!D14="",0,'2. Sample Data Input'!D14))</f>
        <v/>
      </c>
      <c r="H9" s="181" t="str">
        <f>IF('1. Total PFAS Calculator'!$D$24='1. Total PFAS Calculator'!$K$21,"",IF('2. Sample Data Input'!E14="",0,'2. Sample Data Input'!E14))</f>
        <v/>
      </c>
      <c r="I9" s="436">
        <f t="shared" si="1"/>
        <v>0</v>
      </c>
      <c r="J9" s="439" t="str">
        <f t="shared" si="0"/>
        <v/>
      </c>
      <c r="K9" s="434" t="str">
        <f t="shared" si="2"/>
        <v/>
      </c>
      <c r="L9" s="252" t="str">
        <f t="shared" si="3"/>
        <v/>
      </c>
      <c r="M9" s="176" t="str">
        <f>IF('1. Total PFAS Calculator'!$D$24='1. Total PFAS Calculator'!$K$21,"",IF(G9="","",(G9/F9)))</f>
        <v/>
      </c>
      <c r="N9" s="253" t="str">
        <f>IF('1. Total PFAS Calculator'!$D$24='1. Total PFAS Calculator'!$K$21,"",IF(I9="","",(I9/F9)))</f>
        <v/>
      </c>
      <c r="O9" s="249" t="str">
        <f t="shared" si="4"/>
        <v/>
      </c>
      <c r="P9" s="250" t="str">
        <f t="shared" si="5"/>
        <v/>
      </c>
      <c r="R9" s="159">
        <v>13</v>
      </c>
    </row>
    <row r="10" spans="2:18" s="243" customFormat="1" ht="15">
      <c r="B10" s="254" t="s">
        <v>6</v>
      </c>
      <c r="C10" s="257" t="s">
        <v>134</v>
      </c>
      <c r="D10" s="258" t="s">
        <v>41</v>
      </c>
      <c r="E10" s="425">
        <v>449.11</v>
      </c>
      <c r="F10" s="298">
        <f>'3. PFAS Summary Action Levels'!D10</f>
        <v>38.461538461538474</v>
      </c>
      <c r="G10" s="182" t="str">
        <f>IF('1. Total PFAS Calculator'!$D$24='1. Total PFAS Calculator'!$K$21,"",IF('2. Sample Data Input'!D15="",0,'2. Sample Data Input'!D15))</f>
        <v/>
      </c>
      <c r="H10" s="181" t="str">
        <f>IF('1. Total PFAS Calculator'!$D$24='1. Total PFAS Calculator'!$K$21,"",IF('2. Sample Data Input'!E15="",0,'2. Sample Data Input'!E15))</f>
        <v/>
      </c>
      <c r="I10" s="436">
        <f t="shared" si="1"/>
        <v>0</v>
      </c>
      <c r="J10" s="439" t="str">
        <f t="shared" si="0"/>
        <v/>
      </c>
      <c r="K10" s="434" t="str">
        <f t="shared" si="2"/>
        <v/>
      </c>
      <c r="L10" s="252" t="str">
        <f t="shared" si="3"/>
        <v/>
      </c>
      <c r="M10" s="176" t="str">
        <f>IF('1. Total PFAS Calculator'!$D$24='1. Total PFAS Calculator'!$K$21,"",IF(G10="","",(G10/F10)))</f>
        <v/>
      </c>
      <c r="N10" s="253" t="str">
        <f>IF('1. Total PFAS Calculator'!$D$24='1. Total PFAS Calculator'!$K$21,"",IF(I10="","",(I10/F10)))</f>
        <v/>
      </c>
      <c r="O10" s="249" t="str">
        <f t="shared" si="4"/>
        <v/>
      </c>
      <c r="P10" s="250" t="str">
        <f t="shared" si="5"/>
        <v/>
      </c>
      <c r="Q10" s="259"/>
      <c r="R10" s="159">
        <v>15</v>
      </c>
    </row>
    <row r="11" spans="2:18" s="243" customFormat="1" ht="15">
      <c r="B11" s="254" t="s">
        <v>7</v>
      </c>
      <c r="C11" s="255" t="s">
        <v>135</v>
      </c>
      <c r="D11" s="256" t="s">
        <v>42</v>
      </c>
      <c r="E11" s="425">
        <v>499.12</v>
      </c>
      <c r="F11" s="299">
        <f>'3. PFAS Summary Action Levels'!D11</f>
        <v>7.6923076923076925</v>
      </c>
      <c r="G11" s="182" t="str">
        <f>IF('1. Total PFAS Calculator'!$D$24='1. Total PFAS Calculator'!$K$21,"",IF('2. Sample Data Input'!D16="",0,'2. Sample Data Input'!D16))</f>
        <v/>
      </c>
      <c r="H11" s="181" t="str">
        <f>IF('1. Total PFAS Calculator'!$D$24='1. Total PFAS Calculator'!$K$21,"",IF('2. Sample Data Input'!E16="",0,'2. Sample Data Input'!E16))</f>
        <v/>
      </c>
      <c r="I11" s="436">
        <f t="shared" si="1"/>
        <v>0</v>
      </c>
      <c r="J11" s="439" t="str">
        <f t="shared" si="0"/>
        <v/>
      </c>
      <c r="K11" s="434" t="str">
        <f t="shared" si="2"/>
        <v/>
      </c>
      <c r="L11" s="252" t="str">
        <f t="shared" si="3"/>
        <v/>
      </c>
      <c r="M11" s="176" t="str">
        <f>IF('1. Total PFAS Calculator'!$D$24='1. Total PFAS Calculator'!$K$21,"",IF(G11="","",(G11/F11)))</f>
        <v/>
      </c>
      <c r="N11" s="253" t="str">
        <f>IF('1. Total PFAS Calculator'!$D$24='1. Total PFAS Calculator'!$K$21,"",IF(I11="","",(I11/F11)))</f>
        <v/>
      </c>
      <c r="O11" s="249" t="str">
        <f t="shared" si="4"/>
        <v/>
      </c>
      <c r="P11" s="250" t="str">
        <f t="shared" si="5"/>
        <v/>
      </c>
      <c r="Q11" s="259"/>
      <c r="R11" s="159">
        <v>17</v>
      </c>
    </row>
    <row r="12" spans="2:18" s="243" customFormat="1" ht="15" customHeight="1">
      <c r="B12" s="254" t="s">
        <v>8</v>
      </c>
      <c r="C12" s="255" t="s">
        <v>136</v>
      </c>
      <c r="D12" s="256" t="s">
        <v>43</v>
      </c>
      <c r="E12" s="425">
        <v>599.13</v>
      </c>
      <c r="F12" s="298">
        <f>'3. PFAS Summary Action Levels'!D12</f>
        <v>38.461538461538474</v>
      </c>
      <c r="G12" s="182" t="str">
        <f>IF('1. Total PFAS Calculator'!$D$24='1. Total PFAS Calculator'!$K$21,"",IF('2. Sample Data Input'!D17="",0,'2. Sample Data Input'!D17))</f>
        <v/>
      </c>
      <c r="H12" s="181" t="str">
        <f>IF('1. Total PFAS Calculator'!$D$24='1. Total PFAS Calculator'!$K$21,"",IF('2. Sample Data Input'!E17="",0,'2. Sample Data Input'!E17))</f>
        <v/>
      </c>
      <c r="I12" s="436">
        <f t="shared" si="1"/>
        <v>0</v>
      </c>
      <c r="J12" s="439" t="str">
        <f t="shared" si="0"/>
        <v/>
      </c>
      <c r="K12" s="434" t="str">
        <f t="shared" si="2"/>
        <v/>
      </c>
      <c r="L12" s="252" t="str">
        <f t="shared" si="3"/>
        <v/>
      </c>
      <c r="M12" s="176" t="str">
        <f>IF('1. Total PFAS Calculator'!$D$24='1. Total PFAS Calculator'!$K$21,"",IF(G12="","",(G12/F12)))</f>
        <v/>
      </c>
      <c r="N12" s="253" t="str">
        <f>IF('1. Total PFAS Calculator'!$D$24='1. Total PFAS Calculator'!$K$21,"",IF(I12="","",(I12/F12)))</f>
        <v/>
      </c>
      <c r="O12" s="249" t="str">
        <f t="shared" si="4"/>
        <v/>
      </c>
      <c r="P12" s="250" t="str">
        <f t="shared" si="5"/>
        <v/>
      </c>
      <c r="Q12" s="259"/>
      <c r="R12" s="159">
        <v>21</v>
      </c>
    </row>
    <row r="13" spans="2:18" s="243" customFormat="1" ht="15" customHeight="1">
      <c r="B13" s="254" t="s">
        <v>192</v>
      </c>
      <c r="C13" s="104" t="s">
        <v>239</v>
      </c>
      <c r="D13" s="442" t="s">
        <v>237</v>
      </c>
      <c r="E13" s="425">
        <v>114</v>
      </c>
      <c r="F13" s="298">
        <f>'3. PFAS Summary Action Levels'!D13</f>
        <v>46753.246753246756</v>
      </c>
      <c r="G13" s="182" t="str">
        <f>IF('1. Total PFAS Calculator'!$D$24='1. Total PFAS Calculator'!$K$21,"",IF('2. Sample Data Input'!D18="",0,'2. Sample Data Input'!D18))</f>
        <v/>
      </c>
      <c r="H13" s="181" t="str">
        <f>IF('1. Total PFAS Calculator'!$D$24='1. Total PFAS Calculator'!$K$21,"",IF('2. Sample Data Input'!E18="",0,'2. Sample Data Input'!E18))</f>
        <v/>
      </c>
      <c r="I13" s="436">
        <f t="shared" si="1"/>
        <v>0</v>
      </c>
      <c r="J13" s="439" t="str">
        <f t="shared" si="0"/>
        <v/>
      </c>
      <c r="K13" s="434" t="str">
        <f t="shared" si="2"/>
        <v/>
      </c>
      <c r="L13" s="252" t="str">
        <f t="shared" si="3"/>
        <v/>
      </c>
      <c r="M13" s="176" t="str">
        <f>IF('1. Total PFAS Calculator'!$D$24='1. Total PFAS Calculator'!$K$21,"",IF(G13="","",(G13/F13)))</f>
        <v/>
      </c>
      <c r="N13" s="253" t="str">
        <f>IF('1. Total PFAS Calculator'!$D$24='1. Total PFAS Calculator'!$K$21,"",IF(I13="","",(I13/F13)))</f>
        <v/>
      </c>
      <c r="O13" s="249" t="str">
        <f t="shared" si="4"/>
        <v/>
      </c>
      <c r="P13" s="250" t="str">
        <f t="shared" si="5"/>
        <v/>
      </c>
      <c r="Q13" s="259"/>
      <c r="R13" s="159">
        <v>3</v>
      </c>
    </row>
    <row r="14" spans="2:18" s="243" customFormat="1" ht="15" customHeight="1">
      <c r="B14" s="254" t="s">
        <v>59</v>
      </c>
      <c r="C14" s="255" t="s">
        <v>137</v>
      </c>
      <c r="D14" s="256" t="s">
        <v>46</v>
      </c>
      <c r="E14" s="425">
        <v>164</v>
      </c>
      <c r="F14" s="298">
        <f>'3. PFAS Summary Action Levels'!D14</f>
        <v>1298.7012987012999</v>
      </c>
      <c r="G14" s="182" t="str">
        <f>IF('1. Total PFAS Calculator'!$D$24='1. Total PFAS Calculator'!$K$21,"",IF('2. Sample Data Input'!D19="",0,'2. Sample Data Input'!D19))</f>
        <v/>
      </c>
      <c r="H14" s="181" t="str">
        <f>IF('1. Total PFAS Calculator'!$D$24='1. Total PFAS Calculator'!$K$21,"",IF('2. Sample Data Input'!E19="",0,'2. Sample Data Input'!E19))</f>
        <v/>
      </c>
      <c r="I14" s="436">
        <f t="shared" si="1"/>
        <v>0</v>
      </c>
      <c r="J14" s="439" t="str">
        <f t="shared" si="0"/>
        <v/>
      </c>
      <c r="K14" s="434" t="str">
        <f t="shared" si="2"/>
        <v/>
      </c>
      <c r="L14" s="252" t="str">
        <f t="shared" si="3"/>
        <v/>
      </c>
      <c r="M14" s="176" t="str">
        <f>IF('1. Total PFAS Calculator'!$D$24='1. Total PFAS Calculator'!$K$21,"",IF(G14="","",(G14/F14)))</f>
        <v/>
      </c>
      <c r="N14" s="253" t="str">
        <f>IF('1. Total PFAS Calculator'!$D$24='1. Total PFAS Calculator'!$K$21,"",IF(I14="","",(I14/F14)))</f>
        <v/>
      </c>
      <c r="O14" s="249" t="str">
        <f t="shared" si="4"/>
        <v/>
      </c>
      <c r="P14" s="250" t="str">
        <f t="shared" si="5"/>
        <v/>
      </c>
      <c r="R14" s="159">
        <v>5</v>
      </c>
    </row>
    <row r="15" spans="2:18" s="243" customFormat="1" ht="15" customHeight="1">
      <c r="B15" s="254" t="s">
        <v>9</v>
      </c>
      <c r="C15" s="255" t="s">
        <v>138</v>
      </c>
      <c r="D15" s="256" t="s">
        <v>44</v>
      </c>
      <c r="E15" s="425">
        <v>213.03100000000001</v>
      </c>
      <c r="F15" s="298">
        <f>'3. PFAS Summary Action Levels'!D15</f>
        <v>14615.384615384617</v>
      </c>
      <c r="G15" s="182" t="str">
        <f>IF('1. Total PFAS Calculator'!$D$24='1. Total PFAS Calculator'!$K$21,"",IF('2. Sample Data Input'!D20="",0,'2. Sample Data Input'!D20))</f>
        <v/>
      </c>
      <c r="H15" s="181" t="str">
        <f>IF('1. Total PFAS Calculator'!$D$24='1. Total PFAS Calculator'!$K$21,"",IF('2. Sample Data Input'!E20="",0,'2. Sample Data Input'!E20))</f>
        <v/>
      </c>
      <c r="I15" s="436">
        <f t="shared" si="1"/>
        <v>0</v>
      </c>
      <c r="J15" s="439" t="str">
        <f t="shared" si="0"/>
        <v/>
      </c>
      <c r="K15" s="434" t="str">
        <f t="shared" si="2"/>
        <v/>
      </c>
      <c r="L15" s="252" t="str">
        <f t="shared" si="3"/>
        <v/>
      </c>
      <c r="M15" s="176" t="str">
        <f>IF('1. Total PFAS Calculator'!$D$24='1. Total PFAS Calculator'!$K$21,"",IF(G15="","",(G15/F15)))</f>
        <v/>
      </c>
      <c r="N15" s="253" t="str">
        <f>IF('1. Total PFAS Calculator'!$D$24='1. Total PFAS Calculator'!$K$21,"",IF(I15="","",(I15/F15)))</f>
        <v/>
      </c>
      <c r="O15" s="249" t="str">
        <f t="shared" si="4"/>
        <v/>
      </c>
      <c r="P15" s="250" t="str">
        <f t="shared" si="5"/>
        <v/>
      </c>
      <c r="R15" s="159">
        <v>7</v>
      </c>
    </row>
    <row r="16" spans="2:18" s="243" customFormat="1" ht="15" customHeight="1">
      <c r="B16" s="254" t="s">
        <v>10</v>
      </c>
      <c r="C16" s="255" t="s">
        <v>139</v>
      </c>
      <c r="D16" s="256" t="s">
        <v>45</v>
      </c>
      <c r="E16" s="425">
        <v>263.03899999999999</v>
      </c>
      <c r="F16" s="298">
        <f>'3. PFAS Summary Action Levels'!D16</f>
        <v>1538.4615384615383</v>
      </c>
      <c r="G16" s="182" t="str">
        <f>IF('1. Total PFAS Calculator'!$D$24='1. Total PFAS Calculator'!$K$21,"",IF('2. Sample Data Input'!D21="",0,'2. Sample Data Input'!D21))</f>
        <v/>
      </c>
      <c r="H16" s="181" t="str">
        <f>IF('1. Total PFAS Calculator'!$D$24='1. Total PFAS Calculator'!$K$21,"",IF('2. Sample Data Input'!E21="",0,'2. Sample Data Input'!E21))</f>
        <v/>
      </c>
      <c r="I16" s="436">
        <f t="shared" si="1"/>
        <v>0</v>
      </c>
      <c r="J16" s="439" t="str">
        <f t="shared" si="0"/>
        <v/>
      </c>
      <c r="K16" s="434" t="str">
        <f t="shared" si="2"/>
        <v/>
      </c>
      <c r="L16" s="252" t="str">
        <f t="shared" si="3"/>
        <v/>
      </c>
      <c r="M16" s="176" t="str">
        <f>IF('1. Total PFAS Calculator'!$D$24='1. Total PFAS Calculator'!$K$21,"",IF(G16="","",(G16/F16)))</f>
        <v/>
      </c>
      <c r="N16" s="253" t="str">
        <f>IF('1. Total PFAS Calculator'!$D$24='1. Total PFAS Calculator'!$K$21,"",IF(I16="","",(I16/F16)))</f>
        <v/>
      </c>
      <c r="O16" s="249" t="str">
        <f t="shared" si="4"/>
        <v/>
      </c>
      <c r="P16" s="250" t="str">
        <f t="shared" si="5"/>
        <v/>
      </c>
      <c r="R16" s="159">
        <v>9</v>
      </c>
    </row>
    <row r="17" spans="2:18" s="243" customFormat="1" ht="15" customHeight="1">
      <c r="B17" s="254" t="s">
        <v>11</v>
      </c>
      <c r="C17" s="255" t="s">
        <v>140</v>
      </c>
      <c r="D17" s="256" t="s">
        <v>47</v>
      </c>
      <c r="E17" s="425">
        <v>313.04700000000003</v>
      </c>
      <c r="F17" s="298">
        <f>'3. PFAS Summary Action Levels'!D17</f>
        <v>1923.0769230769231</v>
      </c>
      <c r="G17" s="182" t="str">
        <f>IF('1. Total PFAS Calculator'!$D$24='1. Total PFAS Calculator'!$K$21,"",IF('2. Sample Data Input'!D22="",0,'2. Sample Data Input'!D22))</f>
        <v/>
      </c>
      <c r="H17" s="181" t="str">
        <f>IF('1. Total PFAS Calculator'!$D$24='1. Total PFAS Calculator'!$K$21,"",IF('2. Sample Data Input'!E22="",0,'2. Sample Data Input'!E22))</f>
        <v/>
      </c>
      <c r="I17" s="436">
        <f t="shared" si="1"/>
        <v>0</v>
      </c>
      <c r="J17" s="439" t="str">
        <f t="shared" si="0"/>
        <v/>
      </c>
      <c r="K17" s="434" t="str">
        <f t="shared" si="2"/>
        <v/>
      </c>
      <c r="L17" s="252" t="str">
        <f t="shared" si="3"/>
        <v/>
      </c>
      <c r="M17" s="176" t="str">
        <f>IF('1. Total PFAS Calculator'!$D$24='1. Total PFAS Calculator'!$K$21,"",IF(G17="","",(G17/F17)))</f>
        <v/>
      </c>
      <c r="N17" s="253" t="str">
        <f>IF('1. Total PFAS Calculator'!$D$24='1. Total PFAS Calculator'!$K$21,"",IF(I17="","",(I17/F17)))</f>
        <v/>
      </c>
      <c r="O17" s="249" t="str">
        <f t="shared" si="4"/>
        <v/>
      </c>
      <c r="P17" s="250" t="str">
        <f t="shared" si="5"/>
        <v/>
      </c>
      <c r="R17" s="159">
        <v>11</v>
      </c>
    </row>
    <row r="18" spans="2:18" s="243" customFormat="1" ht="15" customHeight="1">
      <c r="B18" s="254" t="s">
        <v>12</v>
      </c>
      <c r="C18" s="255" t="s">
        <v>141</v>
      </c>
      <c r="D18" s="256" t="s">
        <v>48</v>
      </c>
      <c r="E18" s="425">
        <v>363.05500000000001</v>
      </c>
      <c r="F18" s="298">
        <f>'3. PFAS Summary Action Levels'!D18</f>
        <v>76.923076923076948</v>
      </c>
      <c r="G18" s="182" t="str">
        <f>IF('1. Total PFAS Calculator'!$D$24='1. Total PFAS Calculator'!$K$21,"",IF('2. Sample Data Input'!D23="",0,'2. Sample Data Input'!D23))</f>
        <v/>
      </c>
      <c r="H18" s="181" t="str">
        <f>IF('1. Total PFAS Calculator'!$D$24='1. Total PFAS Calculator'!$K$21,"",IF('2. Sample Data Input'!E23="",0,'2. Sample Data Input'!E23))</f>
        <v/>
      </c>
      <c r="I18" s="436">
        <f t="shared" si="1"/>
        <v>0</v>
      </c>
      <c r="J18" s="439" t="str">
        <f t="shared" si="0"/>
        <v/>
      </c>
      <c r="K18" s="434" t="str">
        <f t="shared" si="2"/>
        <v/>
      </c>
      <c r="L18" s="252" t="str">
        <f t="shared" si="3"/>
        <v/>
      </c>
      <c r="M18" s="176" t="str">
        <f>IF('1. Total PFAS Calculator'!$D$24='1. Total PFAS Calculator'!$K$21,"",IF(G18="","",(G18/F18)))</f>
        <v/>
      </c>
      <c r="N18" s="253" t="str">
        <f>IF('1. Total PFAS Calculator'!$D$24='1. Total PFAS Calculator'!$K$21,"",IF(I18="","",(I18/F18)))</f>
        <v/>
      </c>
      <c r="O18" s="249" t="str">
        <f t="shared" si="4"/>
        <v/>
      </c>
      <c r="P18" s="250" t="str">
        <f t="shared" si="5"/>
        <v/>
      </c>
      <c r="R18" s="159">
        <v>13</v>
      </c>
    </row>
    <row r="19" spans="2:18" s="243" customFormat="1" ht="15" customHeight="1">
      <c r="B19" s="254" t="s">
        <v>13</v>
      </c>
      <c r="C19" s="255" t="s">
        <v>142</v>
      </c>
      <c r="D19" s="256" t="s">
        <v>49</v>
      </c>
      <c r="E19" s="425">
        <v>413.06299999999999</v>
      </c>
      <c r="F19" s="298">
        <f>'3. PFAS Summary Action Levels'!D19</f>
        <v>11.538461538461538</v>
      </c>
      <c r="G19" s="182" t="str">
        <f>IF('1. Total PFAS Calculator'!$D$24='1. Total PFAS Calculator'!$K$21,"",IF('2. Sample Data Input'!D24="",0,'2. Sample Data Input'!D24))</f>
        <v/>
      </c>
      <c r="H19" s="181" t="str">
        <f>IF('1. Total PFAS Calculator'!$D$24='1. Total PFAS Calculator'!$K$21,"",IF('2. Sample Data Input'!E24="",0,'2. Sample Data Input'!E24))</f>
        <v/>
      </c>
      <c r="I19" s="436">
        <f t="shared" si="1"/>
        <v>0</v>
      </c>
      <c r="J19" s="439" t="str">
        <f t="shared" si="0"/>
        <v/>
      </c>
      <c r="K19" s="434" t="str">
        <f t="shared" si="2"/>
        <v/>
      </c>
      <c r="L19" s="252" t="str">
        <f t="shared" si="3"/>
        <v/>
      </c>
      <c r="M19" s="176" t="str">
        <f>IF('1. Total PFAS Calculator'!$D$24='1. Total PFAS Calculator'!$K$21,"",IF(G19="","",(G19/F19)))</f>
        <v/>
      </c>
      <c r="N19" s="253" t="str">
        <f>IF('1. Total PFAS Calculator'!$D$24='1. Total PFAS Calculator'!$K$21,"",IF(I19="","",(I19/F19)))</f>
        <v/>
      </c>
      <c r="O19" s="249" t="str">
        <f t="shared" si="4"/>
        <v/>
      </c>
      <c r="P19" s="250" t="str">
        <f t="shared" si="5"/>
        <v/>
      </c>
      <c r="R19" s="159">
        <v>15</v>
      </c>
    </row>
    <row r="20" spans="2:18" s="243" customFormat="1" ht="15" customHeight="1">
      <c r="B20" s="254" t="s">
        <v>14</v>
      </c>
      <c r="C20" s="255" t="s">
        <v>143</v>
      </c>
      <c r="D20" s="256" t="s">
        <v>50</v>
      </c>
      <c r="E20" s="425">
        <v>463.07</v>
      </c>
      <c r="F20" s="298">
        <f>'3. PFAS Summary Action Levels'!D20</f>
        <v>11.538461538461538</v>
      </c>
      <c r="G20" s="182" t="str">
        <f>IF('1. Total PFAS Calculator'!$D$24='1. Total PFAS Calculator'!$K$21,"",IF('2. Sample Data Input'!D25="",0,'2. Sample Data Input'!D25))</f>
        <v/>
      </c>
      <c r="H20" s="181" t="str">
        <f>IF('1. Total PFAS Calculator'!$D$24='1. Total PFAS Calculator'!$K$21,"",IF('2. Sample Data Input'!E25="",0,'2. Sample Data Input'!E25))</f>
        <v/>
      </c>
      <c r="I20" s="436">
        <f t="shared" si="1"/>
        <v>0</v>
      </c>
      <c r="J20" s="439" t="str">
        <f t="shared" si="0"/>
        <v/>
      </c>
      <c r="K20" s="434" t="str">
        <f t="shared" si="2"/>
        <v/>
      </c>
      <c r="L20" s="252" t="str">
        <f t="shared" si="3"/>
        <v/>
      </c>
      <c r="M20" s="176" t="str">
        <f>IF('1. Total PFAS Calculator'!$D$24='1. Total PFAS Calculator'!$K$21,"",IF(G20="","",(G20/F20)))</f>
        <v/>
      </c>
      <c r="N20" s="253" t="str">
        <f>IF('1. Total PFAS Calculator'!$D$24='1. Total PFAS Calculator'!$K$21,"",IF(I20="","",(I20/F20)))</f>
        <v/>
      </c>
      <c r="O20" s="249" t="str">
        <f t="shared" si="4"/>
        <v/>
      </c>
      <c r="P20" s="250" t="str">
        <f t="shared" si="5"/>
        <v/>
      </c>
      <c r="R20" s="159">
        <v>17</v>
      </c>
    </row>
    <row r="21" spans="2:18" s="243" customFormat="1" ht="15" customHeight="1">
      <c r="B21" s="254" t="s">
        <v>15</v>
      </c>
      <c r="C21" s="255" t="s">
        <v>144</v>
      </c>
      <c r="D21" s="256" t="s">
        <v>51</v>
      </c>
      <c r="E21" s="425">
        <v>513.07799999999997</v>
      </c>
      <c r="F21" s="299">
        <f>'3. PFAS Summary Action Levels'!D21</f>
        <v>7.6923076923076925</v>
      </c>
      <c r="G21" s="182" t="str">
        <f>IF('1. Total PFAS Calculator'!$D$24='1. Total PFAS Calculator'!$K$21,"",IF('2. Sample Data Input'!D26="",0,'2. Sample Data Input'!D26))</f>
        <v/>
      </c>
      <c r="H21" s="181" t="str">
        <f>IF('1. Total PFAS Calculator'!$D$24='1. Total PFAS Calculator'!$K$21,"",IF('2. Sample Data Input'!E26="",0,'2. Sample Data Input'!E26))</f>
        <v/>
      </c>
      <c r="I21" s="436">
        <f t="shared" si="1"/>
        <v>0</v>
      </c>
      <c r="J21" s="439" t="str">
        <f t="shared" si="0"/>
        <v/>
      </c>
      <c r="K21" s="434" t="str">
        <f t="shared" si="2"/>
        <v/>
      </c>
      <c r="L21" s="252" t="str">
        <f t="shared" si="3"/>
        <v/>
      </c>
      <c r="M21" s="176" t="str">
        <f>IF('1. Total PFAS Calculator'!$D$24='1. Total PFAS Calculator'!$K$21,"",IF(G21="","",(G21/F21)))</f>
        <v/>
      </c>
      <c r="N21" s="253" t="str">
        <f>IF('1. Total PFAS Calculator'!$D$24='1. Total PFAS Calculator'!$K$21,"",IF(I21="","",(I21/F21)))</f>
        <v/>
      </c>
      <c r="O21" s="249" t="str">
        <f t="shared" si="4"/>
        <v/>
      </c>
      <c r="P21" s="250" t="str">
        <f t="shared" si="5"/>
        <v/>
      </c>
      <c r="R21" s="159">
        <v>19</v>
      </c>
    </row>
    <row r="22" spans="2:18" s="243" customFormat="1" ht="15" customHeight="1">
      <c r="B22" s="254" t="s">
        <v>16</v>
      </c>
      <c r="C22" s="255" t="s">
        <v>145</v>
      </c>
      <c r="D22" s="256" t="s">
        <v>52</v>
      </c>
      <c r="E22" s="425">
        <v>563.08600000000001</v>
      </c>
      <c r="F22" s="298">
        <f>'3. PFAS Summary Action Levels'!D22</f>
        <v>19.230769230769237</v>
      </c>
      <c r="G22" s="182" t="str">
        <f>IF('1. Total PFAS Calculator'!$D$24='1. Total PFAS Calculator'!$K$21,"",IF('2. Sample Data Input'!D27="",0,'2. Sample Data Input'!D27))</f>
        <v/>
      </c>
      <c r="H22" s="181" t="str">
        <f>IF('1. Total PFAS Calculator'!$D$24='1. Total PFAS Calculator'!$K$21,"",IF('2. Sample Data Input'!E27="",0,'2. Sample Data Input'!E27))</f>
        <v/>
      </c>
      <c r="I22" s="436">
        <f t="shared" si="1"/>
        <v>0</v>
      </c>
      <c r="J22" s="439" t="str">
        <f t="shared" si="0"/>
        <v/>
      </c>
      <c r="K22" s="434" t="str">
        <f t="shared" si="2"/>
        <v/>
      </c>
      <c r="L22" s="252" t="str">
        <f t="shared" si="3"/>
        <v/>
      </c>
      <c r="M22" s="176" t="str">
        <f>IF('1. Total PFAS Calculator'!$D$24='1. Total PFAS Calculator'!$K$21,"",IF(G22="","",(G22/F22)))</f>
        <v/>
      </c>
      <c r="N22" s="253" t="str">
        <f>IF('1. Total PFAS Calculator'!$D$24='1. Total PFAS Calculator'!$K$21,"",IF(I22="","",(I22/F22)))</f>
        <v/>
      </c>
      <c r="O22" s="249" t="str">
        <f t="shared" si="4"/>
        <v/>
      </c>
      <c r="P22" s="250" t="str">
        <f t="shared" si="5"/>
        <v/>
      </c>
      <c r="R22" s="159">
        <v>21</v>
      </c>
    </row>
    <row r="23" spans="2:18" s="243" customFormat="1" ht="15" customHeight="1">
      <c r="B23" s="254" t="s">
        <v>17</v>
      </c>
      <c r="C23" s="255" t="s">
        <v>146</v>
      </c>
      <c r="D23" s="256" t="s">
        <v>53</v>
      </c>
      <c r="E23" s="425">
        <v>613.09400000000005</v>
      </c>
      <c r="F23" s="298">
        <f>'3. PFAS Summary Action Levels'!D23</f>
        <v>25.769230769230766</v>
      </c>
      <c r="G23" s="182" t="str">
        <f>IF('1. Total PFAS Calculator'!$D$24='1. Total PFAS Calculator'!$K$21,"",IF('2. Sample Data Input'!D28="",0,'2. Sample Data Input'!D28))</f>
        <v/>
      </c>
      <c r="H23" s="181" t="str">
        <f>IF('1. Total PFAS Calculator'!$D$24='1. Total PFAS Calculator'!$K$21,"",IF('2. Sample Data Input'!E28="",0,'2. Sample Data Input'!E28))</f>
        <v/>
      </c>
      <c r="I23" s="436">
        <f t="shared" si="1"/>
        <v>0</v>
      </c>
      <c r="J23" s="439" t="str">
        <f t="shared" si="0"/>
        <v/>
      </c>
      <c r="K23" s="434" t="str">
        <f t="shared" si="2"/>
        <v/>
      </c>
      <c r="L23" s="252" t="str">
        <f t="shared" si="3"/>
        <v/>
      </c>
      <c r="M23" s="176" t="str">
        <f>IF('1. Total PFAS Calculator'!$D$24='1. Total PFAS Calculator'!$K$21,"",IF(G23="","",(G23/F23)))</f>
        <v/>
      </c>
      <c r="N23" s="253" t="str">
        <f>IF('1. Total PFAS Calculator'!$D$24='1. Total PFAS Calculator'!$K$21,"",IF(I23="","",(I23/F23)))</f>
        <v/>
      </c>
      <c r="O23" s="249" t="str">
        <f t="shared" si="4"/>
        <v/>
      </c>
      <c r="P23" s="250" t="str">
        <f t="shared" si="5"/>
        <v/>
      </c>
      <c r="R23" s="159">
        <v>23</v>
      </c>
    </row>
    <row r="24" spans="2:18" s="243" customFormat="1" ht="15" customHeight="1">
      <c r="B24" s="254" t="s">
        <v>18</v>
      </c>
      <c r="C24" s="255" t="s">
        <v>147</v>
      </c>
      <c r="D24" s="256" t="s">
        <v>54</v>
      </c>
      <c r="E24" s="425">
        <v>663.10199999999998</v>
      </c>
      <c r="F24" s="298">
        <f>'3. PFAS Summary Action Levels'!D24</f>
        <v>25.769230769230766</v>
      </c>
      <c r="G24" s="182" t="str">
        <f>IF('1. Total PFAS Calculator'!$D$24='1. Total PFAS Calculator'!$K$21,"",IF('2. Sample Data Input'!D29="",0,'2. Sample Data Input'!D29))</f>
        <v/>
      </c>
      <c r="H24" s="181" t="str">
        <f>IF('1. Total PFAS Calculator'!$D$24='1. Total PFAS Calculator'!$K$21,"",IF('2. Sample Data Input'!E29="",0,'2. Sample Data Input'!E29))</f>
        <v/>
      </c>
      <c r="I24" s="436">
        <f t="shared" si="1"/>
        <v>0</v>
      </c>
      <c r="J24" s="439" t="str">
        <f t="shared" si="0"/>
        <v/>
      </c>
      <c r="K24" s="434" t="str">
        <f t="shared" si="2"/>
        <v/>
      </c>
      <c r="L24" s="252" t="str">
        <f t="shared" si="3"/>
        <v/>
      </c>
      <c r="M24" s="176" t="str">
        <f>IF('1. Total PFAS Calculator'!$D$24='1. Total PFAS Calculator'!$K$21,"",IF(G24="","",(G24/F24)))</f>
        <v/>
      </c>
      <c r="N24" s="253" t="str">
        <f>IF('1. Total PFAS Calculator'!$D$24='1. Total PFAS Calculator'!$K$21,"",IF(I24="","",(I24/F24)))</f>
        <v/>
      </c>
      <c r="O24" s="249" t="str">
        <f t="shared" si="4"/>
        <v/>
      </c>
      <c r="P24" s="250" t="str">
        <f t="shared" si="5"/>
        <v/>
      </c>
      <c r="R24" s="159">
        <v>25</v>
      </c>
    </row>
    <row r="25" spans="2:18" s="243" customFormat="1" ht="15" customHeight="1">
      <c r="B25" s="506" t="s">
        <v>19</v>
      </c>
      <c r="C25" s="507" t="s">
        <v>148</v>
      </c>
      <c r="D25" s="508" t="s">
        <v>55</v>
      </c>
      <c r="E25" s="496">
        <v>713.10900000000004</v>
      </c>
      <c r="F25" s="549">
        <f>'3. PFAS Summary Action Levels'!D25</f>
        <v>257.69230769230774</v>
      </c>
      <c r="G25" s="498" t="str">
        <f>IF('1. Total PFAS Calculator'!$D$24='1. Total PFAS Calculator'!$K$21,"",IF('2. Sample Data Input'!D30="",0,'2. Sample Data Input'!D30))</f>
        <v/>
      </c>
      <c r="H25" s="499" t="str">
        <f>IF('1. Total PFAS Calculator'!$D$24='1. Total PFAS Calculator'!$K$21,"",IF('2. Sample Data Input'!E30="",0,'2. Sample Data Input'!E30))</f>
        <v/>
      </c>
      <c r="I25" s="503">
        <f>IF(H25="",0,IF(AND(G25="",H25=""),0,IF(AND(G25="",H25&gt;0),H25,IF((H25-G25)&lt;0,0,(H25-G25)))))</f>
        <v>0</v>
      </c>
      <c r="J25" s="501" t="str">
        <f>IF(G25="","",IF(G25=0,"",(G25/$G$27)))</f>
        <v/>
      </c>
      <c r="K25" s="509" t="str">
        <f>IF(I25=0,"",IF(AND(G25="",H25&gt;0),(I25/$I$27),IF((H25-G25)&lt;0,"",(I25/$I$27))))</f>
        <v/>
      </c>
      <c r="L25" s="510" t="str">
        <f>IF(AND(G25="",H25=""),"",(G25+I25)*((R25*18.998)/E25))</f>
        <v/>
      </c>
      <c r="M25" s="504" t="str">
        <f>IF('1. Total PFAS Calculator'!$D$24='1. Total PFAS Calculator'!$K$21,"",IF(G25="","",(G25/F25)))</f>
        <v/>
      </c>
      <c r="N25" s="511" t="str">
        <f>IF('1. Total PFAS Calculator'!$D$24='1. Total PFAS Calculator'!$K$21,"",IF(I25="","",(I25/F25)))</f>
        <v/>
      </c>
      <c r="O25" s="512" t="str">
        <f>IF(OR(M25="",M25=0),"",M25/$M$27)</f>
        <v/>
      </c>
      <c r="P25" s="513" t="str">
        <f>IF(OR(N25="",N25=0),"",N25/$N$27)</f>
        <v/>
      </c>
      <c r="R25" s="159">
        <v>27</v>
      </c>
    </row>
    <row r="26" spans="2:18" s="548" customFormat="1" ht="26.65" thickBot="1">
      <c r="B26" s="538" t="s">
        <v>208</v>
      </c>
      <c r="C26" s="539" t="s">
        <v>209</v>
      </c>
      <c r="D26" s="540" t="s">
        <v>296</v>
      </c>
      <c r="E26" s="541">
        <v>329</v>
      </c>
      <c r="F26" s="542">
        <f>'3. PFAS Summary Action Levels'!D26</f>
        <v>11.538461538461499</v>
      </c>
      <c r="G26" s="527" t="str">
        <f>IF('1. Total PFAS Calculator'!$D$24='1. Total PFAS Calculator'!$K$21,"",IF('2. Sample Data Input'!D31="",0,'2. Sample Data Input'!D31))</f>
        <v/>
      </c>
      <c r="H26" s="528" t="str">
        <f>IF('1. Total PFAS Calculator'!$D$24='1. Total PFAS Calculator'!$K$21,"",IF('2. Sample Data Input'!E31="",0,'2. Sample Data Input'!E31))</f>
        <v/>
      </c>
      <c r="I26" s="532">
        <f>IF(H26="",0,IF(AND(G26="",H26=""),0,IF(AND(G26="",H26&gt;0),H26,IF((H26-G26)&lt;0,0,(H26-G26)))))</f>
        <v>0</v>
      </c>
      <c r="J26" s="530" t="str">
        <f>IF(G26="","",IF(G26=0,"",(G26/$G$27)))</f>
        <v/>
      </c>
      <c r="K26" s="545" t="str">
        <f>IF(I26=0,"",IF(AND(G26="",H26&gt;0),(I26/$I$27),IF((H26-G26)&lt;0,"",(I26/$I$27))))</f>
        <v/>
      </c>
      <c r="L26" s="546" t="str">
        <f>IF(AND(G26="",H26=""),"",(G26+I26)*((R26*18.998)/E26))</f>
        <v/>
      </c>
      <c r="M26" s="533" t="str">
        <f>IF('1. Total PFAS Calculator'!$D$24='1. Total PFAS Calculator'!$K$21,"",IF(G26="","",(G26/F26)))</f>
        <v/>
      </c>
      <c r="N26" s="547" t="str">
        <f>IF('1. Total PFAS Calculator'!$D$24='1. Total PFAS Calculator'!$K$21,"",IF(I26="","",(I26/F26)))</f>
        <v/>
      </c>
      <c r="O26" s="553" t="str">
        <f>IF(OR(M26="",M26=0),"",M26/$M$27)</f>
        <v/>
      </c>
      <c r="P26" s="554" t="str">
        <f>IF(OR(N26="",N26=0),"",N26/$N$27)</f>
        <v/>
      </c>
      <c r="R26" s="555">
        <v>11</v>
      </c>
    </row>
    <row r="27" spans="2:18" s="243" customFormat="1" ht="13.5" thickBot="1">
      <c r="B27" s="260"/>
      <c r="C27" s="261"/>
      <c r="D27" s="262"/>
      <c r="E27" s="262"/>
      <c r="F27" s="550" t="s">
        <v>67</v>
      </c>
      <c r="G27" s="312" t="str">
        <f>IF('2. Sample Data Input'!D32="","",IF('1. Total PFAS Calculator'!$D$24='1. Total PFAS Calculator'!$K$21,"",SUM(G7:G26)))</f>
        <v/>
      </c>
      <c r="H27" s="313" t="str">
        <f>IF('2. Sample Data Input'!E32="","",IF('1. Total PFAS Calculator'!$D$24='1. Total PFAS Calculator'!$K$21,"",SUM(H7:H26)))</f>
        <v/>
      </c>
      <c r="I27" s="314" t="str">
        <f>IF('2. Sample Data Input'!E32="","",IF('1. Total PFAS Calculator'!$D$24='1. Total PFAS Calculator'!$K$21,"",SUM(I7:I26)))</f>
        <v/>
      </c>
      <c r="J27" s="551" t="str">
        <f>IF('2. Sample Data Input'!D32="","",IF('1. Total PFAS Calculator'!$D$24='1. Total PFAS Calculator'!$K$21,"",SUM(J7:J26)))</f>
        <v/>
      </c>
      <c r="K27" s="552" t="str">
        <f>IF('2. Sample Data Input'!E32="","",IF('1. Total PFAS Calculator'!$D$24='1. Total PFAS Calculator'!$K$21,"",SUM(K7:K26)))</f>
        <v/>
      </c>
      <c r="L27" s="315" t="str">
        <f>IF('2. Sample Data Input'!D7="","",IF('1. Total PFAS Calculator'!$D$24='1. Total PFAS Calculator'!$K$21,"",SUM(L7:L26)))</f>
        <v/>
      </c>
      <c r="M27" s="263" t="str">
        <f>IF('2. Sample Data Input'!D32="","",IF('1. Total PFAS Calculator'!$D$24='1. Total PFAS Calculator'!$K$21,"",SUM(M7:M26)))</f>
        <v/>
      </c>
      <c r="N27" s="264" t="str">
        <f>IF('2. Sample Data Input'!E32="","",IF('2. Sample Data Input'!E32="","",IF('1. Total PFAS Calculator'!$D$24='1. Total PFAS Calculator'!$K$21,"",SUM(N7:N26))))</f>
        <v/>
      </c>
      <c r="O27" s="265" t="str">
        <f>IF('1. Total PFAS Calculator'!$D$24='1. Total PFAS Calculator'!$K$21,"",IF('2. Sample Data Input'!D32="","",SUM(O7:O26)))</f>
        <v/>
      </c>
      <c r="P27" s="266" t="str">
        <f>IF('1. Total PFAS Calculator'!$D$24='1. Total PFAS Calculator'!$K$21,"",IF(N27="","",SUM(P7:P26)))</f>
        <v/>
      </c>
      <c r="R27" s="159"/>
    </row>
    <row r="28" spans="2:18" s="243" customFormat="1" ht="13.5" thickTop="1">
      <c r="B28" s="267"/>
      <c r="C28" s="53"/>
      <c r="D28" s="53"/>
      <c r="E28" s="53"/>
      <c r="F28" s="268"/>
      <c r="G28" s="268"/>
      <c r="H28" s="268"/>
      <c r="I28" s="269"/>
      <c r="J28" s="270"/>
      <c r="K28" s="271" t="s">
        <v>103</v>
      </c>
      <c r="L28" s="272" t="str">
        <f>IF('1. Total PFAS Calculator'!$D$24='1. Total PFAS Calculator'!$K$21,"",IF('2. Sample Data Input'!D7="","",'2. Sample Data Input'!D7))</f>
        <v/>
      </c>
      <c r="M28" s="273"/>
      <c r="N28" s="159"/>
      <c r="R28" s="159"/>
    </row>
    <row r="29" spans="2:18" s="243" customFormat="1" ht="14.65">
      <c r="B29" s="267"/>
      <c r="C29" s="53"/>
      <c r="D29" s="53"/>
      <c r="E29" s="53"/>
      <c r="F29" s="268"/>
      <c r="G29" s="268"/>
      <c r="H29" s="268"/>
      <c r="I29" s="274"/>
      <c r="J29" s="275"/>
      <c r="K29" s="276" t="s">
        <v>265</v>
      </c>
      <c r="L29" s="319" t="str">
        <f>IF('1. Total PFAS Calculator'!$D$24='1. Total PFAS Calculator'!$K$21,"",IF('2. Sample Data Input'!D7="","",IF(L28&lt;L27,"Error",(L28-L27))))</f>
        <v/>
      </c>
      <c r="M29" s="243" t="str">
        <f>IF('2. Sample Data Input'!D7="","",IF(L28&lt;L27,"Error - Input TOF Less Than TOPs-Predicted TOF",""))</f>
        <v/>
      </c>
      <c r="N29" s="159"/>
      <c r="R29" s="159"/>
    </row>
    <row r="30" spans="2:18" s="243" customFormat="1" ht="14.65">
      <c r="B30" s="267"/>
      <c r="C30" s="53"/>
      <c r="D30" s="53"/>
      <c r="E30" s="53"/>
      <c r="F30" s="268"/>
      <c r="G30" s="268"/>
      <c r="H30" s="268"/>
      <c r="I30" s="277"/>
      <c r="J30" s="278"/>
      <c r="K30" s="279" t="s">
        <v>266</v>
      </c>
      <c r="L30" s="280" t="str">
        <f>IF('1. Total PFAS Calculator'!$D$24='1. Total PFAS Calculator'!$K$21,"",'2. Sample Data Input'!D8)</f>
        <v/>
      </c>
      <c r="M30" s="281"/>
      <c r="N30" s="159"/>
      <c r="R30" s="159"/>
    </row>
    <row r="31" spans="2:18" s="243" customFormat="1" ht="14.65">
      <c r="B31" s="267"/>
      <c r="C31" s="53"/>
      <c r="D31" s="53"/>
      <c r="E31" s="53"/>
      <c r="F31" s="268"/>
      <c r="G31" s="268"/>
      <c r="H31" s="268"/>
      <c r="I31" s="282"/>
      <c r="J31" s="283"/>
      <c r="K31" s="284" t="s">
        <v>267</v>
      </c>
      <c r="L31" s="285" t="str">
        <f>IF('1. Total PFAS Calculator'!$D$24='1. Total PFAS Calculator'!$K$21,"",IF('2. Sample Data Input'!D7="","",IF(L28&lt;L27,"Error",(L29*L30))))</f>
        <v/>
      </c>
      <c r="M31" s="281"/>
      <c r="N31" s="159"/>
      <c r="R31" s="159"/>
    </row>
    <row r="32" spans="2:18" s="243" customFormat="1" ht="13.5" thickBot="1">
      <c r="B32" s="286"/>
      <c r="C32" s="53"/>
      <c r="D32" s="53"/>
      <c r="E32" s="53"/>
      <c r="F32" s="287"/>
      <c r="G32" s="287"/>
      <c r="H32" s="287"/>
      <c r="I32" s="288"/>
      <c r="J32" s="289"/>
      <c r="K32" s="290" t="s">
        <v>120</v>
      </c>
      <c r="L32" s="291" t="str">
        <f>IF(L31="","",IF(L31="Error","",IF('1. Total PFAS Calculator'!D32="",L31/F14,L31/'1. Total PFAS Calculator'!D32)))</f>
        <v/>
      </c>
      <c r="M32" s="292"/>
      <c r="N32" s="159"/>
      <c r="R32" s="159"/>
    </row>
    <row r="33" spans="2:18" s="243" customFormat="1" ht="13.5" thickTop="1">
      <c r="B33" s="286"/>
      <c r="C33" s="53"/>
      <c r="D33" s="53"/>
      <c r="E33" s="53"/>
      <c r="F33" s="287"/>
      <c r="G33" s="287"/>
      <c r="H33" s="287"/>
      <c r="I33" s="287"/>
      <c r="J33" s="287"/>
      <c r="K33" s="287"/>
      <c r="M33" s="292"/>
      <c r="N33" s="159"/>
      <c r="R33" s="159"/>
    </row>
    <row r="34" spans="2:18" s="243" customFormat="1" ht="30" customHeight="1">
      <c r="B34" s="603" t="s">
        <v>321</v>
      </c>
      <c r="C34" s="606"/>
      <c r="D34" s="606"/>
      <c r="E34" s="606"/>
      <c r="F34" s="606"/>
      <c r="G34" s="606"/>
      <c r="H34" s="606"/>
      <c r="I34" s="606"/>
      <c r="J34" s="606"/>
      <c r="K34" s="606"/>
      <c r="L34" s="606"/>
      <c r="M34" s="606"/>
      <c r="N34" s="606"/>
      <c r="O34" s="159"/>
      <c r="P34" s="159"/>
      <c r="Q34" s="159"/>
      <c r="R34" s="159"/>
    </row>
    <row r="35" spans="2:18" s="243" customFormat="1">
      <c r="B35" s="286"/>
      <c r="C35" s="53"/>
      <c r="D35" s="53"/>
      <c r="E35" s="53"/>
      <c r="F35" s="287"/>
      <c r="G35" s="287"/>
      <c r="H35" s="287"/>
      <c r="I35" s="287"/>
      <c r="J35" s="287"/>
      <c r="K35" s="293"/>
      <c r="L35" s="294"/>
      <c r="M35" s="292"/>
      <c r="N35" s="159"/>
      <c r="O35" s="159"/>
      <c r="P35" s="159"/>
      <c r="Q35" s="159"/>
      <c r="R35" s="159"/>
    </row>
    <row r="36" spans="2:18" s="243" customFormat="1">
      <c r="B36" s="286" t="s">
        <v>0</v>
      </c>
      <c r="C36" s="53"/>
      <c r="D36" s="53"/>
      <c r="E36" s="53"/>
      <c r="F36" s="287"/>
      <c r="G36" s="287"/>
      <c r="H36" s="287"/>
      <c r="I36" s="287"/>
      <c r="J36" s="287"/>
      <c r="K36" s="293"/>
      <c r="L36" s="294"/>
      <c r="M36" s="292"/>
      <c r="N36" s="159"/>
      <c r="O36" s="159"/>
      <c r="P36" s="159"/>
      <c r="Q36" s="159"/>
      <c r="R36" s="159"/>
    </row>
    <row r="37" spans="2:18" s="40" customFormat="1" ht="17.25" customHeight="1">
      <c r="B37" s="602" t="s">
        <v>110</v>
      </c>
      <c r="C37" s="563"/>
      <c r="D37" s="563"/>
      <c r="E37" s="563"/>
      <c r="F37" s="563"/>
      <c r="G37" s="563"/>
      <c r="H37" s="563"/>
      <c r="I37" s="563"/>
      <c r="J37" s="563"/>
      <c r="K37" s="563"/>
      <c r="L37" s="563"/>
      <c r="M37" s="563"/>
      <c r="N37" s="563"/>
      <c r="R37" s="22"/>
    </row>
    <row r="38" spans="2:18" s="40" customFormat="1" ht="17.25" customHeight="1">
      <c r="B38" s="602" t="s">
        <v>252</v>
      </c>
      <c r="C38" s="563"/>
      <c r="D38" s="563"/>
      <c r="E38" s="563"/>
      <c r="F38" s="563"/>
      <c r="G38" s="563"/>
      <c r="H38" s="563"/>
      <c r="I38" s="563"/>
      <c r="J38" s="563"/>
      <c r="K38" s="563"/>
      <c r="L38" s="563"/>
      <c r="M38" s="563"/>
      <c r="N38" s="563"/>
      <c r="R38" s="22"/>
    </row>
    <row r="39" spans="2:18" s="40" customFormat="1" ht="26.65" customHeight="1">
      <c r="B39" s="602" t="s">
        <v>278</v>
      </c>
      <c r="C39" s="563"/>
      <c r="D39" s="563"/>
      <c r="E39" s="563"/>
      <c r="F39" s="563"/>
      <c r="G39" s="563"/>
      <c r="H39" s="563"/>
      <c r="I39" s="563"/>
      <c r="J39" s="563"/>
      <c r="K39" s="563"/>
      <c r="L39" s="563"/>
      <c r="M39" s="563"/>
      <c r="N39" s="563"/>
      <c r="R39" s="22"/>
    </row>
    <row r="40" spans="2:18" customFormat="1" ht="17.25" customHeight="1">
      <c r="B40" s="602" t="s">
        <v>253</v>
      </c>
      <c r="C40" s="563"/>
      <c r="D40" s="563"/>
      <c r="E40" s="563"/>
      <c r="F40" s="563"/>
      <c r="G40" s="563"/>
      <c r="H40" s="563"/>
      <c r="I40" s="563"/>
      <c r="J40" s="563"/>
      <c r="K40" s="563"/>
      <c r="L40" s="563"/>
      <c r="M40" s="563"/>
      <c r="N40" s="563"/>
    </row>
    <row r="41" spans="2:18" customFormat="1" ht="17.25" customHeight="1">
      <c r="B41" s="602" t="s">
        <v>261</v>
      </c>
      <c r="C41" s="563"/>
      <c r="D41" s="563"/>
      <c r="E41" s="563"/>
      <c r="F41" s="563"/>
      <c r="G41" s="563"/>
      <c r="H41" s="563"/>
      <c r="I41" s="563"/>
      <c r="J41" s="563"/>
      <c r="K41" s="563"/>
      <c r="L41" s="563"/>
      <c r="M41" s="563"/>
      <c r="N41" s="563"/>
    </row>
    <row r="42" spans="2:18" customFormat="1" ht="17.25" customHeight="1">
      <c r="B42" s="602" t="s">
        <v>258</v>
      </c>
      <c r="C42" s="563"/>
      <c r="D42" s="563"/>
      <c r="E42" s="563"/>
      <c r="F42" s="563"/>
      <c r="G42" s="563"/>
      <c r="H42" s="563"/>
      <c r="I42" s="563"/>
      <c r="J42" s="563"/>
      <c r="K42" s="563"/>
      <c r="L42" s="563"/>
      <c r="M42" s="563"/>
      <c r="N42" s="563"/>
    </row>
    <row r="43" spans="2:18" customFormat="1" ht="40.15" customHeight="1">
      <c r="B43" s="603" t="s">
        <v>259</v>
      </c>
      <c r="C43" s="563"/>
      <c r="D43" s="563"/>
      <c r="E43" s="563"/>
      <c r="F43" s="563"/>
      <c r="G43" s="563"/>
      <c r="H43" s="563"/>
      <c r="I43" s="563"/>
      <c r="J43" s="563"/>
      <c r="K43" s="563"/>
      <c r="L43" s="563"/>
      <c r="M43" s="563"/>
      <c r="N43" s="563"/>
    </row>
    <row r="44" spans="2:18" customFormat="1" ht="17.25" customHeight="1">
      <c r="B44" s="602" t="s">
        <v>260</v>
      </c>
      <c r="C44" s="563"/>
      <c r="D44" s="563"/>
      <c r="E44" s="563"/>
      <c r="F44" s="563"/>
      <c r="G44" s="563"/>
      <c r="H44" s="563"/>
      <c r="I44" s="563"/>
      <c r="J44" s="563"/>
      <c r="K44" s="563"/>
      <c r="L44" s="563"/>
      <c r="M44" s="563"/>
      <c r="N44" s="563"/>
    </row>
  </sheetData>
  <sheetProtection algorithmName="SHA-512" hashValue="rSXiScIHW4gA++5M5+WfHlOLYbyuY2PY4MJ4rVQbMxk7ZmFd8vO9T6MzPMUFew0lMfflom679gW/B0h9lXSrGg==" saltValue="DS526dcnLSPLKd2RydeBeQ==" spinCount="100000" sheet="1" objects="1" scenarios="1"/>
  <mergeCells count="11">
    <mergeCell ref="O5:P5"/>
    <mergeCell ref="B43:N43"/>
    <mergeCell ref="B44:N44"/>
    <mergeCell ref="M5:N5"/>
    <mergeCell ref="B34:N34"/>
    <mergeCell ref="B42:N42"/>
    <mergeCell ref="B37:N37"/>
    <mergeCell ref="B38:N38"/>
    <mergeCell ref="B39:N39"/>
    <mergeCell ref="B40:N40"/>
    <mergeCell ref="B41:N41"/>
  </mergeCells>
  <pageMargins left="0.2" right="0.2" top="0.5" bottom="0.5" header="0.3" footer="0.3"/>
  <pageSetup scale="62" orientation="landscape" r:id="rId1"/>
  <headerFooter>
    <oddFooter>&amp;R&amp;F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2120-E4D3-4184-97FC-91361FE72117}">
  <sheetPr>
    <tabColor rgb="FF00FFFF"/>
    <pageSetUpPr fitToPage="1"/>
  </sheetPr>
  <dimension ref="B1:R36"/>
  <sheetViews>
    <sheetView workbookViewId="0">
      <selection activeCell="C1" sqref="C1"/>
    </sheetView>
  </sheetViews>
  <sheetFormatPr defaultRowHeight="12.75"/>
  <cols>
    <col min="2" max="2" width="14.59765625" customWidth="1"/>
    <col min="3" max="3" width="36" customWidth="1"/>
    <col min="4" max="10" width="15.59765625" customWidth="1"/>
    <col min="11" max="11" width="40.59765625" customWidth="1"/>
    <col min="13" max="17" width="12.59765625" customWidth="1"/>
    <col min="18" max="18" width="12.59765625" style="1" customWidth="1"/>
    <col min="19" max="19" width="12.59765625" customWidth="1"/>
  </cols>
  <sheetData>
    <row r="1" spans="2:17" ht="15.75">
      <c r="B1" s="296" t="s">
        <v>61</v>
      </c>
      <c r="C1" s="297" t="str">
        <f>IF('1. Total PFAS Calculator'!D18="","",'1. Total PFAS Calculator'!D18)</f>
        <v/>
      </c>
    </row>
    <row r="2" spans="2:17" ht="15.75">
      <c r="B2" s="296" t="s">
        <v>58</v>
      </c>
      <c r="C2" s="297" t="str">
        <f>IF('1. Total PFAS Calculator'!D19="","",'1. Total PFAS Calculator'!D19)</f>
        <v/>
      </c>
    </row>
    <row r="3" spans="2:17" ht="15.75">
      <c r="B3" s="296" t="s">
        <v>66</v>
      </c>
      <c r="C3" s="297" t="str">
        <f>IF('1. Total PFAS Calculator'!D20="","",'1. Total PFAS Calculator'!D20)</f>
        <v/>
      </c>
    </row>
    <row r="4" spans="2:17" ht="15">
      <c r="B4" s="113" t="s">
        <v>269</v>
      </c>
      <c r="G4" s="156"/>
      <c r="H4" s="156"/>
      <c r="I4" s="132"/>
      <c r="J4" s="132"/>
    </row>
    <row r="5" spans="2:17" ht="13.15" thickBot="1"/>
    <row r="6" spans="2:17" s="20" customFormat="1" ht="57" customHeight="1" thickTop="1" thickBot="1">
      <c r="B6" s="95" t="s">
        <v>64</v>
      </c>
      <c r="C6" s="96" t="s">
        <v>65</v>
      </c>
      <c r="D6" s="97" t="s">
        <v>60</v>
      </c>
      <c r="E6" s="98" t="s">
        <v>268</v>
      </c>
      <c r="F6" s="99" t="s">
        <v>93</v>
      </c>
      <c r="G6" s="150" t="s">
        <v>270</v>
      </c>
      <c r="H6" s="430" t="s">
        <v>271</v>
      </c>
      <c r="I6" s="154" t="s">
        <v>89</v>
      </c>
      <c r="J6" s="155" t="s">
        <v>90</v>
      </c>
      <c r="K6" s="151" t="s">
        <v>276</v>
      </c>
      <c r="L6" s="21"/>
      <c r="N6" s="128"/>
    </row>
    <row r="7" spans="2:17" s="20" customFormat="1" ht="15">
      <c r="B7" s="100" t="s">
        <v>4</v>
      </c>
      <c r="C7" s="101" t="s">
        <v>21</v>
      </c>
      <c r="D7" s="102" t="s">
        <v>39</v>
      </c>
      <c r="E7" s="94" t="str">
        <f>IF('1. Total PFAS Calculator'!$D$24='1. Total PFAS Calculator'!$K$21,"-",IF('2. Sample Data Input'!D12="",0,'2. Sample Data Input'!D12))</f>
        <v>-</v>
      </c>
      <c r="F7" s="112" t="str">
        <f>IF('1. Total PFAS Calculator'!$D$24='1. Total PFAS Calculator'!$K$21,"-",IF('2. Sample Data Input'!E12="",0,'2. Sample Data Input'!E12))</f>
        <v>-</v>
      </c>
      <c r="G7" s="148" t="str">
        <f>IF('1. Total PFAS Calculator'!$D$24='1. Total PFAS Calculator'!$K$21,"-",IF(AND(E7=0,F7=0),E7,IF((F7-E7)&lt;0,0,(F7-E7))))</f>
        <v>-</v>
      </c>
      <c r="H7" s="431" t="str">
        <f>IF(AND(E7="-",G7="-"),"",E7+G7)</f>
        <v/>
      </c>
      <c r="I7" s="167">
        <f>'3. PFAS Summary Action Levels'!E7</f>
        <v>127000000</v>
      </c>
      <c r="J7" s="168">
        <f>'3. PFAS Summary Action Levels'!F7</f>
        <v>127000000</v>
      </c>
      <c r="K7" s="152" t="str">
        <f>IF('1. Total PFAS Calculator'!$D$24='1. Total PFAS Calculator'!$K$21,"",IF(AND(G7&gt;I7,G7&gt;J7),"Potential Chronic and acute aquatic toxicity risk",IF(G7&gt;I7,"Potential chronic aquatic toxicity risk","")))</f>
        <v/>
      </c>
      <c r="L7" s="21"/>
      <c r="M7" s="22"/>
      <c r="N7" s="121"/>
      <c r="O7" s="22"/>
      <c r="P7" s="22"/>
      <c r="Q7" s="22"/>
    </row>
    <row r="8" spans="2:17" s="20" customFormat="1" ht="15">
      <c r="B8" s="100" t="s">
        <v>6</v>
      </c>
      <c r="C8" s="101" t="s">
        <v>115</v>
      </c>
      <c r="D8" s="102" t="s">
        <v>122</v>
      </c>
      <c r="E8" s="94" t="str">
        <f>IF('1. Total PFAS Calculator'!$D$24='1. Total PFAS Calculator'!$K$21,"-",IF('2. Sample Data Input'!D13="",0,'2. Sample Data Input'!D13))</f>
        <v>-</v>
      </c>
      <c r="F8" s="112" t="str">
        <f>IF('1. Total PFAS Calculator'!$D$24='1. Total PFAS Calculator'!$K$21,"-",IF('2. Sample Data Input'!E13="",0,'2. Sample Data Input'!E13))</f>
        <v>-</v>
      </c>
      <c r="G8" s="149" t="str">
        <f>IF('1. Total PFAS Calculator'!$D$24='1. Total PFAS Calculator'!$K$21,"-",IF(AND(E8=0,F8=0),E8,IF((F8-E8)&lt;0,0,(F8-E8))))</f>
        <v>-</v>
      </c>
      <c r="H8" s="432" t="str">
        <f t="shared" ref="H8:H24" si="0">IF(AND(E8="-",G8="-"),"",E8+G8)</f>
        <v/>
      </c>
      <c r="I8" s="153">
        <f>'3. PFAS Summary Action Levels'!E8</f>
        <v>2538.4615384615381</v>
      </c>
      <c r="J8" s="169">
        <f>'3. PFAS Summary Action Levels'!F8</f>
        <v>2538.4615384615381</v>
      </c>
      <c r="K8" s="152" t="str">
        <f>IF('1. Total PFAS Calculator'!$D$24='1. Total PFAS Calculator'!$K$21,"",IF(AND(G8&gt;I8,G8&gt;J8),"Potential Chronic and acute aquatic toxicity risk",IF(G8&gt;I8,"Potential chronic aquatic toxicity risk","")))</f>
        <v/>
      </c>
      <c r="L8" s="21"/>
      <c r="M8" s="119"/>
      <c r="N8" s="121"/>
      <c r="O8" s="22"/>
      <c r="P8" s="22"/>
      <c r="Q8" s="22"/>
    </row>
    <row r="9" spans="2:17" s="20" customFormat="1" ht="15">
      <c r="B9" s="103" t="s">
        <v>5</v>
      </c>
      <c r="C9" s="104" t="s">
        <v>22</v>
      </c>
      <c r="D9" s="105" t="s">
        <v>40</v>
      </c>
      <c r="E9" s="94" t="str">
        <f>IF('1. Total PFAS Calculator'!$D$24='1. Total PFAS Calculator'!$K$21,"-",IF('2. Sample Data Input'!D14="",0,'2. Sample Data Input'!D14))</f>
        <v>-</v>
      </c>
      <c r="F9" s="112" t="str">
        <f>IF('1. Total PFAS Calculator'!$D$24='1. Total PFAS Calculator'!$K$21,"-",IF('2. Sample Data Input'!E14="",0,'2. Sample Data Input'!E14))</f>
        <v>-</v>
      </c>
      <c r="G9" s="149" t="str">
        <f>IF('1. Total PFAS Calculator'!$D$24='1. Total PFAS Calculator'!$K$21,"-",IF(AND(E9=0,F9=0),E9,IF((F9-E9)&lt;0,0,(F9-E9))))</f>
        <v>-</v>
      </c>
      <c r="H9" s="432" t="str">
        <f t="shared" si="0"/>
        <v/>
      </c>
      <c r="I9" s="153">
        <f>'3. PFAS Summary Action Levels'!E9</f>
        <v>10000</v>
      </c>
      <c r="J9" s="169">
        <f>'3. PFAS Summary Action Levels'!F9</f>
        <v>10000</v>
      </c>
      <c r="K9" s="152" t="str">
        <f>IF('1. Total PFAS Calculator'!$D$24='1. Total PFAS Calculator'!$K$21,"",IF(AND(G9&gt;I9,G9&gt;J9),"Potential Chronic and acute aquatic toxicity risk",IF(G9&gt;I9,"Potential chronic aquatic toxicity risk","")))</f>
        <v/>
      </c>
      <c r="L9" s="21"/>
      <c r="M9" s="22"/>
      <c r="N9" s="121"/>
      <c r="O9" s="22"/>
      <c r="P9" s="22"/>
      <c r="Q9" s="22"/>
    </row>
    <row r="10" spans="2:17" s="20" customFormat="1" ht="15">
      <c r="B10" s="103" t="s">
        <v>6</v>
      </c>
      <c r="C10" s="106" t="s">
        <v>37</v>
      </c>
      <c r="D10" s="107" t="s">
        <v>41</v>
      </c>
      <c r="E10" s="94" t="str">
        <f>IF('1. Total PFAS Calculator'!$D$24='1. Total PFAS Calculator'!$K$21,"-",IF('2. Sample Data Input'!D15="",0,'2. Sample Data Input'!D15))</f>
        <v>-</v>
      </c>
      <c r="F10" s="112" t="str">
        <f>IF('1. Total PFAS Calculator'!$D$24='1. Total PFAS Calculator'!$K$21,"-",IF('2. Sample Data Input'!E15="",0,'2. Sample Data Input'!E15))</f>
        <v>-</v>
      </c>
      <c r="G10" s="149" t="str">
        <f>IF('1. Total PFAS Calculator'!$D$24='1. Total PFAS Calculator'!$K$21,"-",IF(AND(E10=0,F10=0),E10,IF((F10-E10)&lt;0,0,(F10-E10))))</f>
        <v>-</v>
      </c>
      <c r="H10" s="432" t="str">
        <f t="shared" si="0"/>
        <v/>
      </c>
      <c r="I10" s="153">
        <f>'3. PFAS Summary Action Levels'!E10</f>
        <v>38.461538461538474</v>
      </c>
      <c r="J10" s="169">
        <f>'3. PFAS Summary Action Levels'!F10</f>
        <v>38.461538461538474</v>
      </c>
      <c r="K10" s="152" t="str">
        <f>IF('1. Total PFAS Calculator'!$D$24='1. Total PFAS Calculator'!$K$21,"",IF(AND(G10&gt;I10,G10&gt;J10),"Potential Chronic and acute aquatic toxicity risk",IF(G10&gt;I10,"Potential chronic aquatic toxicity risk","")))</f>
        <v/>
      </c>
      <c r="L10" s="21"/>
      <c r="M10" s="22"/>
      <c r="N10" s="121"/>
      <c r="O10" s="22"/>
      <c r="P10" s="22"/>
      <c r="Q10" s="22"/>
    </row>
    <row r="11" spans="2:17" s="20" customFormat="1" ht="15">
      <c r="B11" s="103" t="s">
        <v>7</v>
      </c>
      <c r="C11" s="104" t="s">
        <v>23</v>
      </c>
      <c r="D11" s="105" t="s">
        <v>42</v>
      </c>
      <c r="E11" s="94" t="str">
        <f>IF('1. Total PFAS Calculator'!$D$24='1. Total PFAS Calculator'!$K$21,"-",IF('2. Sample Data Input'!D16="",0,'2. Sample Data Input'!D16))</f>
        <v>-</v>
      </c>
      <c r="F11" s="112" t="str">
        <f>IF('1. Total PFAS Calculator'!$D$24='1. Total PFAS Calculator'!$K$21,"-",IF('2. Sample Data Input'!E16="",0,'2. Sample Data Input'!E16))</f>
        <v>-</v>
      </c>
      <c r="G11" s="149" t="str">
        <f>IF('1. Total PFAS Calculator'!$D$24='1. Total PFAS Calculator'!$K$21,"-",IF(AND(E11=0,F11=0),E11,IF((F11-E11)&lt;0,0,(F11-E11))))</f>
        <v>-</v>
      </c>
      <c r="H11" s="432" t="str">
        <f t="shared" si="0"/>
        <v/>
      </c>
      <c r="I11" s="153">
        <f>'3. PFAS Summary Action Levels'!E11</f>
        <v>1100</v>
      </c>
      <c r="J11" s="169">
        <f>'3. PFAS Summary Action Levels'!F11</f>
        <v>31000</v>
      </c>
      <c r="K11" s="152" t="str">
        <f>IF('1. Total PFAS Calculator'!$D$24='1. Total PFAS Calculator'!$K$21,"",IF(AND(G11&gt;I11,G11&gt;J11),"Potential Chronic and acute aquatic toxicity risk",IF(G11&gt;I11,"Potential chronic aquatic toxicity risk","")))</f>
        <v/>
      </c>
      <c r="L11" s="21"/>
      <c r="M11" s="22"/>
      <c r="N11" s="121"/>
      <c r="O11" s="22"/>
      <c r="P11" s="22"/>
      <c r="Q11" s="22"/>
    </row>
    <row r="12" spans="2:17" s="20" customFormat="1" ht="15" customHeight="1">
      <c r="B12" s="103" t="s">
        <v>8</v>
      </c>
      <c r="C12" s="104" t="s">
        <v>24</v>
      </c>
      <c r="D12" s="105" t="s">
        <v>43</v>
      </c>
      <c r="E12" s="94" t="str">
        <f>IF('1. Total PFAS Calculator'!$D$24='1. Total PFAS Calculator'!$K$21,"-",IF('2. Sample Data Input'!D17="",0,'2. Sample Data Input'!D17))</f>
        <v>-</v>
      </c>
      <c r="F12" s="112" t="str">
        <f>IF('1. Total PFAS Calculator'!$D$24='1. Total PFAS Calculator'!$K$21,"-",IF('2. Sample Data Input'!E17="",0,'2. Sample Data Input'!E17))</f>
        <v>-</v>
      </c>
      <c r="G12" s="149" t="str">
        <f>IF('1. Total PFAS Calculator'!$D$24='1. Total PFAS Calculator'!$K$21,"-",IF(AND(E12=0,F12=0),E12,IF((F12-E12)&lt;0,0,(F12-E12))))</f>
        <v>-</v>
      </c>
      <c r="H12" s="432" t="str">
        <f t="shared" si="0"/>
        <v/>
      </c>
      <c r="I12" s="153">
        <f>'3. PFAS Summary Action Levels'!E12</f>
        <v>38.461538461538474</v>
      </c>
      <c r="J12" s="169">
        <f>'3. PFAS Summary Action Levels'!F12</f>
        <v>38.461538461538474</v>
      </c>
      <c r="K12" s="152" t="str">
        <f>IF('1. Total PFAS Calculator'!$D$24='1. Total PFAS Calculator'!$K$21,"",IF(AND(G12&gt;I12,G12&gt;J12),"Potential Chronic and acute aquatic toxicity risk",IF(G12&gt;I12,"Potential chronic aquatic toxicity risk","")))</f>
        <v/>
      </c>
      <c r="L12" s="21"/>
      <c r="M12" s="22"/>
      <c r="N12" s="121"/>
      <c r="O12" s="22"/>
      <c r="P12" s="22"/>
      <c r="Q12" s="22"/>
    </row>
    <row r="13" spans="2:17" s="20" customFormat="1" ht="15" customHeight="1">
      <c r="B13" s="440" t="s">
        <v>192</v>
      </c>
      <c r="C13" s="441" t="s">
        <v>239</v>
      </c>
      <c r="D13" s="442" t="s">
        <v>237</v>
      </c>
      <c r="E13" s="94" t="str">
        <f>IF('1. Total PFAS Calculator'!$D$24='1. Total PFAS Calculator'!$K$21,"-",IF('2. Sample Data Input'!D19="",0,'2. Sample Data Input'!D19))</f>
        <v>-</v>
      </c>
      <c r="F13" s="112" t="str">
        <f>IF('1. Total PFAS Calculator'!$D$24='1. Total PFAS Calculator'!$K$21,"-",IF('2. Sample Data Input'!E19="",0,'2. Sample Data Input'!E19))</f>
        <v>-</v>
      </c>
      <c r="G13" s="149" t="str">
        <f>IF('1. Total PFAS Calculator'!$D$24='1. Total PFAS Calculator'!$K$21,"-",IF(AND(E13=0,F13=0),E13,IF((F13-E13)&lt;0,0,(F13-E13))))</f>
        <v>-</v>
      </c>
      <c r="H13" s="432" t="str">
        <f t="shared" si="0"/>
        <v/>
      </c>
      <c r="I13" s="153">
        <f>'3. PFAS Summary Action Levels'!E13</f>
        <v>100000</v>
      </c>
      <c r="J13" s="169">
        <f>'3. PFAS Summary Action Levels'!F13</f>
        <v>100000</v>
      </c>
      <c r="K13" s="152" t="str">
        <f>IF('1. Total PFAS Calculator'!$D$24='1. Total PFAS Calculator'!$K$21,"",IF(AND(G13&gt;I13,G13&gt;J13),"Potential Chronic and acute aquatic toxicity risk",IF(G13&gt;I13,"Potential chronic aquatic toxicity risk","")))</f>
        <v/>
      </c>
      <c r="L13" s="21"/>
      <c r="M13" s="22"/>
      <c r="N13" s="121"/>
      <c r="O13" s="22"/>
      <c r="P13" s="22"/>
      <c r="Q13" s="22"/>
    </row>
    <row r="14" spans="2:17" s="20" customFormat="1" ht="15" customHeight="1">
      <c r="B14" s="103" t="s">
        <v>59</v>
      </c>
      <c r="C14" s="104" t="s">
        <v>38</v>
      </c>
      <c r="D14" s="105" t="s">
        <v>46</v>
      </c>
      <c r="E14" s="94" t="str">
        <f>IF('1. Total PFAS Calculator'!$D$24='1. Total PFAS Calculator'!$K$21,"-",IF('2. Sample Data Input'!D19="",0,'2. Sample Data Input'!D19))</f>
        <v>-</v>
      </c>
      <c r="F14" s="112" t="str">
        <f>IF('1. Total PFAS Calculator'!$D$24='1. Total PFAS Calculator'!$K$21,"-",IF('2. Sample Data Input'!E19="",0,'2. Sample Data Input'!E19))</f>
        <v>-</v>
      </c>
      <c r="G14" s="149" t="str">
        <f>IF('1. Total PFAS Calculator'!$D$24='1. Total PFAS Calculator'!$K$21,"-",IF(AND(E14=0,F14=0),E14,IF((F14-E14)&lt;0,0,(F14-E14))))</f>
        <v>-</v>
      </c>
      <c r="H14" s="432" t="str">
        <f t="shared" si="0"/>
        <v/>
      </c>
      <c r="I14" s="153">
        <f>'3. PFAS Summary Action Levels'!E14</f>
        <v>1298.7012987012999</v>
      </c>
      <c r="J14" s="169">
        <f>'3. PFAS Summary Action Levels'!F14</f>
        <v>1298.7012987012999</v>
      </c>
      <c r="K14" s="152" t="str">
        <f>IF('1. Total PFAS Calculator'!$D$24='1. Total PFAS Calculator'!$K$21,"",IF(AND(G14&gt;I14,G14&gt;J14),"Potential Chronic and acute aquatic toxicity risk",IF(G14&gt;I14,"Potential chronic aquatic toxicity risk","")))</f>
        <v/>
      </c>
      <c r="L14" s="21"/>
      <c r="M14" s="22"/>
      <c r="N14" s="121"/>
      <c r="O14" s="22"/>
      <c r="P14" s="22"/>
      <c r="Q14" s="22"/>
    </row>
    <row r="15" spans="2:17" s="20" customFormat="1" ht="15" customHeight="1">
      <c r="B15" s="103" t="s">
        <v>9</v>
      </c>
      <c r="C15" s="104" t="s">
        <v>25</v>
      </c>
      <c r="D15" s="105" t="s">
        <v>44</v>
      </c>
      <c r="E15" s="94" t="str">
        <f>IF('1. Total PFAS Calculator'!$D$24='1. Total PFAS Calculator'!$K$21,"-",IF('2. Sample Data Input'!D20="",0,'2. Sample Data Input'!D20))</f>
        <v>-</v>
      </c>
      <c r="F15" s="112" t="str">
        <f>IF('1. Total PFAS Calculator'!$D$24='1. Total PFAS Calculator'!$K$21,"-",IF('2. Sample Data Input'!E20="",0,'2. Sample Data Input'!E20))</f>
        <v>-</v>
      </c>
      <c r="G15" s="149" t="str">
        <f>IF('1. Total PFAS Calculator'!$D$24='1. Total PFAS Calculator'!$K$21,"-",IF(AND(E15=0,F15=0),E15,IF((F15-E15)&lt;0,0,(F15-E15))))</f>
        <v>-</v>
      </c>
      <c r="H15" s="432" t="str">
        <f t="shared" si="0"/>
        <v/>
      </c>
      <c r="I15" s="153">
        <f>'3. PFAS Summary Action Levels'!E15</f>
        <v>830000</v>
      </c>
      <c r="J15" s="169">
        <f>'3. PFAS Summary Action Levels'!F15</f>
        <v>830000</v>
      </c>
      <c r="K15" s="152" t="str">
        <f>IF('1. Total PFAS Calculator'!$D$24='1. Total PFAS Calculator'!$K$21,"",IF(AND(G15&gt;I15,G15&gt;J15),"Potential Chronic and acute aquatic toxicity risk",IF(G15&gt;I15,"Potential chronic aquatic toxicity risk","")))</f>
        <v/>
      </c>
      <c r="L15" s="21"/>
      <c r="M15" s="22"/>
      <c r="N15" s="121"/>
      <c r="O15" s="22"/>
      <c r="P15" s="22"/>
      <c r="Q15" s="22"/>
    </row>
    <row r="16" spans="2:17" s="20" customFormat="1" ht="15" customHeight="1">
      <c r="B16" s="103" t="s">
        <v>10</v>
      </c>
      <c r="C16" s="104" t="s">
        <v>26</v>
      </c>
      <c r="D16" s="105" t="s">
        <v>45</v>
      </c>
      <c r="E16" s="94" t="str">
        <f>IF('1. Total PFAS Calculator'!$D$24='1. Total PFAS Calculator'!$K$21,"-",IF('2. Sample Data Input'!D21="",0,'2. Sample Data Input'!D21))</f>
        <v>-</v>
      </c>
      <c r="F16" s="112" t="str">
        <f>IF('1. Total PFAS Calculator'!$D$24='1. Total PFAS Calculator'!$K$21,"-",IF('2. Sample Data Input'!E21="",0,'2. Sample Data Input'!E21))</f>
        <v>-</v>
      </c>
      <c r="G16" s="149" t="str">
        <f>IF('1. Total PFAS Calculator'!$D$24='1. Total PFAS Calculator'!$K$21,"-",IF(AND(E16=0,F16=0),E16,IF((F16-E16)&lt;0,0,(F16-E16))))</f>
        <v>-</v>
      </c>
      <c r="H16" s="432" t="str">
        <f t="shared" si="0"/>
        <v/>
      </c>
      <c r="I16" s="153">
        <f>'3. PFAS Summary Action Levels'!E16</f>
        <v>1538.4615384615383</v>
      </c>
      <c r="J16" s="169">
        <f>'3. PFAS Summary Action Levels'!F16</f>
        <v>1538.4615384615383</v>
      </c>
      <c r="K16" s="152" t="str">
        <f>IF('1. Total PFAS Calculator'!$D$24='1. Total PFAS Calculator'!$K$21,"",IF(AND(G16&gt;I16,G16&gt;J16),"Potential Chronic and acute aquatic toxicity risk",IF(G16&gt;I16,"Potential chronic aquatic toxicity risk","")))</f>
        <v/>
      </c>
      <c r="L16" s="21"/>
      <c r="M16" s="22"/>
      <c r="N16" s="22"/>
      <c r="O16" s="22"/>
      <c r="P16" s="22"/>
      <c r="Q16" s="22"/>
    </row>
    <row r="17" spans="2:18" s="20" customFormat="1" ht="15" customHeight="1">
      <c r="B17" s="103" t="s">
        <v>11</v>
      </c>
      <c r="C17" s="104" t="s">
        <v>27</v>
      </c>
      <c r="D17" s="105" t="s">
        <v>47</v>
      </c>
      <c r="E17" s="94" t="str">
        <f>IF('1. Total PFAS Calculator'!$D$24='1. Total PFAS Calculator'!$K$21,"-",IF('2. Sample Data Input'!D22="",0,'2. Sample Data Input'!D22))</f>
        <v>-</v>
      </c>
      <c r="F17" s="112" t="str">
        <f>IF('1. Total PFAS Calculator'!$D$24='1. Total PFAS Calculator'!$K$21,"-",IF('2. Sample Data Input'!E22="",0,'2. Sample Data Input'!E22))</f>
        <v>-</v>
      </c>
      <c r="G17" s="149" t="str">
        <f>IF('1. Total PFAS Calculator'!$D$24='1. Total PFAS Calculator'!$K$21,"-",IF(AND(E17=0,F17=0),E17,IF((F17-E17)&lt;0,0,(F17-E17))))</f>
        <v>-</v>
      </c>
      <c r="H17" s="432" t="str">
        <f t="shared" si="0"/>
        <v/>
      </c>
      <c r="I17" s="153">
        <f>'3. PFAS Summary Action Levels'!E17</f>
        <v>6300000</v>
      </c>
      <c r="J17" s="169">
        <f>'3. PFAS Summary Action Levels'!F17</f>
        <v>48000000</v>
      </c>
      <c r="K17" s="152" t="str">
        <f>IF('1. Total PFAS Calculator'!$D$24='1. Total PFAS Calculator'!$K$21,"",IF(AND(G17&gt;I17,G17&gt;J17),"Potential Chronic and acute aquatic toxicity risk",IF(G17&gt;I17,"Potential chronic aquatic toxicity risk","")))</f>
        <v/>
      </c>
      <c r="L17" s="21"/>
      <c r="M17" s="22"/>
      <c r="N17" s="22"/>
      <c r="O17" s="22"/>
      <c r="P17" s="22"/>
      <c r="Q17" s="22"/>
    </row>
    <row r="18" spans="2:18" s="20" customFormat="1" ht="15" customHeight="1">
      <c r="B18" s="103" t="s">
        <v>12</v>
      </c>
      <c r="C18" s="104" t="s">
        <v>28</v>
      </c>
      <c r="D18" s="105" t="s">
        <v>48</v>
      </c>
      <c r="E18" s="94" t="str">
        <f>IF('1. Total PFAS Calculator'!$D$24='1. Total PFAS Calculator'!$K$21,"-",IF('2. Sample Data Input'!D23="",0,'2. Sample Data Input'!D23))</f>
        <v>-</v>
      </c>
      <c r="F18" s="112" t="str">
        <f>IF('1. Total PFAS Calculator'!$D$24='1. Total PFAS Calculator'!$K$21,"-",IF('2. Sample Data Input'!E23="",0,'2. Sample Data Input'!E23))</f>
        <v>-</v>
      </c>
      <c r="G18" s="149" t="str">
        <f>IF('1. Total PFAS Calculator'!$D$24='1. Total PFAS Calculator'!$K$21,"-",IF(AND(E18=0,F18=0),E18,IF((F18-E18)&lt;0,0,(F18-E18))))</f>
        <v>-</v>
      </c>
      <c r="H18" s="432" t="str">
        <f t="shared" si="0"/>
        <v/>
      </c>
      <c r="I18" s="153">
        <f>'3. PFAS Summary Action Levels'!E18</f>
        <v>76.923076923076948</v>
      </c>
      <c r="J18" s="169">
        <f>'3. PFAS Summary Action Levels'!F18</f>
        <v>76.923076923076948</v>
      </c>
      <c r="K18" s="152" t="str">
        <f>IF('1. Total PFAS Calculator'!$D$24='1. Total PFAS Calculator'!$K$21,"",IF(AND(G18&gt;I18,G18&gt;J18),"Potential Chronic and acute aquatic toxicity risk",IF(G18&gt;I18,"Potential chronic aquatic toxicity risk","")))</f>
        <v/>
      </c>
      <c r="L18" s="21"/>
      <c r="M18" s="22"/>
      <c r="N18" s="22"/>
      <c r="O18" s="22"/>
      <c r="P18" s="22"/>
      <c r="Q18" s="22"/>
    </row>
    <row r="19" spans="2:18" s="20" customFormat="1" ht="15" customHeight="1">
      <c r="B19" s="103" t="s">
        <v>13</v>
      </c>
      <c r="C19" s="104" t="s">
        <v>29</v>
      </c>
      <c r="D19" s="105" t="s">
        <v>49</v>
      </c>
      <c r="E19" s="94" t="str">
        <f>IF('1. Total PFAS Calculator'!$D$24='1. Total PFAS Calculator'!$K$21,"-",IF('2. Sample Data Input'!D24="",0,'2. Sample Data Input'!D24))</f>
        <v>-</v>
      </c>
      <c r="F19" s="112" t="str">
        <f>IF('1. Total PFAS Calculator'!$D$24='1. Total PFAS Calculator'!$K$21,"-",IF('2. Sample Data Input'!E24="",0,'2. Sample Data Input'!E24))</f>
        <v>-</v>
      </c>
      <c r="G19" s="149" t="str">
        <f>IF('1. Total PFAS Calculator'!$D$24='1. Total PFAS Calculator'!$K$21,"-",IF(AND(E19=0,F19=0),E19,IF((F19-E19)&lt;0,0,(F19-E19))))</f>
        <v>-</v>
      </c>
      <c r="H19" s="432" t="str">
        <f t="shared" si="0"/>
        <v/>
      </c>
      <c r="I19" s="153">
        <f>'3. PFAS Summary Action Levels'!E19</f>
        <v>8300</v>
      </c>
      <c r="J19" s="169">
        <f>'3. PFAS Summary Action Levels'!F19</f>
        <v>119000</v>
      </c>
      <c r="K19" s="152" t="str">
        <f>IF('1. Total PFAS Calculator'!$D$24='1. Total PFAS Calculator'!$K$21,"",IF(AND(G19&gt;I19,G19&gt;J19),"Potential Chronic and acute aquatic toxicity risk",IF(G19&gt;I19,"Potential chronic aquatic toxicity risk","")))</f>
        <v/>
      </c>
      <c r="L19" s="21"/>
      <c r="M19" s="22"/>
      <c r="N19" s="22"/>
      <c r="O19" s="22"/>
      <c r="P19" s="22"/>
      <c r="Q19" s="22"/>
    </row>
    <row r="20" spans="2:18" s="20" customFormat="1" ht="15" customHeight="1">
      <c r="B20" s="103" t="s">
        <v>14</v>
      </c>
      <c r="C20" s="104" t="s">
        <v>30</v>
      </c>
      <c r="D20" s="105" t="s">
        <v>50</v>
      </c>
      <c r="E20" s="94" t="str">
        <f>IF('1. Total PFAS Calculator'!$D$24='1. Total PFAS Calculator'!$K$21,"-",IF('2. Sample Data Input'!D25="",0,'2. Sample Data Input'!D25))</f>
        <v>-</v>
      </c>
      <c r="F20" s="112" t="str">
        <f>IF('1. Total PFAS Calculator'!$D$24='1. Total PFAS Calculator'!$K$21,"-",IF('2. Sample Data Input'!E25="",0,'2. Sample Data Input'!E25))</f>
        <v>-</v>
      </c>
      <c r="G20" s="149" t="str">
        <f>IF('1. Total PFAS Calculator'!$D$24='1. Total PFAS Calculator'!$K$21,"-",IF(AND(E20=0,F20=0),E20,IF((F20-E20)&lt;0,0,(F20-E20))))</f>
        <v>-</v>
      </c>
      <c r="H20" s="432" t="str">
        <f t="shared" si="0"/>
        <v/>
      </c>
      <c r="I20" s="153">
        <f>'3. PFAS Summary Action Levels'!E20</f>
        <v>8000</v>
      </c>
      <c r="J20" s="169">
        <f>'3. PFAS Summary Action Levels'!F20</f>
        <v>8000</v>
      </c>
      <c r="K20" s="152" t="str">
        <f>IF('1. Total PFAS Calculator'!$D$24='1. Total PFAS Calculator'!$K$21,"",IF(AND(G20&gt;I20,G20&gt;J20),"Potential Chronic and acute aquatic toxicity risk",IF(G20&gt;I20,"Potential chronic aquatic toxicity risk","")))</f>
        <v/>
      </c>
      <c r="L20" s="21"/>
      <c r="M20" s="22"/>
      <c r="N20" s="22"/>
      <c r="O20" s="22"/>
      <c r="P20" s="22"/>
      <c r="Q20" s="22"/>
    </row>
    <row r="21" spans="2:18" s="20" customFormat="1" ht="15" customHeight="1">
      <c r="B21" s="103" t="s">
        <v>15</v>
      </c>
      <c r="C21" s="104" t="s">
        <v>31</v>
      </c>
      <c r="D21" s="105" t="s">
        <v>51</v>
      </c>
      <c r="E21" s="94" t="str">
        <f>IF('1. Total PFAS Calculator'!$D$24='1. Total PFAS Calculator'!$K$21,"-",IF('2. Sample Data Input'!D26="",0,'2. Sample Data Input'!D26))</f>
        <v>-</v>
      </c>
      <c r="F21" s="112" t="str">
        <f>IF('1. Total PFAS Calculator'!$D$24='1. Total PFAS Calculator'!$K$21,"-",IF('2. Sample Data Input'!E26="",0,'2. Sample Data Input'!E26))</f>
        <v>-</v>
      </c>
      <c r="G21" s="149" t="str">
        <f>IF('1. Total PFAS Calculator'!$D$24='1. Total PFAS Calculator'!$K$21,"-",IF(AND(E21=0,F21=0),E21,IF((F21-E21)&lt;0,0,(F21-E21))))</f>
        <v>-</v>
      </c>
      <c r="H21" s="432" t="str">
        <f t="shared" si="0"/>
        <v/>
      </c>
      <c r="I21" s="153">
        <f>'3. PFAS Summary Action Levels'!E21</f>
        <v>10000</v>
      </c>
      <c r="J21" s="169">
        <f>'3. PFAS Summary Action Levels'!F21</f>
        <v>10000</v>
      </c>
      <c r="K21" s="152" t="str">
        <f>IF('1. Total PFAS Calculator'!$D$24='1. Total PFAS Calculator'!$K$21,"",IF(AND(G21&gt;I21,G21&gt;J21),"Potential Chronic and acute aquatic toxicity risk",IF(G21&gt;I21,"Potential chronic aquatic toxicity risk","")))</f>
        <v/>
      </c>
      <c r="L21" s="21"/>
      <c r="M21" s="22"/>
      <c r="N21" s="22"/>
      <c r="O21" s="22"/>
      <c r="P21" s="22"/>
      <c r="Q21" s="22"/>
    </row>
    <row r="22" spans="2:18" s="20" customFormat="1" ht="15" customHeight="1">
      <c r="B22" s="103" t="s">
        <v>16</v>
      </c>
      <c r="C22" s="104" t="s">
        <v>32</v>
      </c>
      <c r="D22" s="105" t="s">
        <v>52</v>
      </c>
      <c r="E22" s="94" t="str">
        <f>IF('1. Total PFAS Calculator'!$D$24='1. Total PFAS Calculator'!$K$21,"-",IF('2. Sample Data Input'!D27="",0,'2. Sample Data Input'!D27))</f>
        <v>-</v>
      </c>
      <c r="F22" s="112" t="str">
        <f>IF('1. Total PFAS Calculator'!$D$24='1. Total PFAS Calculator'!$K$21,"-",IF('2. Sample Data Input'!E27="",0,'2. Sample Data Input'!E27))</f>
        <v>-</v>
      </c>
      <c r="G22" s="149" t="str">
        <f>IF('1. Total PFAS Calculator'!$D$24='1. Total PFAS Calculator'!$K$21,"-",IF(AND(E22=0,F22=0),E22,IF((F22-E22)&lt;0,0,(F22-E22))))</f>
        <v>-</v>
      </c>
      <c r="H22" s="432" t="str">
        <f t="shared" si="0"/>
        <v/>
      </c>
      <c r="I22" s="153">
        <f>'3. PFAS Summary Action Levels'!E22</f>
        <v>10000</v>
      </c>
      <c r="J22" s="169">
        <f>'3. PFAS Summary Action Levels'!F22</f>
        <v>10000</v>
      </c>
      <c r="K22" s="152" t="str">
        <f>IF('1. Total PFAS Calculator'!$D$24='1. Total PFAS Calculator'!$K$21,"",IF(AND(G22&gt;I22,G22&gt;J22),"Potential Chronic and acute aquatic toxicity risk",IF(G22&gt;I22,"Potential chronic aquatic toxicity risk","")))</f>
        <v/>
      </c>
      <c r="L22" s="21"/>
      <c r="M22" s="22"/>
      <c r="N22" s="22"/>
      <c r="O22" s="22"/>
      <c r="P22" s="22"/>
      <c r="Q22" s="22"/>
    </row>
    <row r="23" spans="2:18" s="20" customFormat="1" ht="15" customHeight="1">
      <c r="B23" s="103" t="s">
        <v>17</v>
      </c>
      <c r="C23" s="104" t="s">
        <v>33</v>
      </c>
      <c r="D23" s="105" t="s">
        <v>53</v>
      </c>
      <c r="E23" s="94" t="str">
        <f>IF('1. Total PFAS Calculator'!$D$24='1. Total PFAS Calculator'!$K$21,"-",IF('2. Sample Data Input'!D28="",0,'2. Sample Data Input'!D28))</f>
        <v>-</v>
      </c>
      <c r="F23" s="112" t="str">
        <f>IF('1. Total PFAS Calculator'!$D$24='1. Total PFAS Calculator'!$K$21,"-",IF('2. Sample Data Input'!E28="",0,'2. Sample Data Input'!E28))</f>
        <v>-</v>
      </c>
      <c r="G23" s="149" t="str">
        <f>IF('1. Total PFAS Calculator'!$D$24='1. Total PFAS Calculator'!$K$21,"-",IF(AND(E23=0,F23=0),E23,IF((F23-E23)&lt;0,0,(F23-E23))))</f>
        <v>-</v>
      </c>
      <c r="H23" s="432" t="str">
        <f t="shared" si="0"/>
        <v/>
      </c>
      <c r="I23" s="153">
        <f>'3. PFAS Summary Action Levels'!E23</f>
        <v>20000</v>
      </c>
      <c r="J23" s="169">
        <f>'3. PFAS Summary Action Levels'!F23</f>
        <v>20000</v>
      </c>
      <c r="K23" s="152" t="str">
        <f>IF('1. Total PFAS Calculator'!$D$24='1. Total PFAS Calculator'!$K$21,"",IF(AND(G23&gt;I23,G23&gt;J23),"Potential Chronic and acute aquatic toxicity risk",IF(G23&gt;I23,"Potential chronic aquatic toxicity risk","")))</f>
        <v/>
      </c>
      <c r="L23" s="21"/>
      <c r="M23" s="22"/>
      <c r="N23" s="22"/>
      <c r="O23" s="22"/>
      <c r="P23" s="22"/>
      <c r="Q23" s="22"/>
    </row>
    <row r="24" spans="2:18" s="20" customFormat="1" ht="15" customHeight="1">
      <c r="B24" s="103" t="s">
        <v>18</v>
      </c>
      <c r="C24" s="104" t="s">
        <v>34</v>
      </c>
      <c r="D24" s="105" t="s">
        <v>54</v>
      </c>
      <c r="E24" s="94" t="str">
        <f>IF('1. Total PFAS Calculator'!$D$24='1. Total PFAS Calculator'!$K$21,"-",IF('2. Sample Data Input'!D29="",0,'2. Sample Data Input'!D29))</f>
        <v>-</v>
      </c>
      <c r="F24" s="112" t="str">
        <f>IF('1. Total PFAS Calculator'!$D$24='1. Total PFAS Calculator'!$K$21,"-",IF('2. Sample Data Input'!E29="",0,'2. Sample Data Input'!E29))</f>
        <v>-</v>
      </c>
      <c r="G24" s="149" t="str">
        <f>IF('1. Total PFAS Calculator'!$D$24='1. Total PFAS Calculator'!$K$21,"-",IF(AND(E24=0,F24=0),E24,IF((F24-E24)&lt;0,0,(F24-E24))))</f>
        <v>-</v>
      </c>
      <c r="H24" s="432" t="str">
        <f t="shared" si="0"/>
        <v/>
      </c>
      <c r="I24" s="153">
        <f>'3. PFAS Summary Action Levels'!E24</f>
        <v>25.769230769230766</v>
      </c>
      <c r="J24" s="169">
        <f>'3. PFAS Summary Action Levels'!F24</f>
        <v>25.769230769230766</v>
      </c>
      <c r="K24" s="152" t="str">
        <f>IF('1. Total PFAS Calculator'!$D$24='1. Total PFAS Calculator'!$K$21,"",IF(AND(G24&gt;I24,G24&gt;J24),"Potential Chronic and acute aquatic toxicity risk",IF(G24&gt;I24,"Potential chronic aquatic toxicity risk","")))</f>
        <v/>
      </c>
      <c r="L24" s="21"/>
      <c r="M24" s="22"/>
      <c r="N24" s="22"/>
      <c r="O24" s="22"/>
      <c r="P24" s="22"/>
      <c r="Q24" s="22"/>
    </row>
    <row r="25" spans="2:18" s="20" customFormat="1" ht="15" customHeight="1">
      <c r="B25" s="484" t="s">
        <v>19</v>
      </c>
      <c r="C25" s="485" t="s">
        <v>35</v>
      </c>
      <c r="D25" s="495" t="s">
        <v>55</v>
      </c>
      <c r="E25" s="498" t="str">
        <f>IF('1. Total PFAS Calculator'!$D$24='1. Total PFAS Calculator'!$K$21,"-",IF('2. Sample Data Input'!D30="",0,'2. Sample Data Input'!D30))</f>
        <v>-</v>
      </c>
      <c r="F25" s="499" t="str">
        <f>IF('1. Total PFAS Calculator'!$D$24='1. Total PFAS Calculator'!$K$21,"-",IF('2. Sample Data Input'!E30="",0,'2. Sample Data Input'!E30))</f>
        <v>-</v>
      </c>
      <c r="G25" s="514" t="str">
        <f>IF('1. Total PFAS Calculator'!$D$24='1. Total PFAS Calculator'!$K$21,"-",IF(AND(E25=0,F25=0),E25,IF((F25-E25)&lt;0,0,(F25-E25))))</f>
        <v>-</v>
      </c>
      <c r="H25" s="515" t="str">
        <f>IF(AND(E25="-",G25="-"),"",E25+G25)</f>
        <v/>
      </c>
      <c r="I25" s="516">
        <f>'3. PFAS Summary Action Levels'!E25</f>
        <v>257.69230769230774</v>
      </c>
      <c r="J25" s="517">
        <f>'3. PFAS Summary Action Levels'!F25</f>
        <v>257.69230769230774</v>
      </c>
      <c r="K25" s="518" t="str">
        <f>IF('1. Total PFAS Calculator'!$D$24='1. Total PFAS Calculator'!$K$21,"",IF(AND(G25&gt;I25,G25&gt;J25),"Potential Chronic and acute aquatic toxicity risk",IF(G25&gt;I25,"Potential chronic aquatic toxicity risk","")))</f>
        <v/>
      </c>
      <c r="L25" s="21"/>
      <c r="M25" s="22"/>
      <c r="N25" s="22"/>
      <c r="O25" s="22"/>
      <c r="P25" s="22"/>
      <c r="Q25" s="22"/>
    </row>
    <row r="26" spans="2:18" s="7" customFormat="1" ht="26.65" thickBot="1">
      <c r="B26" s="482" t="s">
        <v>208</v>
      </c>
      <c r="C26" s="483" t="s">
        <v>209</v>
      </c>
      <c r="D26" s="526" t="s">
        <v>296</v>
      </c>
      <c r="E26" s="519" t="str">
        <f>IF('1. Total PFAS Calculator'!$D$24='1. Total PFAS Calculator'!$K$21,"-",IF('2. Sample Data Input'!D31="",0,'2. Sample Data Input'!D31))</f>
        <v>-</v>
      </c>
      <c r="F26" s="520" t="str">
        <f>IF('1. Total PFAS Calculator'!$D$24='1. Total PFAS Calculator'!$K$21,"-",IF('2. Sample Data Input'!E31="",0,'2. Sample Data Input'!E31))</f>
        <v>-</v>
      </c>
      <c r="G26" s="521" t="str">
        <f>IF('1. Total PFAS Calculator'!$D$24='1. Total PFAS Calculator'!$K$21,"-",IF(AND(E26=0,F26=0),E26,IF((F26-E26)&lt;0,0,(F26-E26))))</f>
        <v>-</v>
      </c>
      <c r="H26" s="522" t="str">
        <f>IF(AND(E26="-",G26="-"),"",E26+G26)</f>
        <v/>
      </c>
      <c r="I26" s="523">
        <f>'3. PFAS Summary Action Levels'!E26</f>
        <v>11.538461538461499</v>
      </c>
      <c r="J26" s="524">
        <f>'3. PFAS Summary Action Levels'!F26</f>
        <v>11.538461538461499</v>
      </c>
      <c r="K26" s="525" t="str">
        <f>IF('1. Total PFAS Calculator'!$D$24='1. Total PFAS Calculator'!$K$21,"",IF(AND(G26&gt;I26,G26&gt;J26),"Potential Chronic and acute aquatic toxicity risk",IF(G26&gt;I26,"Potential chronic aquatic toxicity risk","")))</f>
        <v/>
      </c>
      <c r="R26" s="126"/>
    </row>
    <row r="27" spans="2:18" s="20" customFormat="1" ht="14.65" thickTop="1">
      <c r="B27" s="36"/>
      <c r="C27" s="19"/>
      <c r="D27" s="53"/>
      <c r="E27" s="56"/>
      <c r="F27" s="57"/>
      <c r="G27" s="49"/>
      <c r="H27" s="49"/>
      <c r="I27" s="49"/>
      <c r="J27" s="49"/>
      <c r="K27" s="49"/>
      <c r="L27" s="21"/>
      <c r="M27" s="22"/>
      <c r="N27" s="22"/>
      <c r="O27" s="22"/>
      <c r="P27" s="22"/>
      <c r="Q27" s="22"/>
      <c r="R27" s="22"/>
    </row>
    <row r="28" spans="2:18" s="20" customFormat="1" ht="18" customHeight="1">
      <c r="B28" s="602" t="s">
        <v>320</v>
      </c>
      <c r="C28" s="563"/>
      <c r="D28" s="563"/>
      <c r="E28" s="563"/>
      <c r="F28" s="563"/>
      <c r="G28" s="563"/>
      <c r="H28" s="563"/>
      <c r="I28" s="563"/>
      <c r="J28" s="563"/>
      <c r="K28" s="563"/>
      <c r="L28"/>
      <c r="M28"/>
      <c r="N28"/>
      <c r="O28"/>
      <c r="P28" s="22"/>
      <c r="Q28" s="22"/>
      <c r="R28" s="22"/>
    </row>
    <row r="29" spans="2:18" s="20" customFormat="1" ht="14.25">
      <c r="B29" s="36"/>
      <c r="C29" s="19"/>
      <c r="D29" s="53"/>
      <c r="E29" s="56"/>
      <c r="F29" s="57"/>
      <c r="G29" s="49"/>
      <c r="H29" s="49"/>
      <c r="I29" s="49"/>
      <c r="J29" s="49"/>
      <c r="K29" s="49"/>
      <c r="L29" s="21"/>
      <c r="M29" s="22"/>
      <c r="N29" s="22"/>
      <c r="O29" s="22"/>
      <c r="P29" s="22"/>
      <c r="Q29" s="22"/>
      <c r="R29" s="22"/>
    </row>
    <row r="30" spans="2:18" s="20" customFormat="1" ht="14.25">
      <c r="B30" s="286" t="s">
        <v>0</v>
      </c>
      <c r="C30" s="53"/>
      <c r="D30" s="53"/>
      <c r="E30" s="287"/>
      <c r="F30" s="292"/>
      <c r="G30" s="292"/>
      <c r="H30" s="292"/>
      <c r="I30" s="292"/>
      <c r="J30" s="292"/>
      <c r="K30" s="292"/>
      <c r="L30" s="21"/>
      <c r="M30" s="22"/>
      <c r="N30" s="22"/>
      <c r="O30" s="22"/>
      <c r="P30" s="22"/>
      <c r="Q30" s="22"/>
      <c r="R30" s="22"/>
    </row>
    <row r="31" spans="2:18" s="40" customFormat="1" ht="17.100000000000001" customHeight="1">
      <c r="B31" s="607" t="s">
        <v>272</v>
      </c>
      <c r="C31" s="607"/>
      <c r="D31" s="607"/>
      <c r="E31" s="607"/>
      <c r="F31" s="607"/>
      <c r="G31" s="607"/>
      <c r="H31" s="607"/>
      <c r="I31" s="607"/>
      <c r="J31" s="607"/>
      <c r="K31" s="607"/>
      <c r="L31" s="41"/>
      <c r="R31" s="55"/>
    </row>
    <row r="32" spans="2:18" s="40" customFormat="1" ht="17.100000000000001" customHeight="1">
      <c r="B32" s="286" t="s">
        <v>273</v>
      </c>
      <c r="C32" s="237"/>
      <c r="D32" s="237"/>
      <c r="E32" s="237"/>
      <c r="F32" s="237"/>
      <c r="G32" s="237"/>
      <c r="H32" s="237"/>
      <c r="I32" s="237"/>
      <c r="J32" s="237"/>
      <c r="K32" s="237"/>
      <c r="L32"/>
      <c r="M32"/>
      <c r="N32"/>
      <c r="R32" s="55"/>
    </row>
    <row r="33" spans="2:11" ht="17.100000000000001" customHeight="1">
      <c r="B33" s="237" t="s">
        <v>274</v>
      </c>
    </row>
    <row r="34" spans="2:11" ht="17.100000000000001" customHeight="1">
      <c r="B34" s="237" t="s">
        <v>275</v>
      </c>
      <c r="C34" s="237"/>
      <c r="D34" s="237"/>
      <c r="E34" s="237"/>
      <c r="F34" s="237"/>
      <c r="G34" s="237"/>
      <c r="H34" s="237"/>
      <c r="I34" s="237"/>
      <c r="J34" s="237"/>
      <c r="K34" s="237"/>
    </row>
    <row r="35" spans="2:11" ht="17.100000000000001" customHeight="1">
      <c r="B35" s="607" t="s">
        <v>277</v>
      </c>
      <c r="C35" s="607"/>
      <c r="D35" s="607"/>
      <c r="E35" s="607"/>
      <c r="F35" s="607"/>
      <c r="G35" s="607"/>
      <c r="H35" s="607"/>
      <c r="I35" s="607"/>
      <c r="J35" s="607"/>
      <c r="K35" s="607"/>
    </row>
    <row r="36" spans="2:11" ht="13.15">
      <c r="B36" s="237"/>
      <c r="C36" s="237"/>
      <c r="D36" s="237"/>
      <c r="E36" s="237"/>
      <c r="F36" s="237"/>
      <c r="G36" s="237"/>
      <c r="H36" s="237"/>
      <c r="I36" s="237"/>
      <c r="J36" s="237"/>
      <c r="K36" s="237"/>
    </row>
  </sheetData>
  <sheetProtection algorithmName="SHA-512" hashValue="XbthkKbAufmpdrAdATsDqwbtnf+ZiEw5V5PciyVkQJp7fPvS5tHWbQRtoxHDRAbyMsK1ohLDibaO7PEU/s/rbA==" saltValue="b1gdeDFfi4tp4uqgRPCIIQ==" spinCount="100000" sheet="1" objects="1" scenarios="1"/>
  <mergeCells count="3">
    <mergeCell ref="B31:K31"/>
    <mergeCell ref="B28:K28"/>
    <mergeCell ref="B35:K35"/>
  </mergeCells>
  <pageMargins left="0.7" right="0.7" top="0.75" bottom="0.75" header="0.3" footer="0.3"/>
  <pageSetup scale="69" orientation="landscape" r:id="rId1"/>
  <headerFooter>
    <oddFooter>&amp;R&amp;F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92056-53AA-4CF8-8949-DDC925D3D852}">
  <sheetPr>
    <tabColor rgb="FFCCFFCC"/>
    <pageSetUpPr fitToPage="1"/>
  </sheetPr>
  <dimension ref="A1:V292"/>
  <sheetViews>
    <sheetView workbookViewId="0">
      <selection activeCell="C6" sqref="C6"/>
    </sheetView>
  </sheetViews>
  <sheetFormatPr defaultColWidth="10" defaultRowHeight="10.15"/>
  <cols>
    <col min="1" max="1" width="10" style="384"/>
    <col min="2" max="2" width="10" style="389"/>
    <col min="3" max="3" width="32.86328125" style="389" customWidth="1"/>
    <col min="4" max="5" width="5.59765625" style="389" customWidth="1"/>
    <col min="6" max="6" width="10" style="405"/>
    <col min="7" max="17" width="10" style="323"/>
    <col min="18" max="18" width="10" style="388"/>
    <col min="19" max="16384" width="10" style="384"/>
  </cols>
  <sheetData>
    <row r="1" spans="1:22" ht="15">
      <c r="B1" s="385" t="s">
        <v>151</v>
      </c>
      <c r="C1" s="386"/>
      <c r="D1" s="385"/>
      <c r="E1" s="385"/>
      <c r="F1" s="387"/>
      <c r="G1" s="321"/>
      <c r="H1" s="321"/>
      <c r="I1" s="321"/>
      <c r="J1" s="321"/>
      <c r="K1" s="321"/>
      <c r="L1" s="321"/>
      <c r="M1" s="321"/>
      <c r="N1" s="321"/>
      <c r="O1" s="321"/>
      <c r="P1" s="322"/>
      <c r="Q1" s="322"/>
    </row>
    <row r="2" spans="1:22" ht="29.25" customHeight="1" thickBot="1">
      <c r="B2" s="608" t="s">
        <v>322</v>
      </c>
      <c r="C2" s="609"/>
      <c r="D2" s="609"/>
      <c r="E2" s="609"/>
      <c r="F2" s="609"/>
      <c r="G2" s="609"/>
      <c r="H2" s="609"/>
      <c r="I2" s="609"/>
      <c r="J2" s="609"/>
      <c r="K2" s="609"/>
      <c r="L2" s="609"/>
      <c r="M2" s="609"/>
      <c r="N2" s="609"/>
      <c r="O2" s="609"/>
      <c r="P2" s="609"/>
      <c r="Q2" s="609"/>
    </row>
    <row r="3" spans="1:22" ht="41.25" thickTop="1">
      <c r="B3" s="612" t="s">
        <v>152</v>
      </c>
      <c r="C3" s="615" t="s">
        <v>153</v>
      </c>
      <c r="D3" s="618" t="s">
        <v>154</v>
      </c>
      <c r="E3" s="619"/>
      <c r="F3" s="624" t="s">
        <v>20</v>
      </c>
      <c r="G3" s="324" t="s">
        <v>155</v>
      </c>
      <c r="H3" s="324" t="s">
        <v>156</v>
      </c>
      <c r="I3" s="324" t="s">
        <v>157</v>
      </c>
      <c r="J3" s="324" t="s">
        <v>158</v>
      </c>
      <c r="K3" s="324" t="s">
        <v>159</v>
      </c>
      <c r="L3" s="324" t="s">
        <v>160</v>
      </c>
      <c r="M3" s="324" t="s">
        <v>160</v>
      </c>
      <c r="N3" s="324" t="s">
        <v>161</v>
      </c>
      <c r="O3" s="324" t="s">
        <v>162</v>
      </c>
      <c r="P3" s="324" t="s">
        <v>163</v>
      </c>
      <c r="Q3" s="325" t="s">
        <v>164</v>
      </c>
      <c r="R3" s="390"/>
      <c r="S3" s="390"/>
      <c r="T3" s="390"/>
    </row>
    <row r="4" spans="1:22" ht="13.15">
      <c r="B4" s="613"/>
      <c r="C4" s="616"/>
      <c r="D4" s="620"/>
      <c r="E4" s="621"/>
      <c r="F4" s="625"/>
      <c r="G4" s="326" t="s">
        <v>165</v>
      </c>
      <c r="H4" s="326" t="s">
        <v>166</v>
      </c>
      <c r="I4" s="326" t="s">
        <v>167</v>
      </c>
      <c r="J4" s="326" t="s">
        <v>168</v>
      </c>
      <c r="K4" s="326" t="s">
        <v>169</v>
      </c>
      <c r="L4" s="326" t="s">
        <v>170</v>
      </c>
      <c r="M4" s="326" t="s">
        <v>171</v>
      </c>
      <c r="N4" s="326" t="s">
        <v>172</v>
      </c>
      <c r="O4" s="326" t="s">
        <v>173</v>
      </c>
      <c r="P4" s="326" t="s">
        <v>174</v>
      </c>
      <c r="Q4" s="327" t="s">
        <v>175</v>
      </c>
      <c r="R4" s="390"/>
      <c r="S4" s="390"/>
      <c r="T4" s="390"/>
    </row>
    <row r="5" spans="1:22" s="391" customFormat="1" ht="15" customHeight="1" thickBot="1">
      <c r="B5" s="614"/>
      <c r="C5" s="617"/>
      <c r="D5" s="622"/>
      <c r="E5" s="623"/>
      <c r="F5" s="328" t="s">
        <v>176</v>
      </c>
      <c r="G5" s="329" t="s">
        <v>177</v>
      </c>
      <c r="H5" s="329" t="s">
        <v>178</v>
      </c>
      <c r="I5" s="329" t="s">
        <v>178</v>
      </c>
      <c r="J5" s="329" t="s">
        <v>179</v>
      </c>
      <c r="K5" s="329" t="s">
        <v>180</v>
      </c>
      <c r="L5" s="329" t="s">
        <v>181</v>
      </c>
      <c r="M5" s="329" t="s">
        <v>182</v>
      </c>
      <c r="N5" s="329" t="s">
        <v>182</v>
      </c>
      <c r="O5" s="329" t="s">
        <v>182</v>
      </c>
      <c r="P5" s="329" t="s">
        <v>183</v>
      </c>
      <c r="Q5" s="330" t="s">
        <v>184</v>
      </c>
    </row>
    <row r="6" spans="1:22" s="391" customFormat="1" ht="15.75" customHeight="1">
      <c r="B6" s="331" t="s">
        <v>4</v>
      </c>
      <c r="C6" s="332" t="s">
        <v>185</v>
      </c>
      <c r="D6" s="333" t="s">
        <v>223</v>
      </c>
      <c r="E6" s="334" t="s">
        <v>168</v>
      </c>
      <c r="F6" s="335">
        <v>299.08999999999997</v>
      </c>
      <c r="G6" s="336">
        <v>31</v>
      </c>
      <c r="H6" s="336">
        <v>2.69995257551187E-2</v>
      </c>
      <c r="I6" s="336">
        <v>7.1746893856621697E-6</v>
      </c>
      <c r="J6" s="336">
        <v>2168.4025000000001</v>
      </c>
      <c r="K6" s="336">
        <v>1.15E-8</v>
      </c>
      <c r="L6" s="336">
        <v>2.9500000000000002E-10</v>
      </c>
      <c r="M6" s="336">
        <v>1.2058553986099166E-8</v>
      </c>
      <c r="N6" s="336">
        <v>1</v>
      </c>
      <c r="O6" s="337">
        <v>0.1</v>
      </c>
      <c r="P6" s="338">
        <v>2.9999999999999997E-4</v>
      </c>
      <c r="Q6" s="339">
        <v>4.8999999999999998E-3</v>
      </c>
      <c r="R6" s="392"/>
      <c r="S6" s="393"/>
      <c r="V6" s="394"/>
    </row>
    <row r="7" spans="1:22" s="391" customFormat="1" ht="15.75" customHeight="1">
      <c r="B7" s="340" t="s">
        <v>186</v>
      </c>
      <c r="C7" s="341" t="s">
        <v>187</v>
      </c>
      <c r="D7" s="342" t="s">
        <v>223</v>
      </c>
      <c r="E7" s="334" t="s">
        <v>168</v>
      </c>
      <c r="F7" s="335">
        <v>349</v>
      </c>
      <c r="G7" s="336">
        <v>1050</v>
      </c>
      <c r="H7" s="343"/>
      <c r="I7" s="343"/>
      <c r="J7" s="343">
        <v>131224</v>
      </c>
      <c r="K7" s="336">
        <v>2.8200000000000001E-7</v>
      </c>
      <c r="L7" s="336">
        <v>2.1400000000000001E-10</v>
      </c>
      <c r="M7" s="343">
        <v>8.747561196695664E-9</v>
      </c>
      <c r="N7" s="343">
        <v>1</v>
      </c>
      <c r="O7" s="344">
        <v>0.1</v>
      </c>
      <c r="P7" s="338">
        <v>1.5099999999999998E-4</v>
      </c>
      <c r="Q7" s="345"/>
      <c r="V7" s="394"/>
    </row>
    <row r="8" spans="1:22" s="391" customFormat="1" ht="15.75" customHeight="1">
      <c r="B8" s="346" t="s">
        <v>5</v>
      </c>
      <c r="C8" s="347" t="s">
        <v>188</v>
      </c>
      <c r="D8" s="342" t="s">
        <v>223</v>
      </c>
      <c r="E8" s="348" t="s">
        <v>168</v>
      </c>
      <c r="F8" s="349">
        <v>399.1</v>
      </c>
      <c r="G8" s="343">
        <v>562</v>
      </c>
      <c r="H8" s="343">
        <v>3.4991301326684703E-2</v>
      </c>
      <c r="I8" s="343">
        <v>4.0884573129073697E-6</v>
      </c>
      <c r="J8" s="343">
        <v>170415.7</v>
      </c>
      <c r="K8" s="343">
        <v>8.1300000000000007E-9</v>
      </c>
      <c r="L8" s="343">
        <v>1.94E-10</v>
      </c>
      <c r="M8" s="343">
        <v>7.930032112892332E-9</v>
      </c>
      <c r="N8" s="343">
        <v>1</v>
      </c>
      <c r="O8" s="344">
        <v>0.1</v>
      </c>
      <c r="P8" s="350">
        <v>1.9999999999999999E-6</v>
      </c>
      <c r="Q8" s="345">
        <v>1.2999999999999999E-5</v>
      </c>
      <c r="R8" s="392"/>
      <c r="V8" s="394"/>
    </row>
    <row r="9" spans="1:22" s="391" customFormat="1" ht="15.75" customHeight="1">
      <c r="B9" s="346" t="s">
        <v>6</v>
      </c>
      <c r="C9" s="347" t="s">
        <v>189</v>
      </c>
      <c r="D9" s="342" t="s">
        <v>223</v>
      </c>
      <c r="E9" s="348" t="s">
        <v>168</v>
      </c>
      <c r="F9" s="349">
        <v>449.11</v>
      </c>
      <c r="G9" s="343">
        <v>1230</v>
      </c>
      <c r="H9" s="343"/>
      <c r="I9" s="343"/>
      <c r="J9" s="343">
        <v>352551.35000000003</v>
      </c>
      <c r="K9" s="343">
        <v>3.3099999999999999E-7</v>
      </c>
      <c r="L9" s="343">
        <v>1.79E-10</v>
      </c>
      <c r="M9" s="343">
        <v>7.3168853000398322E-9</v>
      </c>
      <c r="N9" s="343">
        <v>1</v>
      </c>
      <c r="O9" s="344">
        <v>0.1</v>
      </c>
      <c r="P9" s="350">
        <v>1.0000000000000001E-5</v>
      </c>
      <c r="Q9" s="345"/>
      <c r="R9" s="392"/>
      <c r="V9" s="394"/>
    </row>
    <row r="10" spans="1:22" s="391" customFormat="1" ht="15.75" customHeight="1">
      <c r="B10" s="346" t="s">
        <v>7</v>
      </c>
      <c r="C10" s="347" t="s">
        <v>190</v>
      </c>
      <c r="D10" s="342" t="s">
        <v>223</v>
      </c>
      <c r="E10" s="348" t="s">
        <v>168</v>
      </c>
      <c r="F10" s="349">
        <v>499.12</v>
      </c>
      <c r="G10" s="343">
        <v>1122</v>
      </c>
      <c r="H10" s="343">
        <v>2.0747771695484599E-2</v>
      </c>
      <c r="I10" s="343">
        <v>5.2595776539671504E-6</v>
      </c>
      <c r="J10" s="343">
        <v>564005.6</v>
      </c>
      <c r="K10" s="343">
        <v>2.4499999999999998E-6</v>
      </c>
      <c r="L10" s="343">
        <v>1.7999999999999999E-11</v>
      </c>
      <c r="M10" s="343">
        <v>7.3577617542299963E-10</v>
      </c>
      <c r="N10" s="343">
        <v>1</v>
      </c>
      <c r="O10" s="344">
        <v>0.1</v>
      </c>
      <c r="P10" s="350">
        <v>1.9999999999999999E-6</v>
      </c>
      <c r="Q10" s="345">
        <v>8.1000000000000004E-5</v>
      </c>
      <c r="R10" s="395"/>
      <c r="V10" s="394"/>
    </row>
    <row r="11" spans="1:22" ht="15.75" customHeight="1">
      <c r="A11" s="391"/>
      <c r="B11" s="346" t="s">
        <v>8</v>
      </c>
      <c r="C11" s="347" t="s">
        <v>191</v>
      </c>
      <c r="D11" s="342" t="s">
        <v>223</v>
      </c>
      <c r="E11" s="348" t="s">
        <v>168</v>
      </c>
      <c r="F11" s="349">
        <v>599.13</v>
      </c>
      <c r="G11" s="343">
        <v>3936</v>
      </c>
      <c r="H11" s="343"/>
      <c r="I11" s="343"/>
      <c r="J11" s="343">
        <v>1084425.3</v>
      </c>
      <c r="K11" s="343">
        <v>8.1300000000000001E-6</v>
      </c>
      <c r="L11" s="343">
        <v>3.3099999999999999E-10</v>
      </c>
      <c r="M11" s="343">
        <v>1.3530106336945165E-8</v>
      </c>
      <c r="N11" s="343">
        <v>1</v>
      </c>
      <c r="O11" s="344">
        <v>0.1</v>
      </c>
      <c r="P11" s="350">
        <v>1.0000000000000001E-5</v>
      </c>
      <c r="Q11" s="345"/>
      <c r="R11" s="392"/>
      <c r="V11" s="394"/>
    </row>
    <row r="12" spans="1:22" ht="15.75" customHeight="1">
      <c r="A12" s="391"/>
      <c r="B12" s="340" t="s">
        <v>192</v>
      </c>
      <c r="C12" s="448" t="s">
        <v>228</v>
      </c>
      <c r="D12" s="342" t="s">
        <v>224</v>
      </c>
      <c r="E12" s="334" t="s">
        <v>193</v>
      </c>
      <c r="F12" s="335">
        <v>114.023</v>
      </c>
      <c r="G12" s="336">
        <v>4.07</v>
      </c>
      <c r="H12" s="343">
        <v>5.0700000000000002E-2</v>
      </c>
      <c r="I12" s="343">
        <v>9.3000000000000007E-6</v>
      </c>
      <c r="J12" s="336">
        <v>993140.33000000007</v>
      </c>
      <c r="K12" s="343">
        <v>108</v>
      </c>
      <c r="L12" s="343">
        <v>3.31E-3</v>
      </c>
      <c r="M12" s="343">
        <v>0.13530106336945164</v>
      </c>
      <c r="N12" s="343">
        <v>1</v>
      </c>
      <c r="O12" s="344">
        <v>0.1</v>
      </c>
      <c r="P12" s="338">
        <v>1.7999999999999999E-2</v>
      </c>
      <c r="Q12" s="345">
        <v>6.3E-2</v>
      </c>
      <c r="R12" s="395"/>
      <c r="V12" s="394"/>
    </row>
    <row r="13" spans="1:22" s="391" customFormat="1" ht="15" customHeight="1">
      <c r="B13" s="340" t="s">
        <v>59</v>
      </c>
      <c r="C13" s="351" t="s">
        <v>194</v>
      </c>
      <c r="D13" s="333" t="s">
        <v>224</v>
      </c>
      <c r="E13" s="352" t="s">
        <v>193</v>
      </c>
      <c r="F13" s="353">
        <v>164</v>
      </c>
      <c r="G13" s="336">
        <v>5.89</v>
      </c>
      <c r="H13" s="343">
        <v>5.0700000000000002E-2</v>
      </c>
      <c r="I13" s="343">
        <v>9.3000000000000007E-6</v>
      </c>
      <c r="J13" s="336">
        <v>24436</v>
      </c>
      <c r="K13" s="336">
        <v>23</v>
      </c>
      <c r="L13" s="336">
        <v>3.63E-6</v>
      </c>
      <c r="M13" s="336">
        <v>1.4838152871030495E-4</v>
      </c>
      <c r="N13" s="336">
        <v>1</v>
      </c>
      <c r="O13" s="337">
        <v>0.1</v>
      </c>
      <c r="P13" s="336">
        <v>5.0000000000000001E-4</v>
      </c>
      <c r="Q13" s="339">
        <v>1.75E-3</v>
      </c>
      <c r="R13" s="395"/>
    </row>
    <row r="14" spans="1:22" ht="15.75" customHeight="1">
      <c r="A14" s="391"/>
      <c r="B14" s="346" t="s">
        <v>9</v>
      </c>
      <c r="C14" s="347" t="s">
        <v>195</v>
      </c>
      <c r="D14" s="342" t="s">
        <v>225</v>
      </c>
      <c r="E14" s="348" t="s">
        <v>193</v>
      </c>
      <c r="F14" s="349">
        <v>213.03100000000001</v>
      </c>
      <c r="G14" s="343">
        <v>76</v>
      </c>
      <c r="H14" s="343"/>
      <c r="I14" s="343"/>
      <c r="J14" s="343">
        <v>146139.26600000003</v>
      </c>
      <c r="K14" s="343">
        <v>21.8</v>
      </c>
      <c r="L14" s="343">
        <v>5.0099999999999998E-5</v>
      </c>
      <c r="M14" s="343">
        <v>2.0479103549273492E-3</v>
      </c>
      <c r="N14" s="343">
        <v>1</v>
      </c>
      <c r="O14" s="344">
        <v>0.1</v>
      </c>
      <c r="P14" s="350">
        <v>3.8E-3</v>
      </c>
      <c r="Q14" s="345">
        <v>0.01</v>
      </c>
      <c r="R14" s="392"/>
      <c r="V14" s="394"/>
    </row>
    <row r="15" spans="1:22" ht="15.75" customHeight="1">
      <c r="A15" s="391"/>
      <c r="B15" s="346" t="s">
        <v>10</v>
      </c>
      <c r="C15" s="347" t="s">
        <v>196</v>
      </c>
      <c r="D15" s="342" t="s">
        <v>225</v>
      </c>
      <c r="E15" s="348" t="s">
        <v>193</v>
      </c>
      <c r="F15" s="349">
        <v>263.03899999999999</v>
      </c>
      <c r="G15" s="343">
        <v>23</v>
      </c>
      <c r="H15" s="343"/>
      <c r="I15" s="343"/>
      <c r="J15" s="343">
        <v>243311.07499999998</v>
      </c>
      <c r="K15" s="343">
        <v>7.27</v>
      </c>
      <c r="L15" s="343">
        <v>2.9700000000000001E-10</v>
      </c>
      <c r="M15" s="343">
        <v>1.2140306894479496E-8</v>
      </c>
      <c r="N15" s="343">
        <v>1</v>
      </c>
      <c r="O15" s="344">
        <v>0.1</v>
      </c>
      <c r="P15" s="350">
        <v>4.0000000000000002E-4</v>
      </c>
      <c r="Q15" s="345">
        <v>1.4E-3</v>
      </c>
      <c r="R15" s="395"/>
      <c r="V15" s="394"/>
    </row>
    <row r="16" spans="1:22" ht="15.75" customHeight="1">
      <c r="A16" s="391"/>
      <c r="B16" s="346" t="s">
        <v>11</v>
      </c>
      <c r="C16" s="347" t="s">
        <v>197</v>
      </c>
      <c r="D16" s="342" t="s">
        <v>225</v>
      </c>
      <c r="E16" s="348" t="s">
        <v>193</v>
      </c>
      <c r="F16" s="349">
        <v>313.04700000000003</v>
      </c>
      <c r="G16" s="343">
        <v>20</v>
      </c>
      <c r="H16" s="343"/>
      <c r="I16" s="343"/>
      <c r="J16" s="343">
        <v>344351.70000000007</v>
      </c>
      <c r="K16" s="343">
        <v>2</v>
      </c>
      <c r="L16" s="343">
        <v>2.3500000000000002E-10</v>
      </c>
      <c r="M16" s="343">
        <v>9.6059667346891651E-9</v>
      </c>
      <c r="N16" s="343">
        <v>1</v>
      </c>
      <c r="O16" s="344">
        <v>0.1</v>
      </c>
      <c r="P16" s="350">
        <v>5.0000000000000001E-4</v>
      </c>
      <c r="Q16" s="345">
        <v>1.75E-3</v>
      </c>
      <c r="R16" s="395"/>
      <c r="V16" s="394"/>
    </row>
    <row r="17" spans="1:22" ht="15.75" customHeight="1">
      <c r="A17" s="391"/>
      <c r="B17" s="346" t="s">
        <v>12</v>
      </c>
      <c r="C17" s="347" t="s">
        <v>198</v>
      </c>
      <c r="D17" s="342" t="s">
        <v>223</v>
      </c>
      <c r="E17" s="348" t="s">
        <v>168</v>
      </c>
      <c r="F17" s="349">
        <v>363.05500000000001</v>
      </c>
      <c r="G17" s="343">
        <v>43</v>
      </c>
      <c r="H17" s="343"/>
      <c r="I17" s="343"/>
      <c r="J17" s="343">
        <v>530060.29999999993</v>
      </c>
      <c r="K17" s="343">
        <v>0.30299999999999999</v>
      </c>
      <c r="L17" s="343">
        <v>2.09E-10</v>
      </c>
      <c r="M17" s="343">
        <v>8.5431789257448302E-9</v>
      </c>
      <c r="N17" s="343">
        <v>1</v>
      </c>
      <c r="O17" s="344">
        <v>0.1</v>
      </c>
      <c r="P17" s="350">
        <v>2.0000000000000002E-5</v>
      </c>
      <c r="Q17" s="345"/>
      <c r="R17" s="392"/>
      <c r="V17" s="394"/>
    </row>
    <row r="18" spans="1:22" ht="15.75" customHeight="1">
      <c r="A18" s="391"/>
      <c r="B18" s="346" t="s">
        <v>13</v>
      </c>
      <c r="C18" s="347" t="s">
        <v>199</v>
      </c>
      <c r="D18" s="342" t="s">
        <v>223</v>
      </c>
      <c r="E18" s="348" t="s">
        <v>168</v>
      </c>
      <c r="F18" s="349">
        <v>413.06299999999999</v>
      </c>
      <c r="G18" s="343">
        <v>182</v>
      </c>
      <c r="H18" s="343"/>
      <c r="I18" s="343"/>
      <c r="J18" s="343">
        <v>623725.13</v>
      </c>
      <c r="K18" s="343">
        <v>0.192</v>
      </c>
      <c r="L18" s="343">
        <v>1.9200000000000001E-10</v>
      </c>
      <c r="M18" s="343">
        <v>7.8482792045119988E-9</v>
      </c>
      <c r="N18" s="343">
        <v>1</v>
      </c>
      <c r="O18" s="344">
        <v>0.1</v>
      </c>
      <c r="P18" s="350">
        <v>3.0000000000000001E-6</v>
      </c>
      <c r="Q18" s="345">
        <v>4.0999999999999997E-6</v>
      </c>
      <c r="R18" s="395"/>
      <c r="V18" s="394"/>
    </row>
    <row r="19" spans="1:22" ht="15.75" customHeight="1">
      <c r="A19" s="391"/>
      <c r="B19" s="346" t="s">
        <v>14</v>
      </c>
      <c r="C19" s="347" t="s">
        <v>200</v>
      </c>
      <c r="D19" s="342" t="s">
        <v>223</v>
      </c>
      <c r="E19" s="348" t="s">
        <v>168</v>
      </c>
      <c r="F19" s="349">
        <v>463.07</v>
      </c>
      <c r="G19" s="343">
        <v>1059</v>
      </c>
      <c r="H19" s="343"/>
      <c r="I19" s="343"/>
      <c r="J19" s="343">
        <v>777957.6</v>
      </c>
      <c r="K19" s="343">
        <v>8.9800000000000005E-2</v>
      </c>
      <c r="L19" s="343">
        <v>1.1800000000000001E-9</v>
      </c>
      <c r="M19" s="343">
        <v>4.8234215944396664E-8</v>
      </c>
      <c r="N19" s="343">
        <v>1</v>
      </c>
      <c r="O19" s="344">
        <v>0.1</v>
      </c>
      <c r="P19" s="350">
        <v>3.0000000000000001E-6</v>
      </c>
      <c r="Q19" s="345">
        <v>2.8E-5</v>
      </c>
      <c r="R19" s="392"/>
      <c r="V19" s="394"/>
    </row>
    <row r="20" spans="1:22" ht="15.75" customHeight="1">
      <c r="A20" s="391"/>
      <c r="B20" s="346" t="s">
        <v>15</v>
      </c>
      <c r="C20" s="347" t="s">
        <v>201</v>
      </c>
      <c r="D20" s="342" t="s">
        <v>223</v>
      </c>
      <c r="E20" s="348" t="s">
        <v>168</v>
      </c>
      <c r="F20" s="349">
        <v>513.07799999999997</v>
      </c>
      <c r="G20" s="343">
        <v>724</v>
      </c>
      <c r="H20" s="343"/>
      <c r="I20" s="343"/>
      <c r="J20" s="343">
        <v>954325.08</v>
      </c>
      <c r="K20" s="343">
        <v>2.3900000000000001E-2</v>
      </c>
      <c r="L20" s="343">
        <v>1.5E-10</v>
      </c>
      <c r="M20" s="343">
        <v>6.1314681285249983E-9</v>
      </c>
      <c r="N20" s="343">
        <v>1</v>
      </c>
      <c r="O20" s="344">
        <v>0.1</v>
      </c>
      <c r="P20" s="350">
        <v>2.0000000000000003E-6</v>
      </c>
      <c r="Q20" s="345">
        <v>5.3000000000000001E-5</v>
      </c>
      <c r="R20" s="392"/>
      <c r="V20" s="394"/>
    </row>
    <row r="21" spans="1:22" ht="15.75" customHeight="1">
      <c r="A21" s="391"/>
      <c r="B21" s="346" t="s">
        <v>16</v>
      </c>
      <c r="C21" s="347" t="s">
        <v>202</v>
      </c>
      <c r="D21" s="342" t="s">
        <v>223</v>
      </c>
      <c r="E21" s="348" t="s">
        <v>168</v>
      </c>
      <c r="F21" s="349">
        <v>563.08600000000001</v>
      </c>
      <c r="G21" s="343">
        <v>2692</v>
      </c>
      <c r="H21" s="343"/>
      <c r="I21" s="343"/>
      <c r="J21" s="343">
        <v>1159957.1600000001</v>
      </c>
      <c r="K21" s="343">
        <v>1.2699999999999999E-2</v>
      </c>
      <c r="L21" s="343">
        <v>3.3399999999999998E-10</v>
      </c>
      <c r="M21" s="343">
        <v>1.3652735699515664E-8</v>
      </c>
      <c r="N21" s="343">
        <v>1</v>
      </c>
      <c r="O21" s="344">
        <v>0.1</v>
      </c>
      <c r="P21" s="350">
        <v>5.0000000000000004E-6</v>
      </c>
      <c r="Q21" s="345"/>
      <c r="R21" s="392"/>
      <c r="V21" s="394"/>
    </row>
    <row r="22" spans="1:22" ht="15.75" customHeight="1">
      <c r="A22" s="391"/>
      <c r="B22" s="346" t="s">
        <v>17</v>
      </c>
      <c r="C22" s="347" t="s">
        <v>203</v>
      </c>
      <c r="D22" s="342" t="s">
        <v>223</v>
      </c>
      <c r="E22" s="348" t="s">
        <v>168</v>
      </c>
      <c r="F22" s="349">
        <v>613.09400000000005</v>
      </c>
      <c r="G22" s="343">
        <v>85400</v>
      </c>
      <c r="H22" s="343"/>
      <c r="I22" s="343"/>
      <c r="J22" s="343">
        <v>1397854.3199999998</v>
      </c>
      <c r="K22" s="343">
        <v>4.7200000000000002E-3</v>
      </c>
      <c r="L22" s="343">
        <v>3.4000000000000001E-10</v>
      </c>
      <c r="M22" s="343">
        <v>1.3897994424656662E-8</v>
      </c>
      <c r="N22" s="343">
        <v>1</v>
      </c>
      <c r="O22" s="344">
        <v>0.1</v>
      </c>
      <c r="P22" s="350">
        <v>6.7000000000000002E-6</v>
      </c>
      <c r="Q22" s="345">
        <v>4.1999999999999998E-5</v>
      </c>
      <c r="R22" s="392"/>
      <c r="V22" s="394"/>
    </row>
    <row r="23" spans="1:22" ht="15.75" customHeight="1">
      <c r="A23" s="391"/>
      <c r="B23" s="346" t="s">
        <v>18</v>
      </c>
      <c r="C23" s="347" t="s">
        <v>204</v>
      </c>
      <c r="D23" s="342" t="s">
        <v>223</v>
      </c>
      <c r="E23" s="348" t="s">
        <v>168</v>
      </c>
      <c r="F23" s="349">
        <v>663.10199999999998</v>
      </c>
      <c r="G23" s="343">
        <v>184000</v>
      </c>
      <c r="H23" s="343"/>
      <c r="I23" s="343"/>
      <c r="J23" s="343">
        <v>1690910.0999999999</v>
      </c>
      <c r="K23" s="343">
        <v>2.1299999999999999E-3</v>
      </c>
      <c r="L23" s="343">
        <v>3.4799999999999999E-10</v>
      </c>
      <c r="M23" s="343">
        <v>1.4225006058177993E-8</v>
      </c>
      <c r="N23" s="343">
        <v>1</v>
      </c>
      <c r="O23" s="344">
        <v>0.1</v>
      </c>
      <c r="P23" s="350">
        <v>6.7000000000000002E-6</v>
      </c>
      <c r="Q23" s="345"/>
      <c r="R23" s="392"/>
      <c r="V23" s="394"/>
    </row>
    <row r="24" spans="1:22" ht="15.75" customHeight="1">
      <c r="A24" s="391"/>
      <c r="B24" s="346" t="s">
        <v>19</v>
      </c>
      <c r="C24" s="347" t="s">
        <v>205</v>
      </c>
      <c r="D24" s="342" t="s">
        <v>223</v>
      </c>
      <c r="E24" s="348" t="s">
        <v>168</v>
      </c>
      <c r="F24" s="349">
        <v>713.10900000000004</v>
      </c>
      <c r="G24" s="343">
        <v>233000</v>
      </c>
      <c r="H24" s="343"/>
      <c r="I24" s="343"/>
      <c r="J24" s="343">
        <v>2025229.56</v>
      </c>
      <c r="K24" s="343">
        <v>1.1999999999999999E-3</v>
      </c>
      <c r="L24" s="343">
        <v>3.5500000000000001E-10</v>
      </c>
      <c r="M24" s="343">
        <v>1.451114123750916E-8</v>
      </c>
      <c r="N24" s="343">
        <v>1</v>
      </c>
      <c r="O24" s="344">
        <v>0.1</v>
      </c>
      <c r="P24" s="350">
        <v>6.7000000000000002E-5</v>
      </c>
      <c r="Q24" s="345"/>
      <c r="R24" s="392"/>
      <c r="V24" s="394"/>
    </row>
    <row r="25" spans="1:22" ht="15.75" customHeight="1">
      <c r="A25" s="391"/>
      <c r="B25" s="346" t="s">
        <v>206</v>
      </c>
      <c r="C25" s="347" t="s">
        <v>207</v>
      </c>
      <c r="D25" s="342" t="s">
        <v>223</v>
      </c>
      <c r="E25" s="348" t="s">
        <v>168</v>
      </c>
      <c r="F25" s="349">
        <v>499.14</v>
      </c>
      <c r="G25" s="343">
        <v>12589</v>
      </c>
      <c r="H25" s="343">
        <v>3.0194850521221599E-2</v>
      </c>
      <c r="I25" s="343">
        <v>3.5280299030058899E-6</v>
      </c>
      <c r="J25" s="343">
        <v>0.66385620000000001</v>
      </c>
      <c r="K25" s="343">
        <v>0.248</v>
      </c>
      <c r="L25" s="343">
        <v>1.26E-9</v>
      </c>
      <c r="M25" s="343">
        <v>5.1504332279609986E-8</v>
      </c>
      <c r="N25" s="343">
        <v>1</v>
      </c>
      <c r="O25" s="344">
        <v>0.1</v>
      </c>
      <c r="P25" s="343">
        <v>1.2E-5</v>
      </c>
      <c r="Q25" s="345"/>
      <c r="R25" s="392"/>
      <c r="V25" s="394"/>
    </row>
    <row r="26" spans="1:22" s="391" customFormat="1" ht="22.15" customHeight="1">
      <c r="B26" s="354" t="s">
        <v>208</v>
      </c>
      <c r="C26" s="355" t="s">
        <v>209</v>
      </c>
      <c r="D26" s="342" t="s">
        <v>223</v>
      </c>
      <c r="E26" s="348" t="s">
        <v>168</v>
      </c>
      <c r="F26" s="349">
        <v>329</v>
      </c>
      <c r="G26" s="343">
        <v>12.022644346174133</v>
      </c>
      <c r="H26" s="343"/>
      <c r="I26" s="343"/>
      <c r="J26" s="343">
        <v>1000000</v>
      </c>
      <c r="K26" s="343">
        <v>0.24</v>
      </c>
      <c r="L26" s="343">
        <v>4.0600000000000001E-6</v>
      </c>
      <c r="M26" s="343">
        <v>1.6595840401207663E-4</v>
      </c>
      <c r="N26" s="343">
        <v>1</v>
      </c>
      <c r="O26" s="344">
        <v>0.1</v>
      </c>
      <c r="P26" s="350">
        <v>3.0000000000000001E-6</v>
      </c>
      <c r="Q26" s="345"/>
      <c r="R26" s="392"/>
      <c r="V26" s="394"/>
    </row>
    <row r="27" spans="1:22" ht="15" customHeight="1">
      <c r="A27" s="391"/>
      <c r="B27" s="331" t="s">
        <v>210</v>
      </c>
      <c r="C27" s="332" t="s">
        <v>211</v>
      </c>
      <c r="D27" s="342" t="s">
        <v>223</v>
      </c>
      <c r="E27" s="334" t="s">
        <v>168</v>
      </c>
      <c r="F27" s="335">
        <v>427</v>
      </c>
      <c r="G27" s="356">
        <v>947</v>
      </c>
      <c r="H27" s="343"/>
      <c r="I27" s="343"/>
      <c r="J27" s="356">
        <v>572180.00000000012</v>
      </c>
      <c r="K27" s="356">
        <v>8.2399999999999997E-7</v>
      </c>
      <c r="L27" s="336">
        <v>1.8299999999999999E-10</v>
      </c>
      <c r="M27" s="336">
        <v>7.4803911168004969E-9</v>
      </c>
      <c r="N27" s="336">
        <v>1</v>
      </c>
      <c r="O27" s="337">
        <v>0.1</v>
      </c>
      <c r="P27" s="338">
        <v>3.8999999999999999E-4</v>
      </c>
      <c r="Q27" s="339">
        <v>1E-3</v>
      </c>
      <c r="R27" s="395"/>
      <c r="V27" s="394"/>
    </row>
    <row r="28" spans="1:22" s="391" customFormat="1" ht="22.15" customHeight="1">
      <c r="B28" s="357" t="s">
        <v>212</v>
      </c>
      <c r="C28" s="358" t="s">
        <v>213</v>
      </c>
      <c r="D28" s="359" t="s">
        <v>223</v>
      </c>
      <c r="E28" s="360" t="s">
        <v>168</v>
      </c>
      <c r="F28" s="361">
        <v>395</v>
      </c>
      <c r="G28" s="362">
        <v>967</v>
      </c>
      <c r="H28" s="343"/>
      <c r="I28" s="343"/>
      <c r="J28" s="362">
        <v>217000</v>
      </c>
      <c r="K28" s="362">
        <v>1.32E-2</v>
      </c>
      <c r="L28" s="363">
        <v>1.8E-10</v>
      </c>
      <c r="M28" s="356">
        <v>7.3577617542299979E-9</v>
      </c>
      <c r="N28" s="356">
        <v>1</v>
      </c>
      <c r="O28" s="364">
        <v>0.1</v>
      </c>
      <c r="P28" s="365">
        <v>2.9999999999999997E-4</v>
      </c>
      <c r="Q28" s="345"/>
      <c r="R28" s="395"/>
      <c r="V28" s="394"/>
    </row>
    <row r="29" spans="1:22" s="391" customFormat="1" ht="15" customHeight="1">
      <c r="B29" s="366" t="s">
        <v>214</v>
      </c>
      <c r="C29" s="367" t="s">
        <v>215</v>
      </c>
      <c r="D29" s="359" t="s">
        <v>225</v>
      </c>
      <c r="E29" s="348" t="s">
        <v>193</v>
      </c>
      <c r="F29" s="349">
        <v>364</v>
      </c>
      <c r="G29" s="343">
        <v>3160</v>
      </c>
      <c r="H29" s="343"/>
      <c r="I29" s="343"/>
      <c r="J29" s="343">
        <v>17.617599999999999</v>
      </c>
      <c r="K29" s="343">
        <v>1.7</v>
      </c>
      <c r="L29" s="343">
        <v>2.5999999999999998E-10</v>
      </c>
      <c r="M29" s="343">
        <v>1.0627878089443329E-8</v>
      </c>
      <c r="N29" s="343">
        <v>1</v>
      </c>
      <c r="O29" s="343">
        <v>0.1</v>
      </c>
      <c r="P29" s="350">
        <v>1.2999999999999999E-3</v>
      </c>
      <c r="Q29" s="368">
        <v>4.5500000000000002E-3</v>
      </c>
      <c r="R29" s="395"/>
      <c r="V29" s="394"/>
    </row>
    <row r="30" spans="1:22" s="391" customFormat="1" ht="15" customHeight="1">
      <c r="B30" s="366" t="s">
        <v>216</v>
      </c>
      <c r="C30" s="367" t="s">
        <v>217</v>
      </c>
      <c r="D30" s="369" t="s">
        <v>223</v>
      </c>
      <c r="E30" s="370" t="s">
        <v>168</v>
      </c>
      <c r="F30" s="349">
        <v>464</v>
      </c>
      <c r="G30" s="343">
        <v>2240</v>
      </c>
      <c r="H30" s="343"/>
      <c r="I30" s="343"/>
      <c r="J30" s="343">
        <v>0.19766399999999998</v>
      </c>
      <c r="K30" s="343">
        <v>0.20899999999999999</v>
      </c>
      <c r="L30" s="343">
        <v>2.09E-10</v>
      </c>
      <c r="M30" s="343">
        <v>8.5431789257448302E-9</v>
      </c>
      <c r="N30" s="343">
        <v>1</v>
      </c>
      <c r="O30" s="343">
        <v>0.1</v>
      </c>
      <c r="P30" s="350">
        <v>1.1000000000000001E-3</v>
      </c>
      <c r="Q30" s="368">
        <v>3.8500000000000001E-3</v>
      </c>
      <c r="R30" s="395"/>
      <c r="V30" s="394"/>
    </row>
    <row r="31" spans="1:22" s="391" customFormat="1" ht="22.15" customHeight="1" thickBot="1">
      <c r="B31" s="371" t="s">
        <v>218</v>
      </c>
      <c r="C31" s="372" t="s">
        <v>219</v>
      </c>
      <c r="D31" s="373" t="s">
        <v>223</v>
      </c>
      <c r="E31" s="374" t="s">
        <v>168</v>
      </c>
      <c r="F31" s="375">
        <v>586</v>
      </c>
      <c r="G31" s="376">
        <v>67600</v>
      </c>
      <c r="H31" s="376"/>
      <c r="I31" s="376"/>
      <c r="J31" s="376">
        <v>191.62199999999999</v>
      </c>
      <c r="K31" s="376">
        <v>2.57E-9</v>
      </c>
      <c r="L31" s="376">
        <v>8.9100000000000003E-10</v>
      </c>
      <c r="M31" s="376">
        <v>3.6420920683438493E-8</v>
      </c>
      <c r="N31" s="376">
        <v>1</v>
      </c>
      <c r="O31" s="376">
        <v>0.1</v>
      </c>
      <c r="P31" s="377">
        <v>5.0000000000000001E-4</v>
      </c>
      <c r="Q31" s="345"/>
      <c r="R31" s="395"/>
      <c r="V31" s="394"/>
    </row>
    <row r="32" spans="1:22" s="390" customFormat="1" ht="11.25" customHeight="1" thickTop="1">
      <c r="B32" s="396" t="s">
        <v>220</v>
      </c>
      <c r="C32" s="397"/>
      <c r="D32" s="398"/>
      <c r="E32" s="398"/>
      <c r="F32" s="399"/>
      <c r="G32" s="400"/>
      <c r="H32" s="378"/>
      <c r="I32" s="378"/>
      <c r="J32" s="378"/>
      <c r="K32" s="378"/>
      <c r="L32" s="378"/>
      <c r="M32" s="378"/>
      <c r="N32" s="378"/>
      <c r="O32" s="378"/>
      <c r="P32" s="378"/>
      <c r="Q32" s="401"/>
      <c r="R32" s="402"/>
    </row>
    <row r="33" spans="2:18" ht="12" customHeight="1">
      <c r="B33" s="403" t="s">
        <v>229</v>
      </c>
      <c r="C33" s="384"/>
      <c r="D33" s="404"/>
      <c r="E33" s="405"/>
      <c r="G33" s="379"/>
      <c r="H33" s="379"/>
      <c r="I33" s="379"/>
      <c r="J33" s="379"/>
      <c r="K33" s="379"/>
      <c r="L33" s="379"/>
      <c r="M33" s="379"/>
      <c r="N33" s="379"/>
      <c r="O33" s="379"/>
      <c r="P33" s="379"/>
      <c r="Q33" s="406"/>
      <c r="R33" s="384"/>
    </row>
    <row r="34" spans="2:18" s="390" customFormat="1" ht="12" customHeight="1">
      <c r="B34" s="626" t="s">
        <v>230</v>
      </c>
      <c r="C34" s="610"/>
      <c r="D34" s="610"/>
      <c r="E34" s="610"/>
      <c r="F34" s="610"/>
      <c r="G34" s="610"/>
      <c r="H34" s="610"/>
      <c r="I34" s="610"/>
      <c r="J34" s="610"/>
      <c r="K34" s="610"/>
      <c r="L34" s="610"/>
      <c r="M34" s="610"/>
      <c r="N34" s="610"/>
      <c r="O34" s="610"/>
      <c r="P34" s="610"/>
      <c r="Q34" s="627"/>
    </row>
    <row r="35" spans="2:18" s="390" customFormat="1" ht="12" customHeight="1">
      <c r="B35" s="381" t="s">
        <v>231</v>
      </c>
      <c r="C35" s="380"/>
      <c r="D35" s="380"/>
      <c r="E35" s="380"/>
      <c r="F35" s="380"/>
      <c r="G35" s="380"/>
      <c r="H35" s="380"/>
      <c r="I35" s="380"/>
      <c r="J35" s="380"/>
      <c r="K35" s="380"/>
      <c r="L35" s="380"/>
      <c r="M35" s="380"/>
      <c r="N35" s="380"/>
      <c r="O35" s="380"/>
      <c r="P35" s="380"/>
      <c r="Q35" s="407"/>
    </row>
    <row r="36" spans="2:18" s="390" customFormat="1" ht="12" customHeight="1">
      <c r="B36" s="403" t="s">
        <v>232</v>
      </c>
      <c r="C36" s="408"/>
      <c r="D36" s="384"/>
      <c r="E36" s="384"/>
      <c r="F36" s="409"/>
      <c r="G36" s="323"/>
      <c r="H36" s="379"/>
      <c r="I36" s="379"/>
      <c r="J36" s="379"/>
      <c r="K36" s="379"/>
      <c r="L36" s="379"/>
      <c r="M36" s="379"/>
      <c r="N36" s="379"/>
      <c r="O36" s="379"/>
      <c r="P36" s="379"/>
      <c r="Q36" s="410"/>
      <c r="R36" s="402"/>
    </row>
    <row r="37" spans="2:18" s="390" customFormat="1" ht="12" customHeight="1">
      <c r="B37" s="403" t="s">
        <v>233</v>
      </c>
      <c r="C37" s="408"/>
      <c r="D37" s="384"/>
      <c r="E37" s="384"/>
      <c r="F37" s="409"/>
      <c r="G37" s="323"/>
      <c r="H37" s="379"/>
      <c r="I37" s="379"/>
      <c r="J37" s="379"/>
      <c r="K37" s="379"/>
      <c r="L37" s="379"/>
      <c r="M37" s="379"/>
      <c r="N37" s="379"/>
      <c r="O37" s="379"/>
      <c r="P37" s="379"/>
      <c r="Q37" s="410"/>
      <c r="R37" s="402"/>
    </row>
    <row r="38" spans="2:18" s="390" customFormat="1" ht="12" customHeight="1">
      <c r="B38" s="403" t="s">
        <v>234</v>
      </c>
      <c r="C38" s="408"/>
      <c r="D38" s="384"/>
      <c r="E38" s="384"/>
      <c r="F38" s="409"/>
      <c r="G38" s="323"/>
      <c r="H38" s="379"/>
      <c r="I38" s="379"/>
      <c r="J38" s="379"/>
      <c r="K38" s="379"/>
      <c r="L38" s="379"/>
      <c r="M38" s="379"/>
      <c r="N38" s="379"/>
      <c r="O38" s="379"/>
      <c r="P38" s="379"/>
      <c r="Q38" s="410"/>
      <c r="R38" s="402"/>
    </row>
    <row r="39" spans="2:18" s="390" customFormat="1" ht="12" customHeight="1">
      <c r="B39" s="381" t="s">
        <v>3</v>
      </c>
      <c r="C39" s="408"/>
      <c r="D39" s="384"/>
      <c r="E39" s="384"/>
      <c r="F39" s="409"/>
      <c r="G39" s="323"/>
      <c r="H39" s="379"/>
      <c r="I39" s="379"/>
      <c r="J39" s="379"/>
      <c r="K39" s="379"/>
      <c r="L39" s="379"/>
      <c r="M39" s="379"/>
      <c r="N39" s="379"/>
      <c r="O39" s="379"/>
      <c r="P39" s="379"/>
      <c r="Q39" s="410"/>
      <c r="R39" s="402"/>
    </row>
    <row r="40" spans="2:18" s="390" customFormat="1" ht="12" customHeight="1">
      <c r="B40" s="411" t="s">
        <v>221</v>
      </c>
      <c r="C40" s="412"/>
      <c r="D40" s="404"/>
      <c r="E40" s="404"/>
      <c r="F40" s="405"/>
      <c r="G40" s="413"/>
      <c r="H40" s="382"/>
      <c r="I40" s="382"/>
      <c r="J40" s="382"/>
      <c r="K40" s="382"/>
      <c r="L40" s="382"/>
      <c r="M40" s="382"/>
      <c r="N40" s="382"/>
      <c r="O40" s="382"/>
      <c r="P40" s="382"/>
      <c r="Q40" s="414"/>
      <c r="R40" s="402"/>
    </row>
    <row r="41" spans="2:18" s="390" customFormat="1" ht="12" customHeight="1">
      <c r="B41" s="411" t="s">
        <v>222</v>
      </c>
      <c r="C41" s="384"/>
      <c r="D41" s="384"/>
      <c r="E41" s="384"/>
      <c r="F41" s="409"/>
      <c r="G41" s="323"/>
      <c r="H41" s="379"/>
      <c r="I41" s="379"/>
      <c r="J41" s="379"/>
      <c r="K41" s="379"/>
      <c r="L41" s="379"/>
      <c r="M41" s="379"/>
      <c r="N41" s="379"/>
      <c r="O41" s="379"/>
      <c r="P41" s="379"/>
      <c r="Q41" s="410"/>
      <c r="R41" s="402"/>
    </row>
    <row r="42" spans="2:18" s="390" customFormat="1" ht="12" customHeight="1" thickBot="1">
      <c r="B42" s="415"/>
      <c r="C42" s="416"/>
      <c r="D42" s="416"/>
      <c r="E42" s="416"/>
      <c r="F42" s="417"/>
      <c r="G42" s="418"/>
      <c r="H42" s="383"/>
      <c r="I42" s="383"/>
      <c r="J42" s="383"/>
      <c r="K42" s="383"/>
      <c r="L42" s="383"/>
      <c r="M42" s="383"/>
      <c r="N42" s="383"/>
      <c r="O42" s="383"/>
      <c r="P42" s="383"/>
      <c r="Q42" s="419"/>
      <c r="R42" s="402"/>
    </row>
    <row r="43" spans="2:18" s="390" customFormat="1" ht="13.15" thickTop="1">
      <c r="B43" s="420"/>
      <c r="C43" s="384"/>
      <c r="D43" s="384"/>
      <c r="E43" s="384"/>
      <c r="F43" s="409"/>
      <c r="G43" s="323"/>
      <c r="H43" s="379"/>
      <c r="I43" s="379"/>
      <c r="J43" s="379"/>
      <c r="K43" s="379"/>
      <c r="L43" s="379"/>
      <c r="M43" s="379"/>
      <c r="N43" s="379"/>
      <c r="O43" s="379"/>
      <c r="P43" s="379"/>
      <c r="Q43" s="379"/>
      <c r="R43" s="402"/>
    </row>
    <row r="44" spans="2:18" s="390" customFormat="1" ht="12.75">
      <c r="B44" s="420"/>
      <c r="C44" s="384"/>
      <c r="D44" s="384"/>
      <c r="E44" s="384"/>
      <c r="F44" s="409"/>
      <c r="G44" s="323"/>
      <c r="H44" s="379"/>
      <c r="I44" s="379"/>
      <c r="J44" s="379"/>
      <c r="K44" s="379"/>
      <c r="L44" s="379"/>
      <c r="M44" s="379"/>
      <c r="N44" s="379"/>
      <c r="O44" s="379"/>
      <c r="P44" s="379"/>
      <c r="Q44" s="379"/>
      <c r="R44" s="402"/>
    </row>
    <row r="45" spans="2:18" s="390" customFormat="1" ht="12.75">
      <c r="B45" s="420"/>
      <c r="C45" s="384"/>
      <c r="D45" s="384"/>
      <c r="E45" s="384"/>
      <c r="F45" s="409"/>
      <c r="G45" s="323"/>
      <c r="H45" s="379"/>
      <c r="I45" s="379"/>
      <c r="J45" s="379"/>
      <c r="K45" s="379"/>
      <c r="L45" s="379"/>
      <c r="M45" s="379"/>
      <c r="N45" s="379"/>
      <c r="O45" s="379"/>
      <c r="P45" s="379"/>
      <c r="Q45" s="379"/>
      <c r="R45" s="402"/>
    </row>
    <row r="46" spans="2:18" s="390" customFormat="1" ht="12.75">
      <c r="B46" s="420"/>
      <c r="C46" s="384"/>
      <c r="D46" s="384"/>
      <c r="E46" s="384"/>
      <c r="F46" s="409"/>
      <c r="G46" s="323"/>
      <c r="H46" s="379"/>
      <c r="I46" s="379"/>
      <c r="J46" s="379"/>
      <c r="K46" s="382"/>
      <c r="L46" s="379"/>
      <c r="M46" s="379"/>
      <c r="N46" s="379"/>
      <c r="O46" s="379"/>
      <c r="P46" s="379"/>
      <c r="Q46" s="379"/>
      <c r="R46" s="402"/>
    </row>
    <row r="47" spans="2:18" s="390" customFormat="1" ht="11.25" customHeight="1">
      <c r="B47" s="420"/>
      <c r="C47" s="384"/>
      <c r="D47" s="384"/>
      <c r="E47" s="384"/>
      <c r="F47" s="421"/>
      <c r="G47" s="413"/>
      <c r="H47" s="382"/>
      <c r="I47" s="382"/>
      <c r="J47" s="382"/>
      <c r="K47" s="382"/>
      <c r="L47" s="382"/>
      <c r="M47" s="382"/>
      <c r="N47" s="382"/>
      <c r="O47" s="382"/>
      <c r="P47" s="382"/>
      <c r="Q47" s="382"/>
      <c r="R47" s="402"/>
    </row>
    <row r="48" spans="2:18" s="390" customFormat="1" ht="11.25" customHeight="1">
      <c r="B48" s="420"/>
      <c r="C48" s="384"/>
      <c r="D48" s="384"/>
      <c r="E48" s="384"/>
      <c r="F48" s="421"/>
      <c r="G48" s="413"/>
      <c r="H48" s="382"/>
      <c r="I48" s="382"/>
      <c r="J48" s="382"/>
      <c r="K48" s="382"/>
      <c r="L48" s="382"/>
      <c r="M48" s="382"/>
      <c r="N48" s="382"/>
      <c r="O48" s="382"/>
      <c r="P48" s="382"/>
      <c r="Q48" s="382"/>
      <c r="R48" s="402"/>
    </row>
    <row r="49" spans="2:18" s="390" customFormat="1" ht="23.25" customHeight="1">
      <c r="B49" s="420"/>
      <c r="C49" s="610"/>
      <c r="D49" s="611"/>
      <c r="E49" s="611"/>
      <c r="F49" s="611"/>
      <c r="G49" s="611"/>
      <c r="H49" s="611"/>
      <c r="I49" s="611"/>
      <c r="J49" s="611"/>
      <c r="K49" s="611"/>
      <c r="L49" s="611"/>
      <c r="M49" s="611"/>
      <c r="N49" s="611"/>
      <c r="O49" s="611"/>
      <c r="P49" s="611"/>
      <c r="Q49" s="611"/>
      <c r="R49" s="402"/>
    </row>
    <row r="50" spans="2:18" s="390" customFormat="1" ht="11.25" customHeight="1">
      <c r="B50" s="420"/>
      <c r="C50" s="412"/>
      <c r="D50" s="412"/>
      <c r="E50" s="404"/>
      <c r="F50" s="421"/>
      <c r="G50" s="413"/>
      <c r="H50" s="382"/>
      <c r="I50" s="382"/>
      <c r="J50" s="382"/>
      <c r="K50" s="382"/>
      <c r="L50" s="382"/>
      <c r="M50" s="382"/>
      <c r="N50" s="382"/>
      <c r="O50" s="382"/>
      <c r="P50" s="382"/>
      <c r="Q50" s="382"/>
      <c r="R50" s="402"/>
    </row>
    <row r="51" spans="2:18" ht="11.25" customHeight="1">
      <c r="C51" s="408"/>
      <c r="K51" s="382"/>
    </row>
    <row r="52" spans="2:18" s="390" customFormat="1" ht="11.25" customHeight="1">
      <c r="B52" s="420"/>
      <c r="C52" s="384"/>
      <c r="D52" s="384"/>
      <c r="E52" s="384"/>
      <c r="F52" s="421"/>
      <c r="G52" s="413"/>
      <c r="H52" s="382"/>
      <c r="I52" s="382"/>
      <c r="J52" s="382"/>
      <c r="K52" s="379"/>
      <c r="L52" s="382"/>
      <c r="M52" s="382"/>
      <c r="N52" s="382"/>
      <c r="O52" s="382"/>
      <c r="P52" s="382"/>
      <c r="Q52" s="382"/>
      <c r="R52" s="402"/>
    </row>
    <row r="53" spans="2:18" s="390" customFormat="1" ht="12.75">
      <c r="B53" s="420"/>
      <c r="C53" s="384"/>
      <c r="D53" s="384"/>
      <c r="E53" s="384"/>
      <c r="F53" s="409"/>
      <c r="G53" s="323"/>
      <c r="H53" s="379"/>
      <c r="I53" s="379"/>
      <c r="J53" s="379"/>
      <c r="K53" s="323"/>
      <c r="L53" s="379"/>
      <c r="M53" s="379"/>
      <c r="N53" s="379"/>
      <c r="O53" s="379"/>
      <c r="P53" s="379"/>
      <c r="Q53" s="379"/>
      <c r="R53" s="402"/>
    </row>
    <row r="54" spans="2:18" s="390" customFormat="1" ht="12.75">
      <c r="B54" s="420"/>
      <c r="C54" s="384"/>
      <c r="D54" s="384"/>
      <c r="E54" s="384"/>
      <c r="F54" s="409"/>
      <c r="G54" s="323"/>
      <c r="H54" s="379"/>
      <c r="I54" s="379"/>
      <c r="J54" s="379"/>
      <c r="K54" s="323"/>
      <c r="L54" s="379"/>
      <c r="M54" s="379"/>
      <c r="N54" s="379"/>
      <c r="O54" s="379"/>
      <c r="P54" s="379"/>
      <c r="Q54" s="379"/>
      <c r="R54" s="402"/>
    </row>
    <row r="69" spans="2:18" s="390" customFormat="1" ht="12.75">
      <c r="B69" s="420"/>
      <c r="F69" s="421"/>
      <c r="G69" s="413"/>
      <c r="H69" s="382"/>
      <c r="I69" s="382"/>
      <c r="J69" s="382"/>
      <c r="K69" s="382"/>
      <c r="L69" s="382"/>
      <c r="M69" s="382"/>
      <c r="N69" s="382"/>
      <c r="O69" s="382"/>
      <c r="P69" s="382"/>
      <c r="Q69" s="382"/>
      <c r="R69" s="402"/>
    </row>
    <row r="70" spans="2:18" s="390" customFormat="1" ht="12.75">
      <c r="B70" s="420"/>
      <c r="F70" s="421"/>
      <c r="G70" s="413"/>
      <c r="H70" s="382"/>
      <c r="I70" s="382"/>
      <c r="J70" s="382"/>
      <c r="K70" s="382"/>
      <c r="L70" s="382"/>
      <c r="M70" s="382"/>
      <c r="N70" s="382"/>
      <c r="O70" s="382"/>
      <c r="P70" s="382"/>
      <c r="Q70" s="382"/>
      <c r="R70" s="402"/>
    </row>
    <row r="71" spans="2:18" s="390" customFormat="1" ht="12.75">
      <c r="B71" s="420"/>
      <c r="F71" s="421"/>
      <c r="G71" s="413"/>
      <c r="H71" s="382"/>
      <c r="I71" s="382"/>
      <c r="J71" s="382"/>
      <c r="K71" s="382"/>
      <c r="L71" s="382"/>
      <c r="M71" s="382"/>
      <c r="N71" s="382"/>
      <c r="O71" s="382"/>
      <c r="P71" s="382"/>
      <c r="Q71" s="382"/>
      <c r="R71" s="402"/>
    </row>
    <row r="72" spans="2:18" s="390" customFormat="1" ht="12.75">
      <c r="B72" s="420"/>
      <c r="F72" s="421"/>
      <c r="G72" s="413"/>
      <c r="H72" s="382"/>
      <c r="I72" s="382"/>
      <c r="J72" s="382"/>
      <c r="K72" s="382"/>
      <c r="L72" s="382"/>
      <c r="M72" s="382"/>
      <c r="N72" s="382"/>
      <c r="O72" s="382"/>
      <c r="P72" s="382"/>
      <c r="Q72" s="382"/>
      <c r="R72" s="402"/>
    </row>
    <row r="73" spans="2:18" s="390" customFormat="1" ht="12.75">
      <c r="B73" s="420"/>
      <c r="F73" s="421"/>
      <c r="G73" s="413"/>
      <c r="H73" s="382"/>
      <c r="I73" s="382"/>
      <c r="J73" s="382"/>
      <c r="K73" s="382"/>
      <c r="L73" s="382"/>
      <c r="M73" s="382"/>
      <c r="N73" s="382"/>
      <c r="O73" s="382"/>
      <c r="P73" s="382"/>
      <c r="Q73" s="382"/>
      <c r="R73" s="402"/>
    </row>
    <row r="74" spans="2:18" s="390" customFormat="1" ht="12.75">
      <c r="B74" s="420"/>
      <c r="F74" s="421"/>
      <c r="G74" s="413"/>
      <c r="H74" s="382"/>
      <c r="I74" s="382"/>
      <c r="J74" s="382"/>
      <c r="K74" s="382"/>
      <c r="L74" s="382"/>
      <c r="M74" s="382"/>
      <c r="N74" s="382"/>
      <c r="O74" s="382"/>
      <c r="P74" s="382"/>
      <c r="Q74" s="382"/>
      <c r="R74" s="402"/>
    </row>
    <row r="75" spans="2:18" s="390" customFormat="1" ht="12.75">
      <c r="B75" s="420"/>
      <c r="F75" s="421"/>
      <c r="G75" s="413"/>
      <c r="H75" s="382"/>
      <c r="I75" s="382"/>
      <c r="J75" s="382"/>
      <c r="K75" s="382"/>
      <c r="L75" s="382"/>
      <c r="M75" s="382"/>
      <c r="N75" s="382"/>
      <c r="O75" s="382"/>
      <c r="P75" s="382"/>
      <c r="Q75" s="382"/>
      <c r="R75" s="402"/>
    </row>
    <row r="76" spans="2:18" s="390" customFormat="1" ht="12.75">
      <c r="B76" s="420"/>
      <c r="F76" s="421"/>
      <c r="G76" s="413"/>
      <c r="H76" s="382"/>
      <c r="I76" s="382"/>
      <c r="J76" s="382"/>
      <c r="K76" s="382"/>
      <c r="L76" s="382"/>
      <c r="M76" s="382"/>
      <c r="N76" s="382"/>
      <c r="O76" s="382"/>
      <c r="P76" s="382"/>
      <c r="Q76" s="382"/>
      <c r="R76" s="402"/>
    </row>
    <row r="77" spans="2:18" s="390" customFormat="1" ht="12.75">
      <c r="B77" s="420"/>
      <c r="F77" s="421"/>
      <c r="G77" s="413"/>
      <c r="H77" s="382"/>
      <c r="I77" s="382"/>
      <c r="J77" s="382"/>
      <c r="K77" s="382"/>
      <c r="L77" s="382"/>
      <c r="M77" s="382"/>
      <c r="N77" s="382"/>
      <c r="O77" s="382"/>
      <c r="P77" s="382"/>
      <c r="Q77" s="382"/>
      <c r="R77" s="402"/>
    </row>
    <row r="78" spans="2:18" s="390" customFormat="1" ht="12.75">
      <c r="B78" s="420"/>
      <c r="F78" s="421"/>
      <c r="G78" s="413"/>
      <c r="H78" s="382"/>
      <c r="I78" s="382"/>
      <c r="J78" s="382"/>
      <c r="K78" s="382"/>
      <c r="L78" s="382"/>
      <c r="M78" s="382"/>
      <c r="N78" s="382"/>
      <c r="O78" s="382"/>
      <c r="P78" s="382"/>
      <c r="Q78" s="382"/>
      <c r="R78" s="402"/>
    </row>
    <row r="79" spans="2:18" s="390" customFormat="1" ht="12.75">
      <c r="B79" s="420"/>
      <c r="F79" s="421"/>
      <c r="G79" s="413"/>
      <c r="H79" s="382"/>
      <c r="I79" s="382"/>
      <c r="J79" s="382"/>
      <c r="K79" s="382"/>
      <c r="L79" s="382"/>
      <c r="M79" s="382"/>
      <c r="N79" s="382"/>
      <c r="O79" s="382"/>
      <c r="P79" s="382"/>
      <c r="Q79" s="382"/>
      <c r="R79" s="402"/>
    </row>
    <row r="80" spans="2:18" s="390" customFormat="1" ht="12.75">
      <c r="B80" s="420"/>
      <c r="F80" s="421"/>
      <c r="G80" s="413"/>
      <c r="H80" s="382"/>
      <c r="I80" s="382"/>
      <c r="J80" s="382"/>
      <c r="K80" s="382"/>
      <c r="L80" s="382"/>
      <c r="M80" s="382"/>
      <c r="N80" s="382"/>
      <c r="O80" s="382"/>
      <c r="P80" s="382"/>
      <c r="Q80" s="382"/>
      <c r="R80" s="402"/>
    </row>
    <row r="81" spans="2:18" s="390" customFormat="1" ht="12.75">
      <c r="B81" s="420"/>
      <c r="F81" s="421"/>
      <c r="G81" s="413"/>
      <c r="H81" s="382"/>
      <c r="I81" s="382"/>
      <c r="J81" s="382"/>
      <c r="K81" s="382"/>
      <c r="L81" s="382"/>
      <c r="M81" s="382"/>
      <c r="N81" s="382"/>
      <c r="O81" s="382"/>
      <c r="P81" s="382"/>
      <c r="Q81" s="382"/>
      <c r="R81" s="402"/>
    </row>
    <row r="82" spans="2:18" s="390" customFormat="1" ht="12.75">
      <c r="B82" s="420"/>
      <c r="F82" s="421"/>
      <c r="G82" s="413"/>
      <c r="H82" s="382"/>
      <c r="I82" s="382"/>
      <c r="J82" s="382"/>
      <c r="K82" s="382"/>
      <c r="L82" s="382"/>
      <c r="M82" s="382"/>
      <c r="N82" s="382"/>
      <c r="O82" s="382"/>
      <c r="P82" s="382"/>
      <c r="Q82" s="382"/>
      <c r="R82" s="402"/>
    </row>
    <row r="83" spans="2:18" s="390" customFormat="1" ht="12.75">
      <c r="B83" s="420"/>
      <c r="F83" s="421"/>
      <c r="G83" s="413"/>
      <c r="H83" s="382"/>
      <c r="I83" s="382"/>
      <c r="J83" s="382"/>
      <c r="K83" s="382"/>
      <c r="L83" s="382"/>
      <c r="M83" s="382"/>
      <c r="N83" s="382"/>
      <c r="O83" s="382"/>
      <c r="P83" s="382"/>
      <c r="Q83" s="382"/>
      <c r="R83" s="402"/>
    </row>
    <row r="84" spans="2:18" s="390" customFormat="1" ht="12.75">
      <c r="B84" s="420"/>
      <c r="F84" s="421"/>
      <c r="G84" s="413"/>
      <c r="H84" s="382"/>
      <c r="I84" s="382"/>
      <c r="J84" s="382"/>
      <c r="K84" s="382"/>
      <c r="L84" s="382"/>
      <c r="M84" s="382"/>
      <c r="N84" s="382"/>
      <c r="O84" s="382"/>
      <c r="P84" s="382"/>
      <c r="Q84" s="382"/>
      <c r="R84" s="402"/>
    </row>
    <row r="85" spans="2:18" s="390" customFormat="1" ht="12.75">
      <c r="B85" s="420"/>
      <c r="F85" s="421"/>
      <c r="G85" s="413"/>
      <c r="H85" s="382"/>
      <c r="I85" s="382"/>
      <c r="J85" s="382"/>
      <c r="K85" s="382"/>
      <c r="L85" s="382"/>
      <c r="M85" s="382"/>
      <c r="N85" s="382"/>
      <c r="O85" s="382"/>
      <c r="P85" s="382"/>
      <c r="Q85" s="382"/>
      <c r="R85" s="402"/>
    </row>
    <row r="86" spans="2:18" s="390" customFormat="1" ht="12.75">
      <c r="B86" s="420"/>
      <c r="F86" s="421"/>
      <c r="G86" s="413"/>
      <c r="H86" s="382"/>
      <c r="I86" s="382"/>
      <c r="J86" s="382"/>
      <c r="K86" s="382"/>
      <c r="L86" s="382"/>
      <c r="M86" s="382"/>
      <c r="N86" s="382"/>
      <c r="O86" s="382"/>
      <c r="P86" s="382"/>
      <c r="Q86" s="382"/>
      <c r="R86" s="402"/>
    </row>
    <row r="87" spans="2:18" s="390" customFormat="1" ht="12.75">
      <c r="B87" s="420"/>
      <c r="F87" s="421"/>
      <c r="G87" s="413"/>
      <c r="H87" s="382"/>
      <c r="I87" s="382"/>
      <c r="J87" s="382"/>
      <c r="K87" s="382"/>
      <c r="L87" s="382"/>
      <c r="M87" s="382"/>
      <c r="N87" s="382"/>
      <c r="O87" s="382"/>
      <c r="P87" s="382"/>
      <c r="Q87" s="382"/>
      <c r="R87" s="402"/>
    </row>
    <row r="88" spans="2:18" s="390" customFormat="1" ht="12.75">
      <c r="B88" s="420"/>
      <c r="F88" s="421"/>
      <c r="G88" s="413"/>
      <c r="H88" s="382"/>
      <c r="I88" s="382"/>
      <c r="J88" s="382"/>
      <c r="K88" s="382"/>
      <c r="L88" s="382"/>
      <c r="M88" s="382"/>
      <c r="N88" s="382"/>
      <c r="O88" s="382"/>
      <c r="P88" s="382"/>
      <c r="Q88" s="382"/>
      <c r="R88" s="402"/>
    </row>
    <row r="89" spans="2:18" s="390" customFormat="1" ht="12.75">
      <c r="B89" s="420"/>
      <c r="F89" s="421"/>
      <c r="G89" s="413"/>
      <c r="H89" s="382"/>
      <c r="I89" s="382"/>
      <c r="J89" s="382"/>
      <c r="K89" s="382"/>
      <c r="L89" s="382"/>
      <c r="M89" s="382"/>
      <c r="N89" s="382"/>
      <c r="O89" s="382"/>
      <c r="P89" s="382"/>
      <c r="Q89" s="382"/>
      <c r="R89" s="402"/>
    </row>
    <row r="90" spans="2:18" s="390" customFormat="1" ht="12.75">
      <c r="B90" s="420"/>
      <c r="F90" s="421"/>
      <c r="G90" s="413"/>
      <c r="H90" s="382"/>
      <c r="I90" s="382"/>
      <c r="J90" s="382"/>
      <c r="K90" s="382"/>
      <c r="L90" s="382"/>
      <c r="M90" s="382"/>
      <c r="N90" s="382"/>
      <c r="O90" s="382"/>
      <c r="P90" s="382"/>
      <c r="Q90" s="382"/>
      <c r="R90" s="402"/>
    </row>
    <row r="91" spans="2:18" s="390" customFormat="1" ht="12.75">
      <c r="B91" s="420"/>
      <c r="F91" s="421"/>
      <c r="G91" s="413"/>
      <c r="H91" s="382"/>
      <c r="I91" s="382"/>
      <c r="J91" s="382"/>
      <c r="K91" s="382"/>
      <c r="L91" s="382"/>
      <c r="M91" s="382"/>
      <c r="N91" s="382"/>
      <c r="O91" s="382"/>
      <c r="P91" s="382"/>
      <c r="Q91" s="382"/>
      <c r="R91" s="402"/>
    </row>
    <row r="92" spans="2:18" s="390" customFormat="1" ht="12.75">
      <c r="B92" s="420"/>
      <c r="F92" s="421"/>
      <c r="G92" s="413"/>
      <c r="H92" s="382"/>
      <c r="I92" s="382"/>
      <c r="J92" s="382"/>
      <c r="K92" s="382"/>
      <c r="L92" s="382"/>
      <c r="M92" s="382"/>
      <c r="N92" s="382"/>
      <c r="O92" s="382"/>
      <c r="P92" s="382"/>
      <c r="Q92" s="382"/>
      <c r="R92" s="402"/>
    </row>
    <row r="93" spans="2:18" s="390" customFormat="1" ht="12.75">
      <c r="B93" s="420"/>
      <c r="F93" s="421"/>
      <c r="G93" s="413"/>
      <c r="H93" s="382"/>
      <c r="I93" s="382"/>
      <c r="J93" s="382"/>
      <c r="K93" s="382"/>
      <c r="L93" s="382"/>
      <c r="M93" s="382"/>
      <c r="N93" s="382"/>
      <c r="O93" s="382"/>
      <c r="P93" s="382"/>
      <c r="Q93" s="382"/>
      <c r="R93" s="402"/>
    </row>
    <row r="94" spans="2:18" s="390" customFormat="1" ht="12.75">
      <c r="B94" s="420"/>
      <c r="F94" s="421"/>
      <c r="G94" s="413"/>
      <c r="H94" s="382"/>
      <c r="I94" s="382"/>
      <c r="J94" s="382"/>
      <c r="K94" s="382"/>
      <c r="L94" s="382"/>
      <c r="M94" s="382"/>
      <c r="N94" s="382"/>
      <c r="O94" s="382"/>
      <c r="P94" s="382"/>
      <c r="Q94" s="382"/>
      <c r="R94" s="402"/>
    </row>
    <row r="95" spans="2:18" s="390" customFormat="1" ht="12.75">
      <c r="B95" s="420"/>
      <c r="F95" s="421"/>
      <c r="G95" s="413"/>
      <c r="H95" s="382"/>
      <c r="I95" s="382"/>
      <c r="J95" s="382"/>
      <c r="K95" s="382"/>
      <c r="L95" s="382"/>
      <c r="M95" s="382"/>
      <c r="N95" s="382"/>
      <c r="O95" s="382"/>
      <c r="P95" s="382"/>
      <c r="Q95" s="382"/>
      <c r="R95" s="402"/>
    </row>
    <row r="96" spans="2:18" s="390" customFormat="1" ht="12.75">
      <c r="B96" s="420"/>
      <c r="F96" s="421"/>
      <c r="G96" s="413"/>
      <c r="H96" s="382"/>
      <c r="I96" s="382"/>
      <c r="J96" s="382"/>
      <c r="K96" s="382"/>
      <c r="L96" s="382"/>
      <c r="M96" s="382"/>
      <c r="N96" s="382"/>
      <c r="O96" s="382"/>
      <c r="P96" s="382"/>
      <c r="Q96" s="382"/>
      <c r="R96" s="402"/>
    </row>
    <row r="97" spans="2:18" s="390" customFormat="1" ht="12.75">
      <c r="B97" s="420"/>
      <c r="F97" s="421"/>
      <c r="G97" s="413"/>
      <c r="H97" s="382"/>
      <c r="I97" s="382"/>
      <c r="J97" s="382"/>
      <c r="K97" s="382"/>
      <c r="L97" s="382"/>
      <c r="M97" s="382"/>
      <c r="N97" s="382"/>
      <c r="O97" s="382"/>
      <c r="P97" s="382"/>
      <c r="Q97" s="382"/>
      <c r="R97" s="402"/>
    </row>
    <row r="98" spans="2:18" s="390" customFormat="1" ht="12.75">
      <c r="B98" s="420"/>
      <c r="F98" s="421"/>
      <c r="G98" s="413"/>
      <c r="H98" s="382"/>
      <c r="I98" s="382"/>
      <c r="J98" s="382"/>
      <c r="K98" s="382"/>
      <c r="L98" s="382"/>
      <c r="M98" s="382"/>
      <c r="N98" s="382"/>
      <c r="O98" s="382"/>
      <c r="P98" s="382"/>
      <c r="Q98" s="382"/>
      <c r="R98" s="402"/>
    </row>
    <row r="99" spans="2:18" s="390" customFormat="1" ht="12.75">
      <c r="B99" s="420"/>
      <c r="F99" s="421"/>
      <c r="G99" s="413"/>
      <c r="H99" s="382"/>
      <c r="I99" s="382"/>
      <c r="J99" s="382"/>
      <c r="K99" s="382"/>
      <c r="L99" s="382"/>
      <c r="M99" s="382"/>
      <c r="N99" s="382"/>
      <c r="O99" s="382"/>
      <c r="P99" s="382"/>
      <c r="Q99" s="382"/>
      <c r="R99" s="402"/>
    </row>
    <row r="100" spans="2:18" s="390" customFormat="1" ht="12.75">
      <c r="B100" s="420"/>
      <c r="F100" s="421"/>
      <c r="G100" s="413"/>
      <c r="H100" s="382"/>
      <c r="I100" s="382"/>
      <c r="J100" s="382"/>
      <c r="K100" s="382"/>
      <c r="L100" s="382"/>
      <c r="M100" s="382"/>
      <c r="N100" s="382"/>
      <c r="O100" s="382"/>
      <c r="P100" s="382"/>
      <c r="Q100" s="382"/>
      <c r="R100" s="402"/>
    </row>
    <row r="101" spans="2:18" s="390" customFormat="1" ht="12.75">
      <c r="B101" s="420"/>
      <c r="F101" s="421"/>
      <c r="G101" s="413"/>
      <c r="H101" s="382"/>
      <c r="I101" s="382"/>
      <c r="J101" s="382"/>
      <c r="K101" s="382"/>
      <c r="L101" s="382"/>
      <c r="M101" s="382"/>
      <c r="N101" s="382"/>
      <c r="O101" s="382"/>
      <c r="P101" s="382"/>
      <c r="Q101" s="382"/>
      <c r="R101" s="402"/>
    </row>
    <row r="102" spans="2:18" s="390" customFormat="1" ht="12.75">
      <c r="B102" s="420"/>
      <c r="F102" s="421"/>
      <c r="G102" s="413"/>
      <c r="H102" s="382"/>
      <c r="I102" s="382"/>
      <c r="J102" s="382"/>
      <c r="K102" s="382"/>
      <c r="L102" s="382"/>
      <c r="M102" s="382"/>
      <c r="N102" s="382"/>
      <c r="O102" s="382"/>
      <c r="P102" s="382"/>
      <c r="Q102" s="382"/>
      <c r="R102" s="402"/>
    </row>
    <row r="103" spans="2:18" s="390" customFormat="1" ht="12.75">
      <c r="B103" s="420"/>
      <c r="F103" s="421"/>
      <c r="G103" s="413"/>
      <c r="H103" s="382"/>
      <c r="I103" s="382"/>
      <c r="J103" s="382"/>
      <c r="K103" s="382"/>
      <c r="L103" s="382"/>
      <c r="M103" s="382"/>
      <c r="N103" s="382"/>
      <c r="O103" s="382"/>
      <c r="P103" s="382"/>
      <c r="Q103" s="382"/>
      <c r="R103" s="402"/>
    </row>
    <row r="104" spans="2:18" s="390" customFormat="1" ht="12.75">
      <c r="B104" s="420"/>
      <c r="F104" s="421"/>
      <c r="G104" s="413"/>
      <c r="H104" s="382"/>
      <c r="I104" s="382"/>
      <c r="J104" s="382"/>
      <c r="K104" s="382"/>
      <c r="L104" s="382"/>
      <c r="M104" s="382"/>
      <c r="N104" s="382"/>
      <c r="O104" s="382"/>
      <c r="P104" s="382"/>
      <c r="Q104" s="382"/>
      <c r="R104" s="402"/>
    </row>
    <row r="105" spans="2:18" s="390" customFormat="1" ht="12.75">
      <c r="B105" s="420"/>
      <c r="F105" s="421"/>
      <c r="G105" s="413"/>
      <c r="H105" s="382"/>
      <c r="I105" s="382"/>
      <c r="J105" s="382"/>
      <c r="K105" s="382"/>
      <c r="L105" s="382"/>
      <c r="M105" s="382"/>
      <c r="N105" s="382"/>
      <c r="O105" s="382"/>
      <c r="P105" s="382"/>
      <c r="Q105" s="382"/>
      <c r="R105" s="402"/>
    </row>
    <row r="106" spans="2:18" s="390" customFormat="1" ht="12.75">
      <c r="B106" s="420"/>
      <c r="F106" s="421"/>
      <c r="G106" s="413"/>
      <c r="H106" s="382"/>
      <c r="I106" s="382"/>
      <c r="J106" s="382"/>
      <c r="K106" s="382"/>
      <c r="L106" s="382"/>
      <c r="M106" s="382"/>
      <c r="N106" s="382"/>
      <c r="O106" s="382"/>
      <c r="P106" s="382"/>
      <c r="Q106" s="382"/>
      <c r="R106" s="402"/>
    </row>
    <row r="107" spans="2:18" s="390" customFormat="1" ht="12.75">
      <c r="B107" s="420"/>
      <c r="F107" s="421"/>
      <c r="G107" s="413"/>
      <c r="H107" s="382"/>
      <c r="I107" s="382"/>
      <c r="J107" s="382"/>
      <c r="K107" s="382"/>
      <c r="L107" s="382"/>
      <c r="M107" s="382"/>
      <c r="N107" s="382"/>
      <c r="O107" s="382"/>
      <c r="P107" s="382"/>
      <c r="Q107" s="382"/>
      <c r="R107" s="402"/>
    </row>
    <row r="108" spans="2:18" s="390" customFormat="1" ht="12.75">
      <c r="B108" s="420"/>
      <c r="F108" s="421"/>
      <c r="G108" s="413"/>
      <c r="H108" s="382"/>
      <c r="I108" s="382"/>
      <c r="J108" s="382"/>
      <c r="K108" s="382"/>
      <c r="L108" s="382"/>
      <c r="M108" s="382"/>
      <c r="N108" s="382"/>
      <c r="O108" s="382"/>
      <c r="P108" s="382"/>
      <c r="Q108" s="382"/>
      <c r="R108" s="402"/>
    </row>
    <row r="109" spans="2:18" s="390" customFormat="1" ht="12.75">
      <c r="B109" s="420"/>
      <c r="F109" s="421"/>
      <c r="G109" s="413"/>
      <c r="H109" s="382"/>
      <c r="I109" s="382"/>
      <c r="J109" s="382"/>
      <c r="K109" s="382"/>
      <c r="L109" s="382"/>
      <c r="M109" s="382"/>
      <c r="N109" s="382"/>
      <c r="O109" s="382"/>
      <c r="P109" s="382"/>
      <c r="Q109" s="382"/>
      <c r="R109" s="402"/>
    </row>
    <row r="110" spans="2:18" s="390" customFormat="1" ht="12.75">
      <c r="B110" s="420"/>
      <c r="F110" s="421"/>
      <c r="G110" s="413"/>
      <c r="H110" s="382"/>
      <c r="I110" s="382"/>
      <c r="J110" s="382"/>
      <c r="K110" s="382"/>
      <c r="L110" s="382"/>
      <c r="M110" s="382"/>
      <c r="N110" s="382"/>
      <c r="O110" s="382"/>
      <c r="P110" s="382"/>
      <c r="Q110" s="382"/>
      <c r="R110" s="402"/>
    </row>
    <row r="111" spans="2:18" s="390" customFormat="1" ht="12.75">
      <c r="B111" s="420"/>
      <c r="F111" s="421"/>
      <c r="G111" s="413"/>
      <c r="H111" s="382"/>
      <c r="I111" s="382"/>
      <c r="J111" s="382"/>
      <c r="K111" s="382"/>
      <c r="L111" s="382"/>
      <c r="M111" s="382"/>
      <c r="N111" s="382"/>
      <c r="O111" s="382"/>
      <c r="P111" s="382"/>
      <c r="Q111" s="382"/>
      <c r="R111" s="402"/>
    </row>
    <row r="112" spans="2:18" s="390" customFormat="1" ht="12.75">
      <c r="B112" s="420"/>
      <c r="F112" s="421"/>
      <c r="G112" s="413"/>
      <c r="H112" s="382"/>
      <c r="I112" s="382"/>
      <c r="J112" s="382"/>
      <c r="K112" s="382"/>
      <c r="L112" s="382"/>
      <c r="M112" s="382"/>
      <c r="N112" s="382"/>
      <c r="O112" s="382"/>
      <c r="P112" s="382"/>
      <c r="Q112" s="382"/>
      <c r="R112" s="402"/>
    </row>
    <row r="113" spans="2:18" s="390" customFormat="1" ht="12.75">
      <c r="B113" s="420"/>
      <c r="F113" s="421"/>
      <c r="G113" s="413"/>
      <c r="H113" s="382"/>
      <c r="I113" s="382"/>
      <c r="J113" s="382"/>
      <c r="K113" s="382"/>
      <c r="L113" s="382"/>
      <c r="M113" s="382"/>
      <c r="N113" s="382"/>
      <c r="O113" s="382"/>
      <c r="P113" s="382"/>
      <c r="Q113" s="382"/>
      <c r="R113" s="402"/>
    </row>
    <row r="114" spans="2:18" s="390" customFormat="1" ht="12.75">
      <c r="B114" s="420"/>
      <c r="F114" s="421"/>
      <c r="G114" s="413"/>
      <c r="H114" s="382"/>
      <c r="I114" s="382"/>
      <c r="J114" s="382"/>
      <c r="K114" s="382"/>
      <c r="L114" s="382"/>
      <c r="M114" s="382"/>
      <c r="N114" s="382"/>
      <c r="O114" s="382"/>
      <c r="P114" s="382"/>
      <c r="Q114" s="382"/>
      <c r="R114" s="402"/>
    </row>
    <row r="115" spans="2:18" s="390" customFormat="1" ht="12.75">
      <c r="B115" s="420"/>
      <c r="F115" s="421"/>
      <c r="G115" s="413"/>
      <c r="H115" s="382"/>
      <c r="I115" s="382"/>
      <c r="J115" s="382"/>
      <c r="K115" s="382"/>
      <c r="L115" s="382"/>
      <c r="M115" s="382"/>
      <c r="N115" s="382"/>
      <c r="O115" s="382"/>
      <c r="P115" s="382"/>
      <c r="Q115" s="382"/>
      <c r="R115" s="402"/>
    </row>
    <row r="116" spans="2:18" s="390" customFormat="1" ht="12.75">
      <c r="B116" s="420"/>
      <c r="F116" s="421"/>
      <c r="G116" s="413"/>
      <c r="H116" s="382"/>
      <c r="I116" s="382"/>
      <c r="J116" s="382"/>
      <c r="K116" s="382"/>
      <c r="L116" s="382"/>
      <c r="M116" s="382"/>
      <c r="N116" s="382"/>
      <c r="O116" s="382"/>
      <c r="P116" s="382"/>
      <c r="Q116" s="382"/>
      <c r="R116" s="402"/>
    </row>
    <row r="117" spans="2:18" s="390" customFormat="1" ht="12.75">
      <c r="B117" s="420"/>
      <c r="F117" s="421"/>
      <c r="G117" s="413"/>
      <c r="H117" s="382"/>
      <c r="I117" s="382"/>
      <c r="J117" s="382"/>
      <c r="K117" s="382"/>
      <c r="L117" s="382"/>
      <c r="M117" s="382"/>
      <c r="N117" s="382"/>
      <c r="O117" s="382"/>
      <c r="P117" s="382"/>
      <c r="Q117" s="382"/>
      <c r="R117" s="402"/>
    </row>
    <row r="118" spans="2:18" s="390" customFormat="1" ht="12.75">
      <c r="B118" s="420"/>
      <c r="F118" s="421"/>
      <c r="G118" s="413"/>
      <c r="H118" s="382"/>
      <c r="I118" s="382"/>
      <c r="J118" s="382"/>
      <c r="K118" s="382"/>
      <c r="L118" s="382"/>
      <c r="M118" s="382"/>
      <c r="N118" s="382"/>
      <c r="O118" s="382"/>
      <c r="P118" s="382"/>
      <c r="Q118" s="382"/>
      <c r="R118" s="402"/>
    </row>
    <row r="119" spans="2:18" s="390" customFormat="1" ht="12.75">
      <c r="B119" s="420"/>
      <c r="F119" s="421"/>
      <c r="G119" s="413"/>
      <c r="H119" s="382"/>
      <c r="I119" s="382"/>
      <c r="J119" s="382"/>
      <c r="K119" s="382"/>
      <c r="L119" s="382"/>
      <c r="M119" s="382"/>
      <c r="N119" s="382"/>
      <c r="O119" s="382"/>
      <c r="P119" s="382"/>
      <c r="Q119" s="382"/>
      <c r="R119" s="402"/>
    </row>
    <row r="120" spans="2:18" s="390" customFormat="1" ht="12.75">
      <c r="B120" s="420"/>
      <c r="F120" s="421"/>
      <c r="G120" s="413"/>
      <c r="H120" s="382"/>
      <c r="I120" s="382"/>
      <c r="J120" s="382"/>
      <c r="K120" s="382"/>
      <c r="L120" s="382"/>
      <c r="M120" s="382"/>
      <c r="N120" s="382"/>
      <c r="O120" s="382"/>
      <c r="P120" s="382"/>
      <c r="Q120" s="382"/>
      <c r="R120" s="402"/>
    </row>
    <row r="121" spans="2:18" ht="12.75">
      <c r="F121" s="421"/>
      <c r="P121" s="379"/>
      <c r="Q121" s="379"/>
    </row>
    <row r="122" spans="2:18" ht="12.75">
      <c r="F122" s="421"/>
      <c r="P122" s="379"/>
      <c r="Q122" s="379"/>
    </row>
    <row r="123" spans="2:18" ht="12.75">
      <c r="F123" s="421"/>
      <c r="P123" s="379"/>
      <c r="Q123" s="379"/>
    </row>
    <row r="124" spans="2:18" ht="12.75">
      <c r="F124" s="421"/>
      <c r="P124" s="379"/>
      <c r="Q124" s="379"/>
    </row>
    <row r="125" spans="2:18" ht="12.75">
      <c r="F125" s="421"/>
      <c r="P125" s="379"/>
      <c r="Q125" s="379"/>
    </row>
    <row r="126" spans="2:18" ht="12.75">
      <c r="F126" s="421"/>
      <c r="P126" s="379"/>
      <c r="Q126" s="379"/>
    </row>
    <row r="127" spans="2:18">
      <c r="P127" s="379"/>
      <c r="Q127" s="379"/>
    </row>
    <row r="128" spans="2:18">
      <c r="P128" s="379"/>
      <c r="Q128" s="379"/>
    </row>
    <row r="129" spans="16:17">
      <c r="P129" s="379"/>
      <c r="Q129" s="379"/>
    </row>
    <row r="130" spans="16:17">
      <c r="P130" s="379"/>
      <c r="Q130" s="379"/>
    </row>
    <row r="131" spans="16:17">
      <c r="P131" s="379"/>
      <c r="Q131" s="379"/>
    </row>
    <row r="132" spans="16:17">
      <c r="P132" s="379"/>
      <c r="Q132" s="379"/>
    </row>
    <row r="133" spans="16:17">
      <c r="P133" s="379"/>
      <c r="Q133" s="379"/>
    </row>
    <row r="134" spans="16:17">
      <c r="P134" s="379"/>
      <c r="Q134" s="379"/>
    </row>
    <row r="135" spans="16:17">
      <c r="P135" s="379"/>
      <c r="Q135" s="379"/>
    </row>
    <row r="136" spans="16:17">
      <c r="P136" s="379"/>
      <c r="Q136" s="379"/>
    </row>
    <row r="137" spans="16:17">
      <c r="P137" s="379"/>
      <c r="Q137" s="379"/>
    </row>
    <row r="138" spans="16:17">
      <c r="P138" s="379"/>
      <c r="Q138" s="379"/>
    </row>
    <row r="139" spans="16:17">
      <c r="P139" s="379"/>
      <c r="Q139" s="379"/>
    </row>
    <row r="140" spans="16:17">
      <c r="P140" s="379"/>
      <c r="Q140" s="379"/>
    </row>
    <row r="141" spans="16:17">
      <c r="P141" s="379"/>
      <c r="Q141" s="379"/>
    </row>
    <row r="142" spans="16:17">
      <c r="P142" s="379"/>
      <c r="Q142" s="379"/>
    </row>
    <row r="143" spans="16:17">
      <c r="P143" s="379"/>
      <c r="Q143" s="379"/>
    </row>
    <row r="144" spans="16:17">
      <c r="P144" s="379"/>
      <c r="Q144" s="379"/>
    </row>
    <row r="145" spans="16:17">
      <c r="P145" s="379"/>
      <c r="Q145" s="379"/>
    </row>
    <row r="146" spans="16:17">
      <c r="P146" s="379"/>
      <c r="Q146" s="379"/>
    </row>
    <row r="147" spans="16:17">
      <c r="P147" s="379"/>
      <c r="Q147" s="379"/>
    </row>
    <row r="148" spans="16:17">
      <c r="P148" s="379"/>
      <c r="Q148" s="379"/>
    </row>
    <row r="149" spans="16:17">
      <c r="P149" s="379"/>
      <c r="Q149" s="379"/>
    </row>
    <row r="150" spans="16:17">
      <c r="P150" s="379"/>
      <c r="Q150" s="379"/>
    </row>
    <row r="151" spans="16:17">
      <c r="P151" s="379"/>
      <c r="Q151" s="379"/>
    </row>
    <row r="152" spans="16:17">
      <c r="P152" s="379"/>
      <c r="Q152" s="379"/>
    </row>
    <row r="153" spans="16:17">
      <c r="P153" s="379"/>
      <c r="Q153" s="379"/>
    </row>
    <row r="154" spans="16:17">
      <c r="P154" s="379"/>
      <c r="Q154" s="379"/>
    </row>
    <row r="155" spans="16:17">
      <c r="P155" s="379"/>
      <c r="Q155" s="379"/>
    </row>
    <row r="156" spans="16:17">
      <c r="P156" s="379"/>
      <c r="Q156" s="379"/>
    </row>
    <row r="157" spans="16:17">
      <c r="P157" s="379"/>
      <c r="Q157" s="379"/>
    </row>
    <row r="158" spans="16:17">
      <c r="P158" s="379"/>
      <c r="Q158" s="379"/>
    </row>
    <row r="159" spans="16:17">
      <c r="P159" s="379"/>
      <c r="Q159" s="379"/>
    </row>
    <row r="160" spans="16:17">
      <c r="P160" s="379"/>
      <c r="Q160" s="379"/>
    </row>
    <row r="161" spans="16:17">
      <c r="P161" s="379"/>
      <c r="Q161" s="379"/>
    </row>
    <row r="162" spans="16:17">
      <c r="P162" s="379"/>
      <c r="Q162" s="379"/>
    </row>
    <row r="163" spans="16:17">
      <c r="P163" s="379"/>
      <c r="Q163" s="379"/>
    </row>
    <row r="164" spans="16:17">
      <c r="P164" s="379"/>
      <c r="Q164" s="379"/>
    </row>
    <row r="165" spans="16:17">
      <c r="P165" s="379"/>
      <c r="Q165" s="379"/>
    </row>
    <row r="166" spans="16:17">
      <c r="P166" s="379"/>
      <c r="Q166" s="379"/>
    </row>
    <row r="167" spans="16:17">
      <c r="P167" s="379"/>
      <c r="Q167" s="379"/>
    </row>
    <row r="168" spans="16:17">
      <c r="P168" s="379"/>
      <c r="Q168" s="379"/>
    </row>
    <row r="169" spans="16:17">
      <c r="P169" s="379"/>
      <c r="Q169" s="379"/>
    </row>
    <row r="170" spans="16:17">
      <c r="P170" s="379"/>
      <c r="Q170" s="379"/>
    </row>
    <row r="171" spans="16:17">
      <c r="P171" s="379"/>
      <c r="Q171" s="379"/>
    </row>
    <row r="172" spans="16:17">
      <c r="P172" s="379"/>
      <c r="Q172" s="379"/>
    </row>
    <row r="173" spans="16:17">
      <c r="P173" s="379"/>
      <c r="Q173" s="379"/>
    </row>
    <row r="174" spans="16:17">
      <c r="P174" s="379"/>
      <c r="Q174" s="379"/>
    </row>
    <row r="175" spans="16:17">
      <c r="P175" s="379"/>
      <c r="Q175" s="379"/>
    </row>
    <row r="176" spans="16:17">
      <c r="P176" s="379"/>
      <c r="Q176" s="379"/>
    </row>
    <row r="177" spans="16:17">
      <c r="P177" s="379"/>
      <c r="Q177" s="379"/>
    </row>
    <row r="178" spans="16:17">
      <c r="P178" s="379"/>
      <c r="Q178" s="379"/>
    </row>
    <row r="179" spans="16:17">
      <c r="P179" s="379"/>
      <c r="Q179" s="379"/>
    </row>
    <row r="180" spans="16:17">
      <c r="P180" s="379"/>
      <c r="Q180" s="379"/>
    </row>
    <row r="181" spans="16:17">
      <c r="P181" s="379"/>
      <c r="Q181" s="379"/>
    </row>
    <row r="182" spans="16:17">
      <c r="P182" s="379"/>
      <c r="Q182" s="379"/>
    </row>
    <row r="183" spans="16:17">
      <c r="P183" s="379"/>
      <c r="Q183" s="379"/>
    </row>
    <row r="184" spans="16:17">
      <c r="P184" s="379"/>
      <c r="Q184" s="379"/>
    </row>
    <row r="185" spans="16:17">
      <c r="P185" s="379"/>
      <c r="Q185" s="379"/>
    </row>
    <row r="186" spans="16:17">
      <c r="P186" s="379"/>
      <c r="Q186" s="379"/>
    </row>
    <row r="187" spans="16:17">
      <c r="P187" s="379"/>
      <c r="Q187" s="379"/>
    </row>
    <row r="188" spans="16:17">
      <c r="P188" s="379"/>
      <c r="Q188" s="379"/>
    </row>
    <row r="189" spans="16:17">
      <c r="P189" s="379"/>
      <c r="Q189" s="379"/>
    </row>
    <row r="190" spans="16:17">
      <c r="P190" s="379"/>
      <c r="Q190" s="379"/>
    </row>
    <row r="191" spans="16:17">
      <c r="P191" s="379"/>
      <c r="Q191" s="379"/>
    </row>
    <row r="192" spans="16:17">
      <c r="P192" s="379"/>
      <c r="Q192" s="379"/>
    </row>
    <row r="193" spans="16:17">
      <c r="P193" s="379"/>
      <c r="Q193" s="379"/>
    </row>
    <row r="194" spans="16:17">
      <c r="P194" s="379"/>
      <c r="Q194" s="379"/>
    </row>
    <row r="195" spans="16:17">
      <c r="P195" s="379"/>
      <c r="Q195" s="379"/>
    </row>
    <row r="196" spans="16:17">
      <c r="P196" s="379"/>
      <c r="Q196" s="379"/>
    </row>
    <row r="197" spans="16:17">
      <c r="P197" s="379"/>
      <c r="Q197" s="379"/>
    </row>
    <row r="198" spans="16:17">
      <c r="P198" s="379"/>
      <c r="Q198" s="379"/>
    </row>
    <row r="199" spans="16:17">
      <c r="P199" s="379"/>
      <c r="Q199" s="379"/>
    </row>
    <row r="200" spans="16:17">
      <c r="P200" s="379"/>
      <c r="Q200" s="379"/>
    </row>
    <row r="201" spans="16:17">
      <c r="P201" s="379"/>
      <c r="Q201" s="379"/>
    </row>
    <row r="202" spans="16:17">
      <c r="P202" s="379"/>
      <c r="Q202" s="379"/>
    </row>
    <row r="203" spans="16:17">
      <c r="P203" s="379"/>
      <c r="Q203" s="379"/>
    </row>
    <row r="204" spans="16:17">
      <c r="P204" s="379"/>
      <c r="Q204" s="379"/>
    </row>
    <row r="205" spans="16:17">
      <c r="P205" s="379"/>
      <c r="Q205" s="379"/>
    </row>
    <row r="206" spans="16:17">
      <c r="P206" s="379"/>
      <c r="Q206" s="379"/>
    </row>
    <row r="207" spans="16:17">
      <c r="P207" s="379"/>
      <c r="Q207" s="379"/>
    </row>
    <row r="208" spans="16:17">
      <c r="P208" s="379"/>
      <c r="Q208" s="379"/>
    </row>
    <row r="209" spans="16:17">
      <c r="P209" s="379"/>
      <c r="Q209" s="379"/>
    </row>
    <row r="210" spans="16:17">
      <c r="P210" s="379"/>
      <c r="Q210" s="379"/>
    </row>
    <row r="211" spans="16:17">
      <c r="P211" s="379"/>
      <c r="Q211" s="379"/>
    </row>
    <row r="212" spans="16:17">
      <c r="P212" s="379"/>
      <c r="Q212" s="379"/>
    </row>
    <row r="213" spans="16:17">
      <c r="P213" s="379"/>
      <c r="Q213" s="379"/>
    </row>
    <row r="214" spans="16:17">
      <c r="P214" s="379"/>
      <c r="Q214" s="379"/>
    </row>
    <row r="215" spans="16:17">
      <c r="P215" s="379"/>
      <c r="Q215" s="379"/>
    </row>
    <row r="216" spans="16:17">
      <c r="P216" s="379"/>
      <c r="Q216" s="379"/>
    </row>
    <row r="217" spans="16:17">
      <c r="P217" s="379"/>
      <c r="Q217" s="379"/>
    </row>
    <row r="218" spans="16:17">
      <c r="P218" s="379"/>
      <c r="Q218" s="379"/>
    </row>
    <row r="219" spans="16:17">
      <c r="P219" s="379"/>
      <c r="Q219" s="379"/>
    </row>
    <row r="220" spans="16:17">
      <c r="P220" s="379"/>
      <c r="Q220" s="379"/>
    </row>
    <row r="221" spans="16:17">
      <c r="P221" s="379"/>
      <c r="Q221" s="379"/>
    </row>
    <row r="222" spans="16:17">
      <c r="P222" s="379"/>
      <c r="Q222" s="379"/>
    </row>
    <row r="223" spans="16:17">
      <c r="P223" s="379"/>
      <c r="Q223" s="379"/>
    </row>
    <row r="224" spans="16:17">
      <c r="P224" s="379"/>
      <c r="Q224" s="379"/>
    </row>
    <row r="225" spans="16:17">
      <c r="P225" s="379"/>
      <c r="Q225" s="379"/>
    </row>
    <row r="226" spans="16:17">
      <c r="P226" s="379"/>
      <c r="Q226" s="379"/>
    </row>
    <row r="227" spans="16:17">
      <c r="P227" s="379"/>
      <c r="Q227" s="379"/>
    </row>
    <row r="228" spans="16:17">
      <c r="P228" s="379"/>
      <c r="Q228" s="379"/>
    </row>
    <row r="229" spans="16:17">
      <c r="P229" s="379"/>
      <c r="Q229" s="379"/>
    </row>
    <row r="230" spans="16:17">
      <c r="P230" s="379"/>
      <c r="Q230" s="379"/>
    </row>
    <row r="231" spans="16:17">
      <c r="P231" s="379"/>
      <c r="Q231" s="379"/>
    </row>
    <row r="232" spans="16:17">
      <c r="P232" s="379"/>
      <c r="Q232" s="379"/>
    </row>
    <row r="233" spans="16:17">
      <c r="P233" s="379"/>
      <c r="Q233" s="379"/>
    </row>
    <row r="234" spans="16:17">
      <c r="P234" s="379"/>
      <c r="Q234" s="379"/>
    </row>
    <row r="235" spans="16:17">
      <c r="P235" s="379"/>
      <c r="Q235" s="379"/>
    </row>
    <row r="236" spans="16:17">
      <c r="P236" s="379"/>
      <c r="Q236" s="379"/>
    </row>
    <row r="237" spans="16:17">
      <c r="P237" s="379"/>
      <c r="Q237" s="379"/>
    </row>
    <row r="238" spans="16:17">
      <c r="P238" s="379"/>
      <c r="Q238" s="379"/>
    </row>
    <row r="239" spans="16:17">
      <c r="P239" s="379"/>
      <c r="Q239" s="379"/>
    </row>
    <row r="240" spans="16:17">
      <c r="P240" s="379"/>
      <c r="Q240" s="379"/>
    </row>
    <row r="241" spans="16:17">
      <c r="P241" s="379"/>
      <c r="Q241" s="379"/>
    </row>
    <row r="242" spans="16:17">
      <c r="P242" s="379"/>
      <c r="Q242" s="379"/>
    </row>
    <row r="243" spans="16:17">
      <c r="P243" s="379"/>
      <c r="Q243" s="379"/>
    </row>
    <row r="244" spans="16:17">
      <c r="P244" s="379"/>
      <c r="Q244" s="379"/>
    </row>
    <row r="245" spans="16:17">
      <c r="P245" s="379"/>
      <c r="Q245" s="379"/>
    </row>
    <row r="246" spans="16:17">
      <c r="P246" s="379"/>
      <c r="Q246" s="379"/>
    </row>
    <row r="247" spans="16:17">
      <c r="P247" s="379"/>
      <c r="Q247" s="379"/>
    </row>
    <row r="248" spans="16:17">
      <c r="P248" s="379"/>
      <c r="Q248" s="379"/>
    </row>
    <row r="249" spans="16:17">
      <c r="P249" s="379"/>
      <c r="Q249" s="379"/>
    </row>
    <row r="250" spans="16:17">
      <c r="P250" s="379"/>
      <c r="Q250" s="379"/>
    </row>
    <row r="251" spans="16:17">
      <c r="P251" s="379"/>
      <c r="Q251" s="379"/>
    </row>
    <row r="252" spans="16:17">
      <c r="P252" s="379"/>
      <c r="Q252" s="379"/>
    </row>
    <row r="253" spans="16:17">
      <c r="P253" s="379"/>
      <c r="Q253" s="379"/>
    </row>
    <row r="254" spans="16:17">
      <c r="P254" s="379"/>
      <c r="Q254" s="379"/>
    </row>
    <row r="255" spans="16:17">
      <c r="P255" s="379"/>
      <c r="Q255" s="379"/>
    </row>
    <row r="256" spans="16:17">
      <c r="P256" s="379"/>
      <c r="Q256" s="379"/>
    </row>
    <row r="257" spans="16:17">
      <c r="P257" s="379"/>
      <c r="Q257" s="379"/>
    </row>
    <row r="258" spans="16:17">
      <c r="P258" s="379"/>
      <c r="Q258" s="379"/>
    </row>
    <row r="259" spans="16:17">
      <c r="P259" s="379"/>
      <c r="Q259" s="379"/>
    </row>
    <row r="260" spans="16:17">
      <c r="P260" s="379"/>
      <c r="Q260" s="379"/>
    </row>
    <row r="261" spans="16:17">
      <c r="P261" s="379"/>
      <c r="Q261" s="379"/>
    </row>
    <row r="262" spans="16:17">
      <c r="P262" s="379"/>
      <c r="Q262" s="379"/>
    </row>
    <row r="263" spans="16:17">
      <c r="P263" s="379"/>
      <c r="Q263" s="379"/>
    </row>
    <row r="264" spans="16:17">
      <c r="P264" s="379"/>
      <c r="Q264" s="379"/>
    </row>
    <row r="265" spans="16:17">
      <c r="P265" s="379"/>
      <c r="Q265" s="379"/>
    </row>
    <row r="266" spans="16:17">
      <c r="P266" s="379"/>
      <c r="Q266" s="379"/>
    </row>
    <row r="267" spans="16:17">
      <c r="P267" s="379"/>
      <c r="Q267" s="379"/>
    </row>
    <row r="268" spans="16:17">
      <c r="P268" s="379"/>
      <c r="Q268" s="379"/>
    </row>
    <row r="269" spans="16:17">
      <c r="P269" s="379"/>
      <c r="Q269" s="379"/>
    </row>
    <row r="270" spans="16:17">
      <c r="P270" s="379"/>
      <c r="Q270" s="379"/>
    </row>
    <row r="271" spans="16:17">
      <c r="P271" s="379"/>
      <c r="Q271" s="379"/>
    </row>
    <row r="272" spans="16:17">
      <c r="P272" s="379"/>
      <c r="Q272" s="379"/>
    </row>
    <row r="273" spans="16:17">
      <c r="P273" s="379"/>
      <c r="Q273" s="379"/>
    </row>
    <row r="274" spans="16:17">
      <c r="P274" s="379"/>
      <c r="Q274" s="379"/>
    </row>
    <row r="275" spans="16:17">
      <c r="P275" s="379"/>
      <c r="Q275" s="379"/>
    </row>
    <row r="276" spans="16:17">
      <c r="P276" s="379"/>
      <c r="Q276" s="379"/>
    </row>
    <row r="277" spans="16:17">
      <c r="P277" s="379"/>
      <c r="Q277" s="379"/>
    </row>
    <row r="278" spans="16:17">
      <c r="P278" s="379"/>
      <c r="Q278" s="379"/>
    </row>
    <row r="279" spans="16:17">
      <c r="P279" s="379"/>
      <c r="Q279" s="379"/>
    </row>
    <row r="280" spans="16:17">
      <c r="P280" s="379"/>
      <c r="Q280" s="379"/>
    </row>
    <row r="281" spans="16:17">
      <c r="P281" s="379"/>
      <c r="Q281" s="379"/>
    </row>
    <row r="282" spans="16:17">
      <c r="P282" s="379"/>
      <c r="Q282" s="379"/>
    </row>
    <row r="283" spans="16:17">
      <c r="P283" s="379"/>
      <c r="Q283" s="379"/>
    </row>
    <row r="284" spans="16:17">
      <c r="P284" s="379"/>
      <c r="Q284" s="379"/>
    </row>
    <row r="285" spans="16:17">
      <c r="P285" s="379"/>
      <c r="Q285" s="379"/>
    </row>
    <row r="286" spans="16:17">
      <c r="P286" s="379"/>
      <c r="Q286" s="379"/>
    </row>
    <row r="287" spans="16:17">
      <c r="P287" s="379"/>
      <c r="Q287" s="379"/>
    </row>
    <row r="288" spans="16:17">
      <c r="P288" s="379"/>
      <c r="Q288" s="379"/>
    </row>
    <row r="289" spans="16:17">
      <c r="P289" s="379"/>
      <c r="Q289" s="379"/>
    </row>
    <row r="290" spans="16:17">
      <c r="P290" s="379"/>
      <c r="Q290" s="379"/>
    </row>
    <row r="291" spans="16:17">
      <c r="P291" s="379"/>
      <c r="Q291" s="379"/>
    </row>
    <row r="292" spans="16:17">
      <c r="P292" s="379"/>
      <c r="Q292" s="379"/>
    </row>
  </sheetData>
  <sheetProtection algorithmName="SHA-512" hashValue="h+sC+5FLvVrE6a+pZAwgXTH/DyBwmVDMMBOU/DNCXVHjY23m3lhauDmcDujBmeyqpQfNJNfgGKZmJ3X1GVYZbw==" saltValue="Dj6EkYPTzSTzU/1/PXDAzg==" spinCount="100000" sheet="1" objects="1" scenarios="1"/>
  <mergeCells count="7">
    <mergeCell ref="B2:Q2"/>
    <mergeCell ref="C49:Q49"/>
    <mergeCell ref="B3:B5"/>
    <mergeCell ref="C3:C5"/>
    <mergeCell ref="D3:E5"/>
    <mergeCell ref="F3:F4"/>
    <mergeCell ref="B34:Q34"/>
  </mergeCells>
  <pageMargins left="0.6" right="0.25" top="0.25" bottom="0.25" header="0.3" footer="0.3"/>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V i E V k i y 5 f i k A A A A 9 g A A A B I A H A B D b 2 5 m a W c v U G F j a 2 F n Z S 5 4 b W w g o h g A K K A U A A A A A A A A A A A A A A A A A A A A A A A A A A A A h Y 8 x D o I w G I W v Q r r T l m o M I a U M r p K Y E I 1 r U y o 0 w o + h x X I 3 B 4 / k F c Q o 6 u b 4 v v c N 7 9 2 v N 5 6 N b R N c d G 9 N B y m K M E W B B t W V B q o U D e 4 Y x i g T f C v V S V Y 6 m G S w y W j L F N X O n R N C v P f Y L 3 D X V 4 R R G p F D v i l U r V u J P r L 5 L 4 c G r J O g N B J 8 / x o j G I 6 i J Y 5 X D F N O Z s h z A 1 + B T X u f 7 Q / k 6 6 F x Q 6 + F h n B X c D J H T t 4 f x A N Q S w M E F A A C A A g A Y V i E 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F Y h F Y o i k e 4 D g A A A B E A A A A T A B w A R m 9 y b X V s Y X M v U 2 V j d G l v b j E u b S C i G A A o o B Q A A A A A A A A A A A A A A A A A A A A A A A A A A A A r T k 0 u y c z P U w i G 0 I b W A F B L A Q I t A B Q A A g A I A G F Y h F Z I s u X 4 p A A A A P Y A A A A S A A A A A A A A A A A A A A A A A A A A A A B D b 2 5 m a W c v U G F j a 2 F n Z S 5 4 b W x Q S w E C L Q A U A A I A C A B h W I R W D 8 r p q 6 Q A A A D p A A A A E w A A A A A A A A A A A A A A A A D w A A A A W 0 N v b n R l b n R f V H l w Z X N d L n h t b F B L A Q I t A B Q A A g A I A G F Y h 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b o t t J h w P O S p + v p i G d x Q J e A A A A A A I A A A A A A B B m A A A A A Q A A I A A A A F t c b A A Q u 7 h m b 5 P B E a o O J a 2 p t t w 8 l I n F g 7 F C Y A S o h 0 O 5 A A A A A A 6 A A A A A A g A A I A A A A M u y e L f W E c 2 4 m s M X L h c V R U 9 F p 6 O S q l A A R I O 0 P f 0 U M 1 D R U A A A A E s U h f A x C Z R I V I b m l y U U J J E d o p n d e q N 4 P K 3 Z v h n X Z a D 0 s j s E U C i w W E S C o 7 q m n q g c 7 p S w M l 9 A V l l e B h i 3 9 S H f k q 6 D 8 j 8 M O V 9 U A q W V y R z B Y A J g Q A A A A B F y Y N G I V O 4 2 i n 4 B J S 6 Z U 5 / M C t w G k F 8 j 2 3 w e y q s C S 3 x S z 9 c F B v a 7 m 1 b m m T x 8 2 E 5 5 v W e Y B k e 1 E D u O r Y 6 J P W S t k + s = < / D a t a M a s h u p > 
</file>

<file path=customXml/itemProps1.xml><?xml version="1.0" encoding="utf-8"?>
<ds:datastoreItem xmlns:ds="http://schemas.openxmlformats.org/officeDocument/2006/customXml" ds:itemID="{8F09E1A6-970C-428A-B7B3-537C473DEBF7}">
  <ds:schemaRefs>
    <ds:schemaRef ds:uri="http://schemas.microsoft.com/DataMashup"/>
  </ds:schemaRefs>
</ds:datastoreItem>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Updates</vt:lpstr>
      <vt:lpstr>1. Total PFAS Calculator</vt:lpstr>
      <vt:lpstr>2. Sample Data Input</vt:lpstr>
      <vt:lpstr>3. PFAS Summary Action Levels</vt:lpstr>
      <vt:lpstr>4. Solids Total PFASs Risk</vt:lpstr>
      <vt:lpstr>5. Liquids Total PFASs Risk</vt:lpstr>
      <vt:lpstr>6. Aquatic Toxicity Risk</vt:lpstr>
      <vt:lpstr>Default Action Level Constants</vt:lpstr>
      <vt:lpstr>'1. Total PFAS Calculator'!Print_Area</vt:lpstr>
      <vt:lpstr>'2. Sample Data Input'!Print_Area</vt:lpstr>
      <vt:lpstr>'3. PFAS Summary Action Levels'!Print_Area</vt:lpstr>
      <vt:lpstr>'4. Solids Total PFASs Risk'!Print_Area</vt:lpstr>
      <vt:lpstr>'5. Liquids Total PFASs Risk'!Print_Area</vt:lpstr>
      <vt:lpstr>'6. Aquatic Toxicity Risk'!Print_Area</vt:lpstr>
      <vt:lpstr>'Default Action Level Constants'!Print_Area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Brewer</dc:creator>
  <cp:lastModifiedBy>Honua Palolo</cp:lastModifiedBy>
  <cp:lastPrinted>2026-01-24T16:09:41Z</cp:lastPrinted>
  <dcterms:created xsi:type="dcterms:W3CDTF">1999-05-06T02:39:42Z</dcterms:created>
  <dcterms:modified xsi:type="dcterms:W3CDTF">2026-02-02T22:19:15Z</dcterms:modified>
</cp:coreProperties>
</file>