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roger.brewer\000 Current\PFASs\PFAS EALs\AA PFAS EALs Guidance\PFAS EALs (Nov 2024)\Memorandum\"/>
    </mc:Choice>
  </mc:AlternateContent>
  <xr:revisionPtr revIDLastSave="0" documentId="13_ncr:1_{446CBE49-439E-464F-99F7-8E5F6A4E6FEA}" xr6:coauthVersionLast="44" xr6:coauthVersionMax="44" xr10:uidLastSave="{00000000-0000-0000-0000-000000000000}"/>
  <bookViews>
    <workbookView xWindow="-28455" yWindow="105" windowWidth="27705" windowHeight="14970" tabRatio="876" firstSheet="2" activeTab="3" xr2:uid="{00000000-000D-0000-FFFF-FFFF00000000}"/>
  </bookViews>
  <sheets>
    <sheet name="PFASs Nomenclature" sheetId="98" r:id="rId1"/>
    <sheet name="Updates" sheetId="89" r:id="rId2"/>
    <sheet name="1. EAL Surfer - Instructions" sheetId="57" r:id="rId3"/>
    <sheet name="2. EAL Surfer - Summary EALs" sheetId="56" r:id="rId4"/>
    <sheet name="3. EAL Surfer - Detailed EALs" sheetId="53" r:id="rId5"/>
    <sheet name="4. EAL Surfer - Surfer Report" sheetId="52" r:id="rId6"/>
    <sheet name="5.ESL Surfer - Chemical Summary" sheetId="50" r:id="rId7"/>
    <sheet name="6. Advanced EHE Options" sheetId="66" r:id="rId8"/>
    <sheet name="7. EAL Surfer - Glossary" sheetId="51" r:id="rId9"/>
    <sheet name="Surfer Compiler HDOH" sheetId="80" state="hidden" r:id="rId10"/>
    <sheet name="Summary Table A (Soil &amp; GW-DW)" sheetId="1" r:id="rId11"/>
    <sheet name="Summary Table B (Soil &amp; GW-NDW)" sheetId="2" r:id="rId12"/>
    <sheet name="Summary Table C (IA &amp; Soil Vap)" sheetId="5" r:id="rId13"/>
    <sheet name="Summary Table D (SW)" sheetId="6" r:id="rId14"/>
    <sheet name="Summary Table E Leaching SV" sheetId="93" r:id="rId15"/>
    <sheet name="Table A-1 (DW,SW&gt;150m)" sheetId="7" r:id="rId16"/>
    <sheet name="Table A-2 (DW, SW&lt;150m)" sheetId="8" r:id="rId17"/>
    <sheet name="Table B-1 (NDW,SW&gt;150m)" sheetId="9" r:id="rId18"/>
    <sheet name="Table B-2 (NDW, SW&lt;150m)" sheetId="10" r:id="rId19"/>
    <sheet name="Table C-1a (GW to IA)" sheetId="15" r:id="rId20"/>
    <sheet name="Table C-1b (Soil to IA)" sheetId="16" r:id="rId21"/>
    <sheet name="Table C-2 (Soil Vapor to IA)" sheetId="17" r:id="rId22"/>
    <sheet name="Table C-3 (Indoor Air Goals)" sheetId="18" r:id="rId23"/>
    <sheet name="Table D-1a (DW, SW&lt;150m)" sheetId="19" r:id="rId24"/>
    <sheet name="Table D-1b (DW, SW&gt;150m)" sheetId="20" r:id="rId25"/>
    <sheet name="Table D-1c (NDW, SW&lt;150m)" sheetId="70" r:id="rId26"/>
    <sheet name="Table D-1d (NDW, SW&gt;150m)" sheetId="69" r:id="rId27"/>
    <sheet name="Table D-2a (SW-Fresh)" sheetId="21" r:id="rId28"/>
    <sheet name="Table D-2b (SW-Marine)" sheetId="22" r:id="rId29"/>
    <sheet name="Table D-2c (SW-Estuary)" sheetId="23" r:id="rId30"/>
    <sheet name="Table D-3a (Final DW-Toxicity)" sheetId="25" r:id="rId31"/>
    <sheet name="Table D-3b  (Risk-Based DW ALs)" sheetId="33" r:id="rId32"/>
    <sheet name="Table D-4a (Aquatic Goals Sum)" sheetId="63" r:id="rId33"/>
    <sheet name="Table D-4b (Chronic Summary)" sheetId="27" r:id="rId34"/>
    <sheet name="Table D-4c (Acute Summary)" sheetId="62" r:id="rId35"/>
    <sheet name="Table D-4d (Aquatic Hawaii)" sheetId="67" r:id="rId36"/>
    <sheet name="Table D-4e (Aquatic USEPA, etc)" sheetId="29" r:id="rId37"/>
    <sheet name="Table D-4f (Aquatic Bioacc.)" sheetId="30" r:id="rId38"/>
    <sheet name="Table D-5 (Agricultural Use)" sheetId="31" r:id="rId39"/>
    <sheet name="Table E-1 Leaching Soil" sheetId="34" r:id="rId40"/>
    <sheet name="Table E-2 Leaching Soil Vapor" sheetId="92" r:id="rId41"/>
    <sheet name="Table F-1 (Ceiling Level Index)" sheetId="35" r:id="rId42"/>
    <sheet name="Table F-2 (Exposed Soils)" sheetId="36" r:id="rId43"/>
    <sheet name="Table F-3 (Isolated Soils)" sheetId="37" r:id="rId44"/>
    <sheet name="Table G-1 (GW-DW Ceiling)" sheetId="38" r:id="rId45"/>
    <sheet name="Table G-2 (GW-NDW Ceiling)" sheetId="39" r:id="rId46"/>
    <sheet name="Table G-3 (SW-DW Ceiling)" sheetId="40" r:id="rId47"/>
    <sheet name="Table G-4 (SW-NDW Ceiling)" sheetId="41" r:id="rId48"/>
    <sheet name="Table H (Constants)" sheetId="42" r:id="rId49"/>
    <sheet name="Table I-1 (Unrestricted SoilDE)" sheetId="46" r:id="rId50"/>
    <sheet name="Table I-2 (C-I Soil DE)" sheetId="47" r:id="rId51"/>
    <sheet name="Table I-3 (Construction DE)" sheetId="48" r:id="rId52"/>
    <sheet name="Table J (Target Health Effects)" sheetId="49" r:id="rId53"/>
    <sheet name="Table K (Soil Background)" sheetId="60" r:id="rId54"/>
    <sheet name="Table L (Soil Ecotoxicity)" sheetId="59" r:id="rId55"/>
  </sheets>
  <definedNames>
    <definedName name="_xlnm.Print_Area" localSheetId="2">'1. EAL Surfer - Instructions'!$B$2:$J$28</definedName>
    <definedName name="_xlnm.Print_Area" localSheetId="3">'2. EAL Surfer - Summary EALs'!$B$1:$L$41</definedName>
    <definedName name="_xlnm.Print_Area" localSheetId="4">'3. EAL Surfer - Detailed EALs'!$A$1:$P$36</definedName>
    <definedName name="_xlnm.Print_Area" localSheetId="5">'4. EAL Surfer - Surfer Report'!$A$1:$H$51</definedName>
    <definedName name="_xlnm.Print_Area" localSheetId="6">'5.ESL Surfer - Chemical Summary'!$B$1:$F$40</definedName>
    <definedName name="_xlnm.Print_Area" localSheetId="7">'6. Advanced EHE Options'!$A$1:$M$22</definedName>
    <definedName name="_xlnm.Print_Area" localSheetId="10">'Summary Table A (Soil &amp; GW-DW)'!$A$1:$E$44</definedName>
    <definedName name="_xlnm.Print_Area" localSheetId="14">'Summary Table E Leaching SV'!$A$1:$C$32</definedName>
    <definedName name="_xlnm.Print_Area" localSheetId="22">'Table C-3 (Indoor Air Goals)'!$A$1:$L$44</definedName>
    <definedName name="_xlnm.Print_Area" localSheetId="23">'Table D-1a (DW, SW&lt;150m)'!$A$1:$G$42</definedName>
    <definedName name="_xlnm.Print_Area" localSheetId="24">'Table D-1b (DW, SW&gt;150m)'!$A$1:$G$43</definedName>
    <definedName name="_xlnm.Print_Area" localSheetId="25">'Table D-1c (NDW, SW&lt;150m)'!$A$1:$F$42</definedName>
    <definedName name="_xlnm.Print_Area" localSheetId="28">'Table D-2b (SW-Marine)'!$A$1:$F$40</definedName>
    <definedName name="_xlnm.Print_Area" localSheetId="29">'Table D-2c (SW-Estuary)'!$A$1:$F$40</definedName>
    <definedName name="_xlnm.Print_Area" localSheetId="36">'Table D-4e (Aquatic USEPA, etc)'!$A$1:$M$51</definedName>
    <definedName name="_xlnm.Print_Area" localSheetId="48">'Table H (Constants)'!$B$1:$T$42</definedName>
    <definedName name="_xlnm.Print_Area" localSheetId="52">'Table J (Target Health Effects)'!$A$1:$O$54</definedName>
    <definedName name="_xlnm.Print_Area" localSheetId="53">'Table K (Soil Background)'!$A$1:$E$33</definedName>
    <definedName name="_xlnm.Print_Titles" localSheetId="10">'Summary Table A (Soil &amp; GW-DW)'!$1:$4</definedName>
    <definedName name="_xlnm.Print_Titles" localSheetId="11">'Summary Table B (Soil &amp; GW-NDW)'!$1:$4</definedName>
    <definedName name="_xlnm.Print_Titles" localSheetId="12">'Summary Table C (IA &amp; Soil Vap)'!$1:$4</definedName>
    <definedName name="_xlnm.Print_Titles" localSheetId="13">'Summary Table D (SW)'!$1:$4</definedName>
    <definedName name="_xlnm.Print_Titles" localSheetId="14">'Summary Table E Leaching SV'!$1:$3</definedName>
    <definedName name="_xlnm.Print_Titles" localSheetId="15">'Table A-1 (DW,SW&gt;150m)'!$1:$6</definedName>
    <definedName name="_xlnm.Print_Titles" localSheetId="16">'Table A-2 (DW, SW&lt;150m)'!$1:$6</definedName>
    <definedName name="_xlnm.Print_Titles" localSheetId="17">'Table B-1 (NDW,SW&gt;150m)'!$1:$6</definedName>
    <definedName name="_xlnm.Print_Titles" localSheetId="18">'Table B-2 (NDW, SW&lt;150m)'!$1:$6</definedName>
    <definedName name="_xlnm.Print_Titles" localSheetId="19">'Table C-1a (GW to IA)'!$1:$4</definedName>
    <definedName name="_xlnm.Print_Titles" localSheetId="20">'Table C-1b (Soil to IA)'!$1:$4</definedName>
    <definedName name="_xlnm.Print_Titles" localSheetId="21">'Table C-2 (Soil Vapor to IA)'!$1:$6</definedName>
    <definedName name="_xlnm.Print_Titles" localSheetId="22">'Table C-3 (Indoor Air Goals)'!$1:$7</definedName>
    <definedName name="_xlnm.Print_Titles" localSheetId="23">'Table D-1a (DW, SW&lt;150m)'!$1:$5</definedName>
    <definedName name="_xlnm.Print_Titles" localSheetId="24">'Table D-1b (DW, SW&gt;150m)'!$1:$5</definedName>
    <definedName name="_xlnm.Print_Titles" localSheetId="25">'Table D-1c (NDW, SW&lt;150m)'!$1:$5</definedName>
    <definedName name="_xlnm.Print_Titles" localSheetId="26">'Table D-1d (NDW, SW&gt;150m)'!$1:$5</definedName>
    <definedName name="_xlnm.Print_Titles" localSheetId="27">'Table D-2a (SW-Fresh)'!$1:$5</definedName>
    <definedName name="_xlnm.Print_Titles" localSheetId="28">'Table D-2b (SW-Marine)'!$1:$5</definedName>
    <definedName name="_xlnm.Print_Titles" localSheetId="29">'Table D-2c (SW-Estuary)'!$1:$5</definedName>
    <definedName name="_xlnm.Print_Titles" localSheetId="30">'Table D-3a (Final DW-Toxicity)'!$1:$4</definedName>
    <definedName name="_xlnm.Print_Titles" localSheetId="31">'Table D-3b  (Risk-Based DW ALs)'!$1:$4</definedName>
    <definedName name="_xlnm.Print_Titles" localSheetId="32">'Table D-4a (Aquatic Goals Sum)'!$1:$4</definedName>
    <definedName name="_xlnm.Print_Titles" localSheetId="33">'Table D-4b (Chronic Summary)'!$1:$4</definedName>
    <definedName name="_xlnm.Print_Titles" localSheetId="34">'Table D-4c (Acute Summary)'!$1:$4</definedName>
    <definedName name="_xlnm.Print_Titles" localSheetId="35">'Table D-4d (Aquatic Hawaii)'!$1:$4</definedName>
    <definedName name="_xlnm.Print_Titles" localSheetId="36">'Table D-4e (Aquatic USEPA, etc)'!$1:$5</definedName>
    <definedName name="_xlnm.Print_Titles" localSheetId="37">'Table D-4f (Aquatic Bioacc.)'!$1:$4</definedName>
    <definedName name="_xlnm.Print_Titles" localSheetId="38">'Table D-5 (Agricultural Use)'!$1:$4</definedName>
    <definedName name="_xlnm.Print_Titles" localSheetId="39">'Table E-1 Leaching Soil'!$1:$6</definedName>
    <definedName name="_xlnm.Print_Titles" localSheetId="40">'Table E-2 Leaching Soil Vapor'!$1:$4</definedName>
    <definedName name="_xlnm.Print_Titles" localSheetId="42">'Table F-2 (Exposed Soils)'!$1:$3</definedName>
    <definedName name="_xlnm.Print_Titles" localSheetId="43">'Table F-3 (Isolated Soils)'!$1:$3</definedName>
    <definedName name="_xlnm.Print_Titles" localSheetId="44">'Table G-1 (GW-DW Ceiling)'!$1:$3</definedName>
    <definedName name="_xlnm.Print_Titles" localSheetId="45">'Table G-2 (GW-NDW Ceiling)'!$1:$3</definedName>
    <definedName name="_xlnm.Print_Titles" localSheetId="46">'Table G-3 (SW-DW Ceiling)'!$1:$3</definedName>
    <definedName name="_xlnm.Print_Titles" localSheetId="47">'Table G-4 (SW-NDW Ceiling)'!$1:$3</definedName>
    <definedName name="_xlnm.Print_Titles" localSheetId="48">'Table H (Constants)'!$1:$2</definedName>
    <definedName name="_xlnm.Print_Titles" localSheetId="49">'Table I-1 (Unrestricted SoilDE)'!$1:$5</definedName>
    <definedName name="_xlnm.Print_Titles" localSheetId="50">'Table I-2 (C-I Soil DE)'!$1:$5</definedName>
    <definedName name="_xlnm.Print_Titles" localSheetId="51">'Table I-3 (Construction DE)'!$1:$5</definedName>
    <definedName name="_xlnm.Print_Titles" localSheetId="52">'Table J (Target Health Effects)'!$1:$3</definedName>
    <definedName name="_xlnm.Print_Titles" localSheetId="53">'Table K (Soil Background)'!$1:$3</definedName>
    <definedName name="_xlnm.Print_Titles" localSheetId="54">'Table L (Soil Ecotoxicity)'!$1:$4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40" i="56" l="1"/>
  <c r="AC40" i="56" l="1"/>
  <c r="Z40" i="56"/>
  <c r="O40" i="56"/>
  <c r="P40" i="56"/>
  <c r="N40" i="56" s="1"/>
  <c r="Q40" i="56"/>
  <c r="H13" i="56"/>
  <c r="AC35" i="56"/>
  <c r="AC36" i="56"/>
  <c r="AC37" i="56"/>
  <c r="AC38" i="56"/>
  <c r="Z39" i="56"/>
  <c r="AC42" i="56"/>
  <c r="AC43" i="56"/>
  <c r="AC44" i="56"/>
  <c r="Z45" i="56"/>
  <c r="AC46" i="56"/>
  <c r="AC47" i="56"/>
  <c r="AC48" i="56"/>
  <c r="AC49" i="56"/>
  <c r="AC50" i="56"/>
  <c r="Z51" i="56"/>
  <c r="Z52" i="56"/>
  <c r="Z53" i="56"/>
  <c r="W54" i="56"/>
  <c r="Z54" i="56"/>
  <c r="Y54" i="56"/>
  <c r="AB54" i="56"/>
  <c r="AD54" i="56"/>
  <c r="Z55" i="56"/>
  <c r="Y55" i="56"/>
  <c r="AB55" i="56" s="1"/>
  <c r="AD55" i="56" s="1"/>
  <c r="Z56" i="56"/>
  <c r="Y56" i="56"/>
  <c r="AB56" i="56"/>
  <c r="AD56" i="56"/>
  <c r="Z57" i="56"/>
  <c r="AB57" i="56"/>
  <c r="AD57" i="56"/>
  <c r="Z58" i="56"/>
  <c r="AB58" i="56"/>
  <c r="AD58" i="56"/>
  <c r="Z59" i="56"/>
  <c r="AB59" i="56"/>
  <c r="AD59" i="56"/>
  <c r="Z35" i="56"/>
  <c r="Z36" i="56"/>
  <c r="Z37" i="56"/>
  <c r="Z38" i="56"/>
  <c r="Z41" i="56"/>
  <c r="Z42" i="56"/>
  <c r="Z43" i="56"/>
  <c r="Z44" i="56"/>
  <c r="Z46" i="56"/>
  <c r="Z47" i="56"/>
  <c r="Z48" i="56"/>
  <c r="Z49" i="56"/>
  <c r="Z50" i="56"/>
  <c r="W37" i="56"/>
  <c r="W49" i="56"/>
  <c r="O35" i="56"/>
  <c r="P35" i="56"/>
  <c r="N35" i="56" s="1"/>
  <c r="Q35" i="56"/>
  <c r="P36" i="56"/>
  <c r="N36" i="56"/>
  <c r="O36" i="56"/>
  <c r="Q36" i="56"/>
  <c r="P37" i="56"/>
  <c r="N37" i="56"/>
  <c r="O37" i="56"/>
  <c r="Q37" i="56"/>
  <c r="P38" i="56"/>
  <c r="N38" i="56"/>
  <c r="O38" i="56"/>
  <c r="Q38" i="56"/>
  <c r="P39" i="56"/>
  <c r="N39" i="56"/>
  <c r="O39" i="56"/>
  <c r="Q39" i="56"/>
  <c r="P41" i="56"/>
  <c r="N41" i="56"/>
  <c r="O41" i="56"/>
  <c r="Q41" i="56"/>
  <c r="P42" i="56"/>
  <c r="N42" i="56"/>
  <c r="O42" i="56"/>
  <c r="Q42" i="56"/>
  <c r="P43" i="56"/>
  <c r="N43" i="56"/>
  <c r="O43" i="56"/>
  <c r="Q43" i="56"/>
  <c r="P44" i="56"/>
  <c r="N44" i="56"/>
  <c r="O44" i="56"/>
  <c r="Q44" i="56"/>
  <c r="P45" i="56"/>
  <c r="N45" i="56"/>
  <c r="O45" i="56"/>
  <c r="Q45" i="56"/>
  <c r="P46" i="56"/>
  <c r="N46" i="56"/>
  <c r="O46" i="56"/>
  <c r="Q46" i="56"/>
  <c r="P47" i="56"/>
  <c r="N47" i="56" s="1"/>
  <c r="O47" i="56"/>
  <c r="Q47" i="56"/>
  <c r="P48" i="56"/>
  <c r="N48" i="56" s="1"/>
  <c r="O48" i="56"/>
  <c r="Q48" i="56"/>
  <c r="P49" i="56"/>
  <c r="N49" i="56" s="1"/>
  <c r="O49" i="56"/>
  <c r="Q49" i="56"/>
  <c r="P50" i="56"/>
  <c r="N50" i="56" s="1"/>
  <c r="O50" i="56"/>
  <c r="Q50" i="56"/>
  <c r="P51" i="56"/>
  <c r="N51" i="56" s="1"/>
  <c r="O51" i="56"/>
  <c r="Q51" i="56"/>
  <c r="P52" i="56"/>
  <c r="N52" i="56" s="1"/>
  <c r="O52" i="56"/>
  <c r="Q52" i="56"/>
  <c r="P53" i="56"/>
  <c r="N53" i="56" s="1"/>
  <c r="O53" i="56"/>
  <c r="Q53" i="56"/>
  <c r="P54" i="56"/>
  <c r="N54" i="56" s="1"/>
  <c r="O54" i="56"/>
  <c r="Q54" i="56"/>
  <c r="P55" i="56"/>
  <c r="N55" i="56" s="1"/>
  <c r="O55" i="56"/>
  <c r="Q55" i="56"/>
  <c r="P56" i="56"/>
  <c r="N56" i="56" s="1"/>
  <c r="O56" i="56"/>
  <c r="Q56" i="56"/>
  <c r="P57" i="56"/>
  <c r="N57" i="56" s="1"/>
  <c r="O57" i="56"/>
  <c r="Q57" i="56"/>
  <c r="P58" i="56"/>
  <c r="N58" i="56" s="1"/>
  <c r="O58" i="56"/>
  <c r="Q58" i="56"/>
  <c r="P59" i="56"/>
  <c r="N59" i="56" s="1"/>
  <c r="O59" i="56"/>
  <c r="Q59" i="56"/>
  <c r="P34" i="56"/>
  <c r="H3" i="56"/>
  <c r="C33" i="50" s="1"/>
  <c r="C6" i="80"/>
  <c r="C7" i="80"/>
  <c r="AC34" i="56"/>
  <c r="Q34" i="56"/>
  <c r="O34" i="56"/>
  <c r="Z34" i="56"/>
  <c r="H2" i="56"/>
  <c r="D18" i="53"/>
  <c r="F16" i="50"/>
  <c r="F14" i="50"/>
  <c r="C10" i="80"/>
  <c r="D87" i="80"/>
  <c r="H37" i="52"/>
  <c r="D46" i="80"/>
  <c r="H24" i="52"/>
  <c r="D19" i="52"/>
  <c r="D20" i="52"/>
  <c r="D21" i="52"/>
  <c r="D14" i="53"/>
  <c r="F18" i="53"/>
  <c r="F17" i="53"/>
  <c r="F16" i="53"/>
  <c r="H36" i="52"/>
  <c r="H35" i="52"/>
  <c r="H28" i="52"/>
  <c r="H27" i="52"/>
  <c r="H26" i="52"/>
  <c r="H25" i="52"/>
  <c r="H42" i="52"/>
  <c r="H43" i="52"/>
  <c r="C6" i="53"/>
  <c r="C9" i="80"/>
  <c r="C8" i="80"/>
  <c r="C5" i="80"/>
  <c r="O28" i="53"/>
  <c r="K30" i="53"/>
  <c r="K29" i="53"/>
  <c r="K28" i="53"/>
  <c r="D17" i="53"/>
  <c r="D16" i="53"/>
  <c r="F14" i="52"/>
  <c r="F13" i="52"/>
  <c r="F12" i="52"/>
  <c r="F23" i="53"/>
  <c r="E13" i="80"/>
  <c r="E30" i="80"/>
  <c r="W40" i="56"/>
  <c r="AA54" i="56"/>
  <c r="AC54" i="56" s="1"/>
  <c r="Y44" i="56"/>
  <c r="AB44" i="56" s="1"/>
  <c r="AD44" i="56" s="1"/>
  <c r="W38" i="56"/>
  <c r="W34" i="56"/>
  <c r="W50" i="56"/>
  <c r="W45" i="56"/>
  <c r="AA45" i="56" s="1"/>
  <c r="AC45" i="56" s="1"/>
  <c r="W41" i="56"/>
  <c r="AA41" i="56" s="1"/>
  <c r="AC41" i="56" s="1"/>
  <c r="W57" i="56"/>
  <c r="W48" i="56"/>
  <c r="W59" i="56"/>
  <c r="W46" i="56"/>
  <c r="W44" i="56"/>
  <c r="W58" i="56"/>
  <c r="AA58" i="56" s="1"/>
  <c r="AC58" i="56" s="1"/>
  <c r="C11" i="50"/>
  <c r="E29" i="80"/>
  <c r="E14" i="80"/>
  <c r="E31" i="80"/>
  <c r="E16" i="80"/>
  <c r="E28" i="80"/>
  <c r="C33" i="80"/>
  <c r="H34" i="52"/>
  <c r="E15" i="80"/>
  <c r="N34" i="56"/>
  <c r="W35" i="56"/>
  <c r="W42" i="56"/>
  <c r="W36" i="56"/>
  <c r="W47" i="56"/>
  <c r="W53" i="56"/>
  <c r="AA53" i="56" s="1"/>
  <c r="AC53" i="56" s="1"/>
  <c r="W52" i="56"/>
  <c r="W55" i="56"/>
  <c r="AA55" i="56"/>
  <c r="AC55" i="56" s="1"/>
  <c r="W56" i="56"/>
  <c r="AA56" i="56"/>
  <c r="AC56" i="56" s="1"/>
  <c r="W43" i="56"/>
  <c r="W39" i="56"/>
  <c r="AA39" i="56"/>
  <c r="AC39" i="56"/>
  <c r="AA57" i="56"/>
  <c r="AC57" i="56" s="1"/>
  <c r="W51" i="56"/>
  <c r="AA51" i="56"/>
  <c r="AC51" i="56" s="1"/>
  <c r="Y34" i="56"/>
  <c r="AB34" i="56"/>
  <c r="AD34" i="56" s="1"/>
  <c r="Y36" i="56"/>
  <c r="AB36" i="56" s="1"/>
  <c r="AD36" i="56" s="1"/>
  <c r="Y50" i="56"/>
  <c r="AB50" i="56" s="1"/>
  <c r="AD50" i="56" s="1"/>
  <c r="Y38" i="56"/>
  <c r="AB38" i="56" s="1"/>
  <c r="AD38" i="56" s="1"/>
  <c r="C18" i="80"/>
  <c r="Y47" i="56"/>
  <c r="AB47" i="56" s="1"/>
  <c r="AD47" i="56" s="1"/>
  <c r="Y49" i="56"/>
  <c r="AB49" i="56" s="1"/>
  <c r="AD49" i="56" s="1"/>
  <c r="Y48" i="56"/>
  <c r="AB48" i="56" s="1"/>
  <c r="AD48" i="56" s="1"/>
  <c r="Y46" i="56"/>
  <c r="AB46" i="56" s="1"/>
  <c r="AD46" i="56" s="1"/>
  <c r="D12" i="53"/>
  <c r="F12" i="53"/>
  <c r="C70" i="80"/>
  <c r="F29" i="52" s="1"/>
  <c r="AA52" i="56" l="1"/>
  <c r="AC52" i="56" s="1"/>
  <c r="AA59" i="56"/>
  <c r="AC59" i="56" s="1"/>
  <c r="Y42" i="56"/>
  <c r="AB42" i="56" s="1"/>
  <c r="AD42" i="56" s="1"/>
  <c r="C4" i="80"/>
  <c r="C66" i="80"/>
  <c r="C8" i="50"/>
  <c r="H20" i="56"/>
  <c r="C81" i="80"/>
  <c r="C83" i="80" s="1"/>
  <c r="C36" i="80" s="1"/>
  <c r="C62" i="80"/>
  <c r="C64" i="80" s="1"/>
  <c r="C68" i="80" s="1"/>
  <c r="C23" i="80" s="1"/>
  <c r="F10" i="53" s="1"/>
  <c r="E9" i="53" s="1"/>
  <c r="C20" i="50"/>
  <c r="C65" i="80"/>
  <c r="C67" i="80" s="1"/>
  <c r="D30" i="50"/>
  <c r="C31" i="50"/>
  <c r="F27" i="52"/>
  <c r="G27" i="52" s="1"/>
  <c r="B12" i="53"/>
  <c r="C21" i="50"/>
  <c r="C78" i="80"/>
  <c r="C58" i="80"/>
  <c r="C60" i="80" s="1"/>
  <c r="C85" i="80"/>
  <c r="C87" i="80" s="1"/>
  <c r="C32" i="50"/>
  <c r="C12" i="50"/>
  <c r="B5" i="50"/>
  <c r="C30" i="50"/>
  <c r="C29" i="50"/>
  <c r="C93" i="80"/>
  <c r="C95" i="80" s="1"/>
  <c r="C63" i="80"/>
  <c r="C77" i="80"/>
  <c r="C79" i="80" s="1"/>
  <c r="C48" i="80"/>
  <c r="C50" i="80" s="1"/>
  <c r="C36" i="50"/>
  <c r="C35" i="50"/>
  <c r="C13" i="50"/>
  <c r="C34" i="50"/>
  <c r="E16" i="52"/>
  <c r="C52" i="80"/>
  <c r="C56" i="80" s="1"/>
  <c r="C53" i="80"/>
  <c r="C24" i="50"/>
  <c r="C54" i="80"/>
  <c r="C55" i="80"/>
  <c r="C82" i="80"/>
  <c r="H28" i="56"/>
  <c r="C75" i="80"/>
  <c r="C22" i="50"/>
  <c r="C19" i="50"/>
  <c r="C23" i="50"/>
  <c r="C97" i="80"/>
  <c r="C99" i="80" s="1"/>
  <c r="J9" i="56" s="1"/>
  <c r="K10" i="56" s="1"/>
  <c r="C49" i="80"/>
  <c r="C59" i="80"/>
  <c r="C9" i="50"/>
  <c r="B3" i="53"/>
  <c r="C86" i="80"/>
  <c r="C10" i="50"/>
  <c r="C24" i="80"/>
  <c r="C14" i="50" l="1"/>
  <c r="D21" i="53"/>
  <c r="B20" i="53" s="1"/>
  <c r="F36" i="52"/>
  <c r="G36" i="52" s="1"/>
  <c r="C34" i="80"/>
  <c r="O24" i="53" s="1"/>
  <c r="N24" i="53" s="1"/>
  <c r="F34" i="52"/>
  <c r="C88" i="80"/>
  <c r="C35" i="80"/>
  <c r="O21" i="53" s="1"/>
  <c r="N20" i="53" s="1"/>
  <c r="F35" i="52"/>
  <c r="G35" i="52" s="1"/>
  <c r="C20" i="80"/>
  <c r="O7" i="53"/>
  <c r="N6" i="53" s="1"/>
  <c r="F25" i="52"/>
  <c r="G25" i="52" s="1"/>
  <c r="F42" i="52"/>
  <c r="G42" i="52" s="1"/>
  <c r="N14" i="53"/>
  <c r="L13" i="53" s="1"/>
  <c r="C15" i="50"/>
  <c r="C16" i="50"/>
  <c r="F28" i="52"/>
  <c r="G28" i="52" s="1"/>
  <c r="C21" i="80"/>
  <c r="H17" i="53" s="1"/>
  <c r="G16" i="53" s="1"/>
  <c r="C37" i="80"/>
  <c r="F24" i="53"/>
  <c r="D24" i="53" s="1"/>
  <c r="F37" i="52"/>
  <c r="G37" i="52" s="1"/>
  <c r="L7" i="53"/>
  <c r="F43" i="52"/>
  <c r="F26" i="52"/>
  <c r="G26" i="52" s="1"/>
  <c r="C22" i="80"/>
  <c r="J7" i="53" s="1"/>
  <c r="H6" i="53" s="1"/>
  <c r="Y41" i="56" l="1"/>
  <c r="AB41" i="56" s="1"/>
  <c r="AD41" i="56" s="1"/>
  <c r="C98" i="80"/>
  <c r="Y45" i="56"/>
  <c r="AB45" i="56" s="1"/>
  <c r="AD45" i="56" s="1"/>
  <c r="Y51" i="56"/>
  <c r="AB51" i="56" s="1"/>
  <c r="AD51" i="56" s="1"/>
  <c r="C94" i="80"/>
  <c r="C38" i="80"/>
  <c r="K21" i="53" s="1"/>
  <c r="C89" i="80"/>
  <c r="D38" i="80" s="1"/>
  <c r="F39" i="52" s="1"/>
  <c r="J6" i="56"/>
  <c r="K7" i="56" s="1"/>
  <c r="G34" i="52"/>
  <c r="F38" i="52"/>
  <c r="Y53" i="56" l="1"/>
  <c r="AB53" i="56" s="1"/>
  <c r="AD53" i="56" s="1"/>
  <c r="Y52" i="56"/>
  <c r="AB52" i="56" s="1"/>
  <c r="AD52" i="56" s="1"/>
  <c r="Y43" i="56" l="1"/>
  <c r="AB43" i="56" s="1"/>
  <c r="AD43" i="56" s="1"/>
  <c r="Y35" i="56"/>
  <c r="AB35" i="56" s="1"/>
  <c r="AD35" i="56" s="1"/>
  <c r="Y39" i="56"/>
  <c r="AB39" i="56" s="1"/>
  <c r="AD39" i="56" s="1"/>
  <c r="Y37" i="56" l="1"/>
  <c r="AB37" i="56" s="1"/>
  <c r="AD37" i="56" s="1"/>
  <c r="C44" i="80" l="1"/>
  <c r="C45" i="80"/>
  <c r="C43" i="80" l="1"/>
  <c r="C46" i="80" s="1"/>
  <c r="O10" i="53" l="1"/>
  <c r="N9" i="53" s="1"/>
  <c r="C19" i="80"/>
  <c r="F24" i="52"/>
  <c r="G24" i="52" s="1"/>
  <c r="C69" i="80"/>
  <c r="C71" i="80" s="1"/>
  <c r="J5" i="56" l="1"/>
  <c r="K5" i="56" s="1"/>
  <c r="H16" i="56" s="1"/>
  <c r="C72" i="80"/>
  <c r="D25" i="80" s="1"/>
  <c r="F31" i="52" s="1"/>
  <c r="C25" i="80"/>
  <c r="K14" i="53"/>
  <c r="F30" i="52"/>
</calcChain>
</file>

<file path=xl/sharedStrings.xml><?xml version="1.0" encoding="utf-8"?>
<sst xmlns="http://schemas.openxmlformats.org/spreadsheetml/2006/main" count="5718" uniqueCount="1138">
  <si>
    <t xml:space="preserve"> PFAS groups and nomenclature - anion forms.</t>
  </si>
  <si>
    <t>Group</t>
  </si>
  <si>
    <t>Protonated Acid Form</t>
  </si>
  <si>
    <t>CAS Number</t>
  </si>
  <si>
    <t>Abbreviation</t>
  </si>
  <si>
    <t>Anion Form Found in the Environment</t>
  </si>
  <si>
    <t>Perfluoroalkyl Sulfonic Acids and Sulfonates</t>
  </si>
  <si>
    <t>Perfluorobutane sulfonic acid</t>
  </si>
  <si>
    <t>375-73-5</t>
  </si>
  <si>
    <t>PFBS</t>
  </si>
  <si>
    <t>Perfluorobutane sulfonate</t>
  </si>
  <si>
    <t>45187-15-3</t>
  </si>
  <si>
    <r>
      <t>PFBS</t>
    </r>
    <r>
      <rPr>
        <vertAlign val="superscript"/>
        <sz val="10"/>
        <rFont val="Arial"/>
        <family val="2"/>
      </rPr>
      <t>-</t>
    </r>
  </si>
  <si>
    <t>Perfluoropentane sulfonic acid</t>
  </si>
  <si>
    <t>PFPeS</t>
  </si>
  <si>
    <t>Perfluoropentane sulfonate</t>
  </si>
  <si>
    <t>175905-36-9</t>
  </si>
  <si>
    <r>
      <t>PFPeS</t>
    </r>
    <r>
      <rPr>
        <vertAlign val="superscript"/>
        <sz val="10"/>
        <rFont val="Arial"/>
        <family val="2"/>
      </rPr>
      <t>-</t>
    </r>
  </si>
  <si>
    <t>Perfluorohexane sulfonic acid</t>
  </si>
  <si>
    <t>355-46-4</t>
  </si>
  <si>
    <t>PFHxS</t>
  </si>
  <si>
    <t>Perfluorohexane sulfonate</t>
  </si>
  <si>
    <t>108427-53-8</t>
  </si>
  <si>
    <r>
      <t>PFHxS</t>
    </r>
    <r>
      <rPr>
        <vertAlign val="superscript"/>
        <sz val="10"/>
        <rFont val="Arial"/>
        <family val="2"/>
      </rPr>
      <t>-</t>
    </r>
  </si>
  <si>
    <t>Perfluoroheptane sulfonic acid</t>
  </si>
  <si>
    <t>375-92-8</t>
  </si>
  <si>
    <t>PFHpS</t>
  </si>
  <si>
    <t>Perfluoroheptane sulfonate</t>
  </si>
  <si>
    <t>146689-46-5</t>
  </si>
  <si>
    <r>
      <t>PFHpS</t>
    </r>
    <r>
      <rPr>
        <vertAlign val="superscript"/>
        <sz val="10"/>
        <rFont val="Arial"/>
        <family val="2"/>
      </rPr>
      <t>-</t>
    </r>
  </si>
  <si>
    <t>Perfluorooctane sulfonic acid</t>
  </si>
  <si>
    <t>1763-23-1</t>
  </si>
  <si>
    <t>PFOS</t>
  </si>
  <si>
    <t>Perfluorooctane sulfonate</t>
  </si>
  <si>
    <t>45298-90-6</t>
  </si>
  <si>
    <r>
      <t>PFOS</t>
    </r>
    <r>
      <rPr>
        <vertAlign val="superscript"/>
        <sz val="10"/>
        <rFont val="Arial"/>
        <family val="2"/>
      </rPr>
      <t>-</t>
    </r>
  </si>
  <si>
    <t>Perfluorodecane sulfonic acid</t>
  </si>
  <si>
    <t>335-77-3</t>
  </si>
  <si>
    <t>PFDS</t>
  </si>
  <si>
    <t>Perfluorodecane sulfonate</t>
  </si>
  <si>
    <t>126105-34-8</t>
  </si>
  <si>
    <r>
      <t>PFDS</t>
    </r>
    <r>
      <rPr>
        <vertAlign val="superscript"/>
        <sz val="10"/>
        <rFont val="Arial"/>
        <family val="2"/>
      </rPr>
      <t>-</t>
    </r>
  </si>
  <si>
    <t>Perfluoroalkyl Carbonic Acids and Carboxylates</t>
  </si>
  <si>
    <r>
      <rPr>
        <vertAlign val="superscript"/>
        <sz val="10"/>
        <rFont val="Arial"/>
        <family val="2"/>
      </rPr>
      <t>1</t>
    </r>
    <r>
      <rPr>
        <sz val="10"/>
        <rFont val="Arial"/>
        <family val="2"/>
      </rPr>
      <t>Perfluoro ethanoic acid</t>
    </r>
  </si>
  <si>
    <t>76-05-1</t>
  </si>
  <si>
    <t>PFEtA</t>
  </si>
  <si>
    <r>
      <rPr>
        <vertAlign val="superscript"/>
        <sz val="10"/>
        <rFont val="Arial"/>
        <family val="2"/>
      </rPr>
      <t>1</t>
    </r>
    <r>
      <rPr>
        <sz val="10"/>
        <rFont val="Arial"/>
        <family val="2"/>
      </rPr>
      <t>Perfluoro ethanoate</t>
    </r>
  </si>
  <si>
    <t>14477-72-6</t>
  </si>
  <si>
    <r>
      <t>PFEtA</t>
    </r>
    <r>
      <rPr>
        <vertAlign val="superscript"/>
        <sz val="10"/>
        <rFont val="Arial"/>
        <family val="2"/>
      </rPr>
      <t>-</t>
    </r>
  </si>
  <si>
    <t>Perfluoro propanoic acid</t>
  </si>
  <si>
    <t>422-64-0</t>
  </si>
  <si>
    <t>PFPrA</t>
  </si>
  <si>
    <t>Perfluoro propanoate</t>
  </si>
  <si>
    <t>44864-55-3</t>
  </si>
  <si>
    <r>
      <t>PFPrA</t>
    </r>
    <r>
      <rPr>
        <vertAlign val="superscript"/>
        <sz val="10"/>
        <rFont val="Arial"/>
        <family val="2"/>
      </rPr>
      <t>-</t>
    </r>
  </si>
  <si>
    <t>Perfluoro butanoic acid</t>
  </si>
  <si>
    <t>375-22-4</t>
  </si>
  <si>
    <t>PFBA</t>
  </si>
  <si>
    <t>Perfluoro butanoate</t>
  </si>
  <si>
    <t>45048-62-2</t>
  </si>
  <si>
    <r>
      <t>PFBA</t>
    </r>
    <r>
      <rPr>
        <vertAlign val="superscript"/>
        <sz val="10"/>
        <rFont val="Arial"/>
        <family val="2"/>
      </rPr>
      <t>-</t>
    </r>
  </si>
  <si>
    <t>Perfluoro pentanoic acid</t>
  </si>
  <si>
    <t>2706-90-3</t>
  </si>
  <si>
    <t>PFPeA</t>
  </si>
  <si>
    <t>Perfluoro pentanoate</t>
  </si>
  <si>
    <t>45167-47-3</t>
  </si>
  <si>
    <r>
      <t>PFPeA</t>
    </r>
    <r>
      <rPr>
        <vertAlign val="superscript"/>
        <sz val="10"/>
        <rFont val="Arial"/>
        <family val="2"/>
      </rPr>
      <t>-</t>
    </r>
  </si>
  <si>
    <t>Perfluoro hexanoic acid</t>
  </si>
  <si>
    <t>307-24-4</t>
  </si>
  <si>
    <t>PFHxA</t>
  </si>
  <si>
    <t>Perfluoro hexanoate</t>
  </si>
  <si>
    <t>92612-52-7</t>
  </si>
  <si>
    <r>
      <t>PFHxA</t>
    </r>
    <r>
      <rPr>
        <vertAlign val="superscript"/>
        <sz val="10"/>
        <rFont val="Arial"/>
        <family val="2"/>
      </rPr>
      <t>-</t>
    </r>
  </si>
  <si>
    <t>Perfluoro heptanoic acid</t>
  </si>
  <si>
    <t>375-85-9</t>
  </si>
  <si>
    <t>PFHpA</t>
  </si>
  <si>
    <t>Perfluoro heptanoate</t>
  </si>
  <si>
    <t>120885-29-2</t>
  </si>
  <si>
    <r>
      <t>PFHpA</t>
    </r>
    <r>
      <rPr>
        <vertAlign val="superscript"/>
        <sz val="10"/>
        <rFont val="Arial"/>
        <family val="2"/>
      </rPr>
      <t>-</t>
    </r>
  </si>
  <si>
    <t>Perfluoro octanoic acid</t>
  </si>
  <si>
    <t>335-67-1</t>
  </si>
  <si>
    <t>PFOA</t>
  </si>
  <si>
    <t>Perfluoro octanoate</t>
  </si>
  <si>
    <t>45285-51-6</t>
  </si>
  <si>
    <r>
      <t>PFOA</t>
    </r>
    <r>
      <rPr>
        <vertAlign val="superscript"/>
        <sz val="10"/>
        <rFont val="Arial"/>
        <family val="2"/>
      </rPr>
      <t>-</t>
    </r>
  </si>
  <si>
    <t>Perfluoro nonanoic acid</t>
  </si>
  <si>
    <t>375-95-1</t>
  </si>
  <si>
    <t>PFNA</t>
  </si>
  <si>
    <t>Perfluoro nonanoate</t>
  </si>
  <si>
    <t>72007-68-2</t>
  </si>
  <si>
    <r>
      <t>PFNA</t>
    </r>
    <r>
      <rPr>
        <vertAlign val="superscript"/>
        <sz val="10"/>
        <rFont val="Arial"/>
        <family val="2"/>
      </rPr>
      <t>-</t>
    </r>
  </si>
  <si>
    <t>Perfluoro decanoic acid</t>
  </si>
  <si>
    <t>335-76-2</t>
  </si>
  <si>
    <t>PFDA</t>
  </si>
  <si>
    <t>Perfluoro decanoate</t>
  </si>
  <si>
    <t>73829-36-4</t>
  </si>
  <si>
    <r>
      <t>PFDA</t>
    </r>
    <r>
      <rPr>
        <vertAlign val="superscript"/>
        <sz val="10"/>
        <rFont val="Arial"/>
        <family val="2"/>
      </rPr>
      <t>-</t>
    </r>
  </si>
  <si>
    <t>Perfluoro undecanoic acid</t>
  </si>
  <si>
    <t>2058-94-8</t>
  </si>
  <si>
    <t>PFUnDA</t>
  </si>
  <si>
    <t>Perfluoro undecanoate</t>
  </si>
  <si>
    <t>196859-54-8</t>
  </si>
  <si>
    <r>
      <t>PFUnDA</t>
    </r>
    <r>
      <rPr>
        <vertAlign val="superscript"/>
        <sz val="10"/>
        <rFont val="Arial"/>
        <family val="2"/>
      </rPr>
      <t>-</t>
    </r>
  </si>
  <si>
    <t>Perfluoro dodecanoic acid</t>
  </si>
  <si>
    <t>307-55-1</t>
  </si>
  <si>
    <t>PFDoDA</t>
  </si>
  <si>
    <t>Perfluoro dodecanoate</t>
  </si>
  <si>
    <t>171978-95-3</t>
  </si>
  <si>
    <r>
      <t>PFDoDA</t>
    </r>
    <r>
      <rPr>
        <vertAlign val="superscript"/>
        <sz val="10"/>
        <rFont val="Arial"/>
        <family val="2"/>
      </rPr>
      <t>-</t>
    </r>
  </si>
  <si>
    <t>Perfluoro tridecanoic acid</t>
  </si>
  <si>
    <t>72629-94-8</t>
  </si>
  <si>
    <t>PFTrDA</t>
  </si>
  <si>
    <t>Perfluoro tridecanoate</t>
  </si>
  <si>
    <t>862374-87-6</t>
  </si>
  <si>
    <r>
      <t>PFTrDA</t>
    </r>
    <r>
      <rPr>
        <vertAlign val="superscript"/>
        <sz val="10"/>
        <rFont val="Arial"/>
        <family val="2"/>
      </rPr>
      <t>-</t>
    </r>
  </si>
  <si>
    <t>Perfluoro tetradecanoic acid</t>
  </si>
  <si>
    <t>376-06-7</t>
  </si>
  <si>
    <t>PFTeDA</t>
  </si>
  <si>
    <t>Perfluoro tetradecanoate</t>
  </si>
  <si>
    <t>365971-87-5</t>
  </si>
  <si>
    <r>
      <t>PFTeDA</t>
    </r>
    <r>
      <rPr>
        <vertAlign val="superscript"/>
        <sz val="10"/>
        <rFont val="Arial"/>
        <family val="2"/>
      </rPr>
      <t>-</t>
    </r>
  </si>
  <si>
    <t>Other</t>
  </si>
  <si>
    <t>Perfluroroctane sulfonamide</t>
  </si>
  <si>
    <t>754-91-6</t>
  </si>
  <si>
    <t>PFOSA</t>
  </si>
  <si>
    <t>Hexafluoropropylene oxide dimer acid</t>
  </si>
  <si>
    <t>13252-13-6</t>
  </si>
  <si>
    <t>HFPO-DA</t>
  </si>
  <si>
    <t>Perfluoro 2-propoxypropanoate</t>
  </si>
  <si>
    <t>122499-17-6</t>
  </si>
  <si>
    <r>
      <t>HFPO-DA</t>
    </r>
    <r>
      <rPr>
        <vertAlign val="superscript"/>
        <sz val="10"/>
        <rFont val="Arial"/>
        <family val="2"/>
      </rPr>
      <t>-</t>
    </r>
  </si>
  <si>
    <t>6:2 Fluorotelemer Sulfonic Acid</t>
  </si>
  <si>
    <t>27619-97-2</t>
  </si>
  <si>
    <t>6:2 FTS</t>
  </si>
  <si>
    <t>6:2 Fluorotelemer sulfonate</t>
  </si>
  <si>
    <r>
      <t>6:2 FTS</t>
    </r>
    <r>
      <rPr>
        <vertAlign val="superscript"/>
        <sz val="10"/>
        <rFont val="Arial"/>
        <family val="2"/>
      </rPr>
      <t>-</t>
    </r>
  </si>
  <si>
    <t>4,8-Dioxa-3H-perfluorononanoic acid</t>
  </si>
  <si>
    <t>919005-14-4</t>
  </si>
  <si>
    <t>DONA</t>
  </si>
  <si>
    <t>Ammonium 4,8-Dioxa-3H-perfluoro nonanoate</t>
  </si>
  <si>
    <t>958445-44-8</t>
  </si>
  <si>
    <r>
      <t>ADONA</t>
    </r>
    <r>
      <rPr>
        <vertAlign val="superscript"/>
        <sz val="8"/>
        <rFont val="Arial"/>
        <family val="2"/>
      </rPr>
      <t>-</t>
    </r>
  </si>
  <si>
    <t>6:2 Fluorotelomer alcohol</t>
  </si>
  <si>
    <t>647-42-7</t>
  </si>
  <si>
    <r>
      <t>6:2 FTOH</t>
    </r>
    <r>
      <rPr>
        <vertAlign val="superscript"/>
        <sz val="10"/>
        <rFont val="Arial"/>
        <family val="2"/>
      </rPr>
      <t>-</t>
    </r>
  </si>
  <si>
    <t>8:2 Fluorotelomer alcohol</t>
  </si>
  <si>
    <t>678-39-7</t>
  </si>
  <si>
    <r>
      <t>8:2 FTOH</t>
    </r>
    <r>
      <rPr>
        <vertAlign val="superscript"/>
        <sz val="10"/>
        <rFont val="Arial"/>
        <family val="2"/>
      </rPr>
      <t>-</t>
    </r>
  </si>
  <si>
    <t>6:2 Fluorotelomer Thioether Amido Sulfonic Acid</t>
  </si>
  <si>
    <t>62880-95-9</t>
  </si>
  <si>
    <t>6:2 FtTAoS</t>
  </si>
  <si>
    <t>6:2 Fluorotelomer Thioether Amido Sulfonate</t>
  </si>
  <si>
    <t>88992-47-6</t>
  </si>
  <si>
    <r>
      <t>6:2 FtTAoS</t>
    </r>
    <r>
      <rPr>
        <vertAlign val="superscript"/>
        <sz val="10"/>
        <rFont val="Arial"/>
        <family val="2"/>
      </rPr>
      <t>-</t>
    </r>
  </si>
  <si>
    <t>1. More commonly referred to as trifluoroacetic acid and trifluoroacetate; aliphatic-based term (ethane) utilized for consistency with nomenclature of other compounds.</t>
  </si>
  <si>
    <t>PFASs Environmental Action Levels Surfer</t>
  </si>
  <si>
    <t>Hawai'i  Department of Health
Hawai'i DOH (PFASs November 2024)</t>
  </si>
  <si>
    <t>Refer to accompaning Technical Memorandum for earlier updates (HIDOH November 2024).</t>
  </si>
  <si>
    <r>
      <t xml:space="preserve">November 2024: </t>
    </r>
    <r>
      <rPr>
        <sz val="12"/>
        <rFont val="Times New Roman"/>
        <family val="1"/>
      </rPr>
      <t>Perfluoroethanoate (trifluoroacetate) added.</t>
    </r>
  </si>
  <si>
    <r>
      <rPr>
        <b/>
        <sz val="12"/>
        <rFont val="Times New Roman"/>
        <family val="1"/>
      </rPr>
      <t>January 2024 updates to April 2023 Edition:</t>
    </r>
    <r>
      <rPr>
        <sz val="12"/>
        <rFont val="Times New Roman"/>
        <family val="1"/>
      </rPr>
      <t xml:space="preserve">
• EALs for PFPeS</t>
    </r>
    <r>
      <rPr>
        <vertAlign val="superscript"/>
        <sz val="12"/>
        <rFont val="Times New Roman"/>
        <family val="1"/>
      </rPr>
      <t>-</t>
    </r>
    <r>
      <rPr>
        <sz val="12"/>
        <rFont val="Times New Roman"/>
        <family val="1"/>
      </rPr>
      <t>, PFPrA</t>
    </r>
    <r>
      <rPr>
        <vertAlign val="superscript"/>
        <sz val="12"/>
        <rFont val="Times New Roman"/>
        <family val="1"/>
      </rPr>
      <t>-</t>
    </r>
    <r>
      <rPr>
        <sz val="12"/>
        <rFont val="Times New Roman"/>
        <family val="1"/>
      </rPr>
      <t>, 6:2 FTOH</t>
    </r>
    <r>
      <rPr>
        <vertAlign val="superscript"/>
        <sz val="12"/>
        <rFont val="Times New Roman"/>
        <family val="1"/>
      </rPr>
      <t>-</t>
    </r>
    <r>
      <rPr>
        <sz val="12"/>
        <rFont val="Times New Roman"/>
        <family val="1"/>
      </rPr>
      <t>, 8:2 FTOH</t>
    </r>
    <r>
      <rPr>
        <vertAlign val="superscript"/>
        <sz val="12"/>
        <rFont val="Times New Roman"/>
        <family val="1"/>
      </rPr>
      <t>-</t>
    </r>
    <r>
      <rPr>
        <sz val="12"/>
        <rFont val="Times New Roman"/>
        <family val="1"/>
      </rPr>
      <t xml:space="preserve"> and 6:2 FTTAoS</t>
    </r>
    <r>
      <rPr>
        <vertAlign val="superscript"/>
        <sz val="12"/>
        <rFont val="Times New Roman"/>
        <family val="1"/>
      </rPr>
      <t>-</t>
    </r>
    <r>
      <rPr>
        <sz val="12"/>
        <rFont val="Times New Roman"/>
        <family val="1"/>
      </rPr>
      <t xml:space="preserve"> added;
• Vapor pressures added;
• Indoor air and subslab soil vapor action levels for PFBA</t>
    </r>
    <r>
      <rPr>
        <vertAlign val="superscript"/>
        <sz val="12"/>
        <rFont val="Times New Roman"/>
        <family val="1"/>
      </rPr>
      <t>-</t>
    </r>
    <r>
      <rPr>
        <sz val="12"/>
        <rFont val="Times New Roman"/>
        <family val="1"/>
      </rPr>
      <t>, PFPeA</t>
    </r>
    <r>
      <rPr>
        <vertAlign val="superscript"/>
        <sz val="12"/>
        <rFont val="Times New Roman"/>
        <family val="1"/>
      </rPr>
      <t>-</t>
    </r>
    <r>
      <rPr>
        <sz val="12"/>
        <rFont val="Times New Roman"/>
        <family val="1"/>
      </rPr>
      <t>, PFHxA</t>
    </r>
    <r>
      <rPr>
        <vertAlign val="superscript"/>
        <sz val="12"/>
        <rFont val="Times New Roman"/>
        <family val="1"/>
      </rPr>
      <t>-</t>
    </r>
    <r>
      <rPr>
        <sz val="12"/>
        <rFont val="Times New Roman"/>
        <family val="1"/>
      </rPr>
      <t xml:space="preserve"> and 6:2 FTOH</t>
    </r>
    <r>
      <rPr>
        <vertAlign val="superscript"/>
        <sz val="12"/>
        <rFont val="Times New Roman"/>
        <family val="1"/>
      </rPr>
      <t>-</t>
    </r>
    <r>
      <rPr>
        <sz val="12"/>
        <rFont val="Times New Roman"/>
        <family val="1"/>
      </rPr>
      <t xml:space="preserve"> added;
• Separate Total PFAS Risk calculator created (Excel).</t>
    </r>
  </si>
  <si>
    <t xml:space="preserve">References: </t>
  </si>
  <si>
    <t>HIDOH 2024, Evaluation of Environmental Hazards at Sites with Contaminated Soil and Groundwater - Interim Environmental Action Levels for PFASs (November 2024): Hawai'i Department of Health, Hazard Evaluation and Emergency Response, https://health.hawaii.gov/heer/guidance/ehe-and-eals/</t>
  </si>
  <si>
    <t>HIDOH, 2024, Evaluation of Environmental Hazards at Sites with Contaminated Soil and Groundwater – Hawaii Edition (Spring 2024 and updates): Hawai’i Department of Health, Office of Hazard Evaluation and Emergency Response. https://health.hawaii.gov/heer/guidance/ehe-and-eals/</t>
  </si>
  <si>
    <t>Hawai'i  Department of Health
(November 2024)</t>
  </si>
  <si>
    <t>Instructions For Use of EALs and EAL Surfer
(Refer also to Volume 1, Section 2 of EHE document)</t>
  </si>
  <si>
    <t>Check with overseeing agency to ensure that you have the most up-to-date version of the EAL Surfer available and that the screening levels can be applied to your site (see Volume 1, Section 1.5).
Individual Surfer worksheets write-protected (password "EAL").</t>
  </si>
  <si>
    <t>Steps 1 through 3 refer to the EAL - Site Input Worksheet ("EAL Surfer - Summary EALs")</t>
  </si>
  <si>
    <r>
      <t>STEP 1.</t>
    </r>
    <r>
      <rPr>
        <sz val="12"/>
        <rFont val="Times New Roman"/>
        <family val="1"/>
      </rPr>
      <t xml:space="preserve"> Input site Land Use, Depth of Impacted Soil and Groundwater Utility.  Check with overseeing agency to ensure that proper categories are selected.  "Unrestricted Land Use" category recommended for initial use at all sites to determine if future land use restrictions are needed. (Refer to Volume 1, Section 2.) </t>
    </r>
  </si>
  <si>
    <r>
      <t xml:space="preserve">STEP 2. </t>
    </r>
    <r>
      <rPr>
        <sz val="12"/>
        <rFont val="Times New Roman"/>
        <family val="1"/>
      </rPr>
      <t>Select chemical of potential concern.</t>
    </r>
  </si>
  <si>
    <t>Surfer generates summary and detailed EALs for selected site scenario and chemical of concern. Soil Action Levels are applicable to Multi Increment Sample data only (required for final decision making). The action levels are not applicable to discrete sample data (not accepted for final decision making).</t>
  </si>
  <si>
    <r>
      <t>STEP 3 (optional):</t>
    </r>
    <r>
      <rPr>
        <sz val="12"/>
        <rFont val="Times New Roman"/>
        <family val="1"/>
      </rPr>
      <t xml:space="preserve"> Input representative site chemical concentration in soil, groundwater and/or soil gas.  Surfer identifies if EALs exceeded.  Refer to Detailed EAL worksheet tab to tentatively identified environmental hazards.</t>
    </r>
  </si>
  <si>
    <r>
      <t xml:space="preserve">STEP 4: </t>
    </r>
    <r>
      <rPr>
        <sz val="12"/>
        <rFont val="Times New Roman"/>
        <family val="1"/>
      </rPr>
      <t>Laboratory method reporting limit takes precedence if greater than the EAL (assuming standard MRL for a commercial laboratory).  Natural background concentration of metals takes precedence if greater than the EAL. (Refer to Volume 1, Section 2.9).</t>
    </r>
  </si>
  <si>
    <r>
      <t xml:space="preserve">STEP 5: </t>
    </r>
    <r>
      <rPr>
        <sz val="12"/>
        <rFont val="Times New Roman"/>
        <family val="1"/>
      </rPr>
      <t>Determine vertical and lateral extent of soil and/or groundwater impacted above action levels to extent feasible. EALs may also be used as a guide for re-use of excavated soil.</t>
    </r>
  </si>
  <si>
    <r>
      <t xml:space="preserve">STEP 6: </t>
    </r>
    <r>
      <rPr>
        <sz val="12"/>
        <rFont val="Times New Roman"/>
        <family val="1"/>
      </rPr>
      <t xml:space="preserve">Prepare </t>
    </r>
    <r>
      <rPr>
        <i/>
        <sz val="12"/>
        <rFont val="Times New Roman"/>
        <family val="1"/>
      </rPr>
      <t>Environmental Hazard Evaluation</t>
    </r>
    <r>
      <rPr>
        <sz val="12"/>
        <rFont val="Times New Roman"/>
        <family val="1"/>
      </rPr>
      <t xml:space="preserve"> (EHE) with recommendations for additional actions (see Chapter 3).  Identify potential environmental hazards.  Evaluate need for corrective actions (e.g., cleanup to default EALs, advanced evaluation of tentatively identified hazards, development of alternative cleanup levels, long-term management of contamination, need for land use restrictions and other institutional and engineering controls, closure with no further action, etc.). Refer to Chapters 4 and 5 in Volume 1of EHE guidance document and teh HEER office Technical Guidance Manual (HDOH 2016).</t>
    </r>
  </si>
  <si>
    <t>HDOH, 2023, Technical Guidance Manual (2023 and updates): Hawai‘i Department of Health, Office of Hazard Evaluation and Emergency Response, https://health.hawaii.gov/heer/tgm/</t>
  </si>
  <si>
    <t>PFASs Environmental Action Levels Surfer
(Hawaii DOH November 2024)</t>
  </si>
  <si>
    <t>Worksheet is write protected. Disable protection using “Unprotect” under "Review" if you have trouble
selecting options (password = EAL).</t>
  </si>
  <si>
    <t>Steps 1 and 2:
Click in cell and use pull-down boxes to make selection.</t>
  </si>
  <si>
    <r>
      <t xml:space="preserve">STEP 1: Select </t>
    </r>
    <r>
      <rPr>
        <b/>
        <vertAlign val="superscript"/>
        <sz val="12"/>
        <rFont val="Times New Roman"/>
        <family val="1"/>
      </rPr>
      <t>1</t>
    </r>
    <r>
      <rPr>
        <b/>
        <sz val="12"/>
        <rFont val="Times New Roman"/>
        <family val="1"/>
      </rPr>
      <t>Site Scenario:</t>
    </r>
  </si>
  <si>
    <t>Final EALs</t>
  </si>
  <si>
    <r>
      <t>2</t>
    </r>
    <r>
      <rPr>
        <sz val="11"/>
        <rFont val="Times New Roman"/>
        <family val="1"/>
      </rPr>
      <t>Land Use:</t>
    </r>
  </si>
  <si>
    <t>Unrestricted</t>
  </si>
  <si>
    <t>Soil (mg/kg):</t>
  </si>
  <si>
    <t>Hide Columns N through AD in the Public EAL Surfer</t>
  </si>
  <si>
    <t>Groundwater (ug/L):</t>
  </si>
  <si>
    <r>
      <t>3</t>
    </r>
    <r>
      <rPr>
        <sz val="12"/>
        <rFont val="Times New Roman"/>
        <family val="1"/>
      </rPr>
      <t>Groundwater Utility:</t>
    </r>
  </si>
  <si>
    <t>Drinking Water Resource</t>
  </si>
  <si>
    <r>
      <t>Soil Vapor (ug/m</t>
    </r>
    <r>
      <rPr>
        <vertAlign val="superscript"/>
        <sz val="12"/>
        <rFont val="Times New Roman"/>
        <family val="1"/>
      </rPr>
      <t>3</t>
    </r>
    <r>
      <rPr>
        <sz val="12"/>
        <rFont val="Times New Roman"/>
        <family val="1"/>
      </rPr>
      <t>):</t>
    </r>
  </si>
  <si>
    <r>
      <t>4</t>
    </r>
    <r>
      <rPr>
        <sz val="12"/>
        <rFont val="Times New Roman"/>
        <family val="1"/>
      </rPr>
      <t>Distance To Nearest
Surface Water Body:</t>
    </r>
  </si>
  <si>
    <t>&lt; 150m</t>
  </si>
  <si>
    <t>Current Land Use:</t>
  </si>
  <si>
    <t>Groundwater Utility:</t>
  </si>
  <si>
    <t>Distance To Nearest Surface Water Body:</t>
  </si>
  <si>
    <r>
      <t xml:space="preserve">STEP 2: </t>
    </r>
    <r>
      <rPr>
        <b/>
        <vertAlign val="superscript"/>
        <sz val="12"/>
        <rFont val="Times New Roman"/>
        <family val="1"/>
      </rPr>
      <t>5</t>
    </r>
    <r>
      <rPr>
        <b/>
        <sz val="12"/>
        <rFont val="Times New Roman"/>
        <family val="1"/>
      </rPr>
      <t>Select Contaminant</t>
    </r>
  </si>
  <si>
    <r>
      <t>&lt;</t>
    </r>
    <r>
      <rPr>
        <sz val="10"/>
        <rFont val="Arial"/>
        <family val="2"/>
      </rPr>
      <t xml:space="preserve"> 150m</t>
    </r>
  </si>
  <si>
    <t>Chemical Name
or CAS #?</t>
  </si>
  <si>
    <t>Chemical Name</t>
  </si>
  <si>
    <t>Commercial/
Industrial Only</t>
  </si>
  <si>
    <t>Nondrinking Water Resource</t>
  </si>
  <si>
    <t>&gt;150m</t>
  </si>
  <si>
    <t>Perfluoro ethanoate (PFEtA-) (Trifluoroacetate)</t>
  </si>
  <si>
    <t>Code</t>
  </si>
  <si>
    <r>
      <t xml:space="preserve">STEP 3 (optional): Enter site data.
</t>
    </r>
    <r>
      <rPr>
        <b/>
        <sz val="10"/>
        <rFont val="Times New Roman"/>
        <family val="1"/>
      </rPr>
      <t xml:space="preserve">(Potential environmental hazards highlighted
in </t>
    </r>
    <r>
      <rPr>
        <b/>
        <sz val="10"/>
        <color indexed="10"/>
        <rFont val="Times New Roman"/>
        <family val="1"/>
      </rPr>
      <t>Red</t>
    </r>
    <r>
      <rPr>
        <b/>
        <sz val="10"/>
        <rFont val="Times New Roman"/>
        <family val="1"/>
      </rPr>
      <t xml:space="preserve"> on Detailed EAL worksheet.)</t>
    </r>
  </si>
  <si>
    <t>Notes</t>
  </si>
  <si>
    <t>VI - VOCs</t>
  </si>
  <si>
    <t>Volatile chemical. Collect soil gas data for site-specific evaluation of vapor intrusion hazards if Tier 1 action levels for this hazard exceeded (see Advanced EHE Options tab of Surfer).</t>
  </si>
  <si>
    <t>Metals</t>
  </si>
  <si>
    <t>Naturally occurring metal.  Action levels for leaching of metals from soil and subsequent contamination of groundwater not developed.  Batch tests and/or groundwater monitoring recommended if soil background exceeded (see Advanced EHE Options tab of Surfer).</t>
  </si>
  <si>
    <r>
      <rPr>
        <vertAlign val="superscript"/>
        <sz val="12"/>
        <rFont val="Times New Roman"/>
        <family val="1"/>
      </rPr>
      <t>6</t>
    </r>
    <r>
      <rPr>
        <sz val="12"/>
        <rFont val="Times New Roman"/>
        <family val="1"/>
      </rPr>
      <t>Soil (mg/kg):</t>
    </r>
  </si>
  <si>
    <t>Leaching - Persistent NVOCs</t>
  </si>
  <si>
    <t>Potentially significant soil leaching hazard and subsequent contamination of groundwater.  SPLP batch test and LEAF Method 1314 soil column test recommended if soil leaching action level exceeded (refer to accompanying PFAS Technical Memorandum).</t>
  </si>
  <si>
    <t>Leaching - Non-Persistent NVOCs</t>
  </si>
  <si>
    <t>Non-persistent contaminant with relatively low mobility potential.  Consider natural attenuation over time in final remedial actions.  See Advanced EHE Options tab of Surfer.</t>
  </si>
  <si>
    <r>
      <t>Soil Vapor (ug/m</t>
    </r>
    <r>
      <rPr>
        <vertAlign val="superscript"/>
        <sz val="10"/>
        <rFont val="Arial"/>
        <family val="2"/>
      </rPr>
      <t>3</t>
    </r>
    <r>
      <rPr>
        <sz val="10"/>
        <rFont val="Arial"/>
        <family val="2"/>
      </rPr>
      <t>):</t>
    </r>
  </si>
  <si>
    <t>Chemical Name or CAS #?</t>
  </si>
  <si>
    <t>koc&gt;5,000</t>
  </si>
  <si>
    <r>
      <t>Not anticipated to be significantly mobile in soil or groundwater (Koc&gt;5,000 cm</t>
    </r>
    <r>
      <rPr>
        <vertAlign val="superscript"/>
        <sz val="10"/>
        <rFont val="Arial"/>
        <family val="2"/>
      </rPr>
      <t>3</t>
    </r>
    <r>
      <rPr>
        <sz val="10"/>
        <rFont val="Arial"/>
        <family val="2"/>
      </rPr>
      <t>/g).  Batch tests recommended if soil leaching action level exceeded (see Advanced EHE Options tab of Surfer). Evaluate potential surface runoff hazards into aquatic habitats.</t>
    </r>
  </si>
  <si>
    <t xml:space="preserve">Aquatic toxicity action levels not available. Drinking water action level used as interim substitute (Table D-4b and Table D-4c; see text). </t>
  </si>
  <si>
    <t>CAS #</t>
  </si>
  <si>
    <t xml:space="preserve">Copy and paste Target Risk as numbers when making Surfer (linked to DE worksheets) </t>
  </si>
  <si>
    <t>Calculation of cumulative noncancer health risk (hazard) for both soil and water sample data required even if EALs for individual chemicals met. Refer to PFAS Technical Memorandum and accompanying Total PFAS Risk calculator.</t>
  </si>
  <si>
    <t>Target Cancer Risk
(Residential)</t>
  </si>
  <si>
    <t>Target Cancer Risk
(C/I)</t>
  </si>
  <si>
    <t>Target Cancer Risk
(Const. Workers)</t>
  </si>
  <si>
    <t>Calculation of cumulative noncancer health risk (hazard) for soil sample data required even if EALs for individual chemicals met. Refer to PFAS Technical Memorandum and accompanying Total PFAS Risk calculator.</t>
  </si>
  <si>
    <t>HIDOH, 2024, Evaluation of Environmental Hazards at Sites with Contaminated Soil and Groundwater – Hawaii Edition (Spring 2024 and updates): Hawai’i Department of Health, Office of Hazard Evaluation and Emergency Response.https://health.hawaii.gov/heer/guidance/ehe-and-eals/</t>
  </si>
  <si>
    <t>Cell highlighted YELLOW if chemical-specific (vs generic) notes in Column Y.</t>
  </si>
  <si>
    <t>Target Hard Quotient (DW)</t>
  </si>
  <si>
    <t>Target Hard Quotient (soil)</t>
  </si>
  <si>
    <t>Persistent?</t>
  </si>
  <si>
    <t>Aquatic toxicity action levels available?</t>
  </si>
  <si>
    <t>Notes (reference to document sections refers to 2017 EHE guidance):</t>
  </si>
  <si>
    <t>Selected Lookup Parameter</t>
  </si>
  <si>
    <t>Metal?</t>
  </si>
  <si>
    <t>Volatility?</t>
  </si>
  <si>
    <t>Modeled Koc</t>
  </si>
  <si>
    <t>Leaching
Code</t>
  </si>
  <si>
    <t>Aqua Tox
Code</t>
  </si>
  <si>
    <t>Notes:</t>
  </si>
  <si>
    <t>1. Site scenario options based on scenarios used to develop EAL lookup tables (HIDOH 2024). "Tier 1" EALs presented in summary lookup tables based on unrestricted land use scenario within 150m of a surface water body and over groundwater that is a use of drinking water.</t>
  </si>
  <si>
    <t/>
  </si>
  <si>
    <t>N</t>
  </si>
  <si>
    <t>Y</t>
  </si>
  <si>
    <t>2. "Unrestricted" land use category suitable for residential housing, schools, day care, medical facilities, parks and similar sensitive uses. Use to evaluate the need for future land use restrictions.  Screen using a commercial/industrial land use scenario if site is to be used only for these purposes and contamination will not be cleaned up to meet action levels (or acceptable alternatives) for unrestricted land use.  Future land-use restrictions may apply (refer to Chapter 5 of Volume 1).</t>
  </si>
  <si>
    <t>3.  See Section 2.4 of Volume 1 for determination of groundwater utility.</t>
  </si>
  <si>
    <r>
      <t xml:space="preserve">4. Used to evaluate potential impacts to aquatic habitats.  Chronic aquatic toxicity goals used to screen groundwater situated </t>
    </r>
    <r>
      <rPr>
        <i/>
        <sz val="12"/>
        <rFont val="Times New Roman"/>
        <family val="1"/>
      </rPr>
      <t>&lt;</t>
    </r>
    <r>
      <rPr>
        <sz val="12"/>
        <rFont val="Times New Roman"/>
        <family val="1"/>
      </rPr>
      <t xml:space="preserve">150m from an aquatic habitat.  Acute aquatic toxicity goals used to screen groundwater situated &gt;150m from an aquatic habitat.  Potential for groundwater contaminated above chronic goals to migrate into the 150m buffer zone must also be evaluated. </t>
    </r>
  </si>
  <si>
    <r>
      <t>5. Request the laboratory to</t>
    </r>
    <r>
      <rPr>
        <b/>
        <sz val="12"/>
        <rFont val="Times New Roman"/>
        <family val="1"/>
      </rPr>
      <t xml:space="preserve"> report the anion form of all PFASs </t>
    </r>
    <r>
      <rPr>
        <sz val="12"/>
        <rFont val="Times New Roman"/>
        <family val="1"/>
      </rPr>
      <t>as noted in the "PFASs Nomenclature Anions" worksheet. Acid form names should not be reported unless otehrwise discussed with the HEER Office. Refer to Volume 1, Section 2.11 for guidance on chemicals not listed in EALs or EAL Surfer.</t>
    </r>
  </si>
  <si>
    <t>6. Soil Action Levels are applicable to Multi Increment Sample data only (required for final decision making). The action levels are not applicable to discrete sample data (not accepted for final decision making).</t>
  </si>
  <si>
    <t>7. See also attached Detailed EALs, Surfer Report, Chemical Summary worksheet, Advanced EHE Options and Glossary.</t>
  </si>
  <si>
    <t>Yes</t>
  </si>
  <si>
    <t>8. EAL Surfer modeled after San Francisco Bay Regional Water Quality Control Board ESL Surfer (original design by Laurent Meillier, 2005).</t>
  </si>
  <si>
    <t>No</t>
  </si>
  <si>
    <t>PFASs Environmental Action Levels Surfer
(Screening Levels For Specific Environmental Hazards)</t>
  </si>
  <si>
    <t>Hawai'i DOH (November 2024)</t>
  </si>
  <si>
    <t>Terrestrial
Ecological Impacts</t>
  </si>
  <si>
    <r>
      <t xml:space="preserve">Indoor Air
</t>
    </r>
    <r>
      <rPr>
        <b/>
        <sz val="11"/>
        <rFont val="Tahoma"/>
        <family val="2"/>
      </rPr>
      <t>(ug/m</t>
    </r>
    <r>
      <rPr>
        <b/>
        <vertAlign val="superscript"/>
        <sz val="11"/>
        <rFont val="Tahoma"/>
        <family val="2"/>
      </rPr>
      <t>3</t>
    </r>
    <r>
      <rPr>
        <b/>
        <sz val="11"/>
        <rFont val="Tahoma"/>
        <family val="2"/>
      </rPr>
      <t>)</t>
    </r>
  </si>
  <si>
    <t>Vapor Intrusion
into Buildings</t>
  </si>
  <si>
    <t>Gross Contamination</t>
  </si>
  <si>
    <t>Human
Health
Impacts</t>
  </si>
  <si>
    <t>Direct
Exposure</t>
  </si>
  <si>
    <r>
      <t>Soil</t>
    </r>
    <r>
      <rPr>
        <b/>
        <sz val="11"/>
        <rFont val="Tahoma"/>
        <family val="2"/>
      </rPr>
      <t xml:space="preserve"> (mg/kg)</t>
    </r>
  </si>
  <si>
    <r>
      <t xml:space="preserve">Soil Vapor </t>
    </r>
    <r>
      <rPr>
        <b/>
        <sz val="11"/>
        <rFont val="Tahoma"/>
        <family val="2"/>
      </rPr>
      <t>(ug/m</t>
    </r>
    <r>
      <rPr>
        <b/>
        <vertAlign val="superscript"/>
        <sz val="11"/>
        <rFont val="Tahoma"/>
        <family val="2"/>
      </rPr>
      <t>3</t>
    </r>
    <r>
      <rPr>
        <b/>
        <sz val="11"/>
        <rFont val="Tahoma"/>
        <family val="2"/>
      </rPr>
      <t>)</t>
    </r>
  </si>
  <si>
    <t>Soil Tier 1 EAL:</t>
  </si>
  <si>
    <t>Leaching</t>
  </si>
  <si>
    <r>
      <t>Groundwater</t>
    </r>
    <r>
      <rPr>
        <b/>
        <sz val="11"/>
        <rFont val="Tahoma"/>
        <family val="2"/>
      </rPr>
      <t xml:space="preserve"> (ug/L)</t>
    </r>
  </si>
  <si>
    <t>Impacts to
Aquatic Habitats</t>
  </si>
  <si>
    <t>Lowest GW EAL:</t>
  </si>
  <si>
    <t>Drinking Water
(toxicity)</t>
  </si>
  <si>
    <t>Selected Site Scenario</t>
  </si>
  <si>
    <t>Land Use:</t>
  </si>
  <si>
    <t>Distance to Surface Water:</t>
  </si>
  <si>
    <r>
      <t xml:space="preserve">Site Scenarios:  </t>
    </r>
    <r>
      <rPr>
        <sz val="11"/>
        <rFont val="Times New Roman"/>
        <family val="1"/>
      </rPr>
      <t>Site scenario options based on scenarios used to develop EAL lookup tables.</t>
    </r>
  </si>
  <si>
    <r>
      <rPr>
        <b/>
        <sz val="11"/>
        <rFont val="Times New Roman"/>
        <family val="1"/>
      </rPr>
      <t>Soil Eco-Risk:</t>
    </r>
    <r>
      <rPr>
        <sz val="11"/>
        <rFont val="Times New Roman"/>
        <family val="1"/>
      </rPr>
      <t xml:space="preserve"> Site specific, ecological risk assessment recommended at sites where anthropogenic contamination identified and sensitive, terrestrial ecological habitats could be threatened (see Volume 1 Section 4.2).</t>
    </r>
  </si>
  <si>
    <t>See also attached EAL Summary Report, Chemical Summary, Glossary and Advanced EHE Overview.</t>
  </si>
  <si>
    <r>
      <rPr>
        <b/>
        <sz val="12"/>
        <rFont val="Times New Roman"/>
        <family val="1"/>
      </rPr>
      <t xml:space="preserve">Soil Background: </t>
    </r>
    <r>
      <rPr>
        <sz val="12"/>
        <rFont val="Times New Roman"/>
        <family val="1"/>
      </rPr>
      <t>Upperbound background value noted for metals (HDOH 2011b).  Can be higher in some locations (e.g., Haiku soils on Maui and Kaua'i). See Table K for full range of potential background levels.</t>
    </r>
  </si>
  <si>
    <r>
      <t>1</t>
    </r>
    <r>
      <rPr>
        <b/>
        <sz val="16"/>
        <rFont val="Times New Roman"/>
        <family val="1"/>
      </rPr>
      <t>PFASs EAL SURFER SUMMARY REPORT</t>
    </r>
  </si>
  <si>
    <t>.</t>
  </si>
  <si>
    <t>Site Name:</t>
  </si>
  <si>
    <t>Site Address:</t>
  </si>
  <si>
    <t>Site ID Number:</t>
  </si>
  <si>
    <t>Date of EAL Search:</t>
  </si>
  <si>
    <t>Distance To Nearest
Surface Water Body:</t>
  </si>
  <si>
    <t>Selected Chemical of Concern:</t>
  </si>
  <si>
    <t>Input Site Concentrations</t>
  </si>
  <si>
    <t>Soil Environmental Hazards</t>
  </si>
  <si>
    <t>Units</t>
  </si>
  <si>
    <t>Environmental
Action Level</t>
  </si>
  <si>
    <r>
      <t>2</t>
    </r>
    <r>
      <rPr>
        <b/>
        <sz val="12"/>
        <rFont val="Times New Roman"/>
        <family val="1"/>
      </rPr>
      <t>Potential Hazard?</t>
    </r>
  </si>
  <si>
    <r>
      <t>3</t>
    </r>
    <r>
      <rPr>
        <b/>
        <sz val="12"/>
        <rFont val="Times New Roman"/>
        <family val="1"/>
      </rPr>
      <t>Referenced Table</t>
    </r>
  </si>
  <si>
    <t>Direct Exposure:</t>
  </si>
  <si>
    <t>mg/kg</t>
  </si>
  <si>
    <t>Vapor Emissions To Indoor Air:</t>
  </si>
  <si>
    <t>Terrestrial Ecotoxicity:</t>
  </si>
  <si>
    <t>Gross Contamination:</t>
  </si>
  <si>
    <t>Leaching (threat to groundwater):</t>
  </si>
  <si>
    <t>Background:</t>
  </si>
  <si>
    <t>Final Soil EAL:</t>
  </si>
  <si>
    <t>Basis:</t>
  </si>
  <si>
    <t>Groundwater Environmental Hazards</t>
  </si>
  <si>
    <t>Drinking Water (Toxicity):</t>
  </si>
  <si>
    <t>ug/L</t>
  </si>
  <si>
    <t>Aquatic Ecotoxicity:</t>
  </si>
  <si>
    <t>Final Groundwater EAL:</t>
  </si>
  <si>
    <t>Other 1 EALs:</t>
  </si>
  <si>
    <t>Shallow Soil Vapor:</t>
  </si>
  <si>
    <r>
      <t>ug/m</t>
    </r>
    <r>
      <rPr>
        <vertAlign val="superscript"/>
        <sz val="12"/>
        <rFont val="Times New Roman"/>
        <family val="1"/>
      </rPr>
      <t>3</t>
    </r>
  </si>
  <si>
    <t>Indoor Air:</t>
  </si>
  <si>
    <t>-</t>
  </si>
  <si>
    <r>
      <t xml:space="preserve">1. Include Surfer Summary Report in appendices of </t>
    </r>
    <r>
      <rPr>
        <i/>
        <sz val="11"/>
        <rFont val="Times New Roman"/>
        <family val="1"/>
      </rPr>
      <t>Environmental Hazard Evaluation</t>
    </r>
    <r>
      <rPr>
        <sz val="11"/>
        <rFont val="Times New Roman"/>
        <family val="1"/>
      </rPr>
      <t xml:space="preserve"> (EHE) for contaminants that exceed EALs (refer to Chapter 3 of main text).</t>
    </r>
  </si>
  <si>
    <t>2. Environmental hazard could exist of concentration of contaminant exceeds action level.</t>
  </si>
  <si>
    <t>3. Referenced tables presented in Appendix 1 of EHE guidance document.</t>
  </si>
  <si>
    <t>PFASs Environmental Action Levels Surfer
Hawai'i DOH (November 2024)</t>
  </si>
  <si>
    <t>Summary of Toxicity and Fate &amp; Transport Information</t>
  </si>
  <si>
    <t>Human Toxicity Factors</t>
  </si>
  <si>
    <t>Value</t>
  </si>
  <si>
    <t>Appendix 1
Reference Table</t>
  </si>
  <si>
    <t>Cancer Slope Factor - oral</t>
  </si>
  <si>
    <r>
      <t>(mg/kg-day)</t>
    </r>
    <r>
      <rPr>
        <vertAlign val="superscript"/>
        <sz val="10"/>
        <rFont val="Arial"/>
        <family val="2"/>
      </rPr>
      <t>-1</t>
    </r>
  </si>
  <si>
    <t>Table H</t>
  </si>
  <si>
    <t>Cancer Inhalation Unit Risk Factor</t>
  </si>
  <si>
    <r>
      <t>(ug/m</t>
    </r>
    <r>
      <rPr>
        <vertAlign val="superscript"/>
        <sz val="10"/>
        <rFont val="Arial"/>
        <family val="2"/>
      </rPr>
      <t>3</t>
    </r>
    <r>
      <rPr>
        <sz val="10"/>
        <rFont val="Arial"/>
        <family val="2"/>
      </rPr>
      <t>)</t>
    </r>
    <r>
      <rPr>
        <vertAlign val="superscript"/>
        <sz val="10"/>
        <rFont val="Arial"/>
        <family val="2"/>
      </rPr>
      <t>-1</t>
    </r>
  </si>
  <si>
    <t>Reference Dose - oral</t>
  </si>
  <si>
    <t>mg/kg-day</t>
  </si>
  <si>
    <t>Reference Dose - inhalation</t>
  </si>
  <si>
    <r>
      <t>(mg/m</t>
    </r>
    <r>
      <rPr>
        <vertAlign val="superscript"/>
        <sz val="10"/>
        <rFont val="Arial"/>
        <family val="2"/>
      </rPr>
      <t>3</t>
    </r>
    <r>
      <rPr>
        <sz val="10"/>
        <rFont val="Arial"/>
        <family val="2"/>
      </rPr>
      <t>)</t>
    </r>
  </si>
  <si>
    <t>Gastro-Intestinal Absorption Factor</t>
  </si>
  <si>
    <t>unitless</t>
  </si>
  <si>
    <t>Skin Absorption Factor</t>
  </si>
  <si>
    <t>Target Excess Cancer Risk Used:</t>
  </si>
  <si>
    <t>Target Hazard Quotient Used (drinking water):</t>
  </si>
  <si>
    <t>Table D-3b</t>
  </si>
  <si>
    <t>Target Hazard Quotient Used (soil):</t>
  </si>
  <si>
    <t>Aquatic Habitat Protection Goals</t>
  </si>
  <si>
    <t>Freshwater Chronic Goal</t>
  </si>
  <si>
    <t>Table D-4a</t>
  </si>
  <si>
    <t>Marine Chronic Goal</t>
  </si>
  <si>
    <t>Estuary Chronic Goal</t>
  </si>
  <si>
    <t>Freshwater Acute Goal</t>
  </si>
  <si>
    <t>Marine Acute Goal</t>
  </si>
  <si>
    <t>Estuary Acute Goal</t>
  </si>
  <si>
    <t>*Bioaccumulation Goal</t>
  </si>
  <si>
    <t>Table D-4f</t>
  </si>
  <si>
    <t>*Bioaccumulation goals used to screen surface water only (refer to Volume 1, Chapter 2 of EAL text).</t>
  </si>
  <si>
    <t>Fate &amp; Transport Information</t>
  </si>
  <si>
    <t>Molecular Weight</t>
  </si>
  <si>
    <t>Physical State</t>
  </si>
  <si>
    <t>Organic Carbon Partition Coeff. (koc)</t>
  </si>
  <si>
    <r>
      <t>cm</t>
    </r>
    <r>
      <rPr>
        <vertAlign val="superscript"/>
        <sz val="10"/>
        <rFont val="Arial"/>
        <family val="2"/>
      </rPr>
      <t>3</t>
    </r>
    <r>
      <rPr>
        <sz val="10"/>
        <rFont val="Arial"/>
        <family val="2"/>
      </rPr>
      <t>/g</t>
    </r>
  </si>
  <si>
    <t>Diffusivity in air</t>
  </si>
  <si>
    <r>
      <t>cm</t>
    </r>
    <r>
      <rPr>
        <vertAlign val="superscript"/>
        <sz val="10"/>
        <rFont val="Arial"/>
        <family val="2"/>
      </rPr>
      <t>2</t>
    </r>
    <r>
      <rPr>
        <sz val="10"/>
        <rFont val="Arial"/>
        <family val="2"/>
      </rPr>
      <t>/s</t>
    </r>
  </si>
  <si>
    <t>Diffusivity in water</t>
  </si>
  <si>
    <t>Solubility (water)</t>
  </si>
  <si>
    <t>mg/L</t>
  </si>
  <si>
    <t>Henry's Law Constant</t>
  </si>
  <si>
    <r>
      <t>atm-m</t>
    </r>
    <r>
      <rPr>
        <vertAlign val="superscript"/>
        <sz val="10"/>
        <rFont val="Arial"/>
        <family val="2"/>
      </rPr>
      <t>3</t>
    </r>
    <r>
      <rPr>
        <sz val="10"/>
        <rFont val="Arial"/>
        <family val="2"/>
      </rPr>
      <t>/mol</t>
    </r>
  </si>
  <si>
    <t>Refer to Appendix 1, Table J for specific a summary of potential health effects.</t>
  </si>
  <si>
    <t>Example advanced Environmental Hazard Evaluation options
when EALs exceeded and cleanup to EALs is not feasible
 (see also Chapter 4 of EHE Guidance)</t>
  </si>
  <si>
    <t>SOIL</t>
  </si>
  <si>
    <t>Use Tier 2, Direct Exposure Spreadsheet to calculate more site-specific action levels.  Refer to Tier 2 action levels for arsenic, dioxin and technical chlordane (see Chapter 4 of EHE guidance)</t>
  </si>
  <si>
    <t>Proceed directly to site-specific vapor intrusion evaluation (e.g., collection of soil vapor data an comparison to screening levels).  Input site-specific data into default soil vapor intrusion models (not generally recommended).</t>
  </si>
  <si>
    <t>No further action required if site lacks sigificant terrestrial eco habitats or threatened/endangered species.  Proceed to site-specific assessment if significant habitats or threatened/endangered species are present.</t>
  </si>
  <si>
    <t>Inspect site (or boring cuttings) for potential gross contamination concerns.  Include future management of grossly contaminated soil in an Environmental Hazard Management Plan if identified and left in place at the site.</t>
  </si>
  <si>
    <t>Leaching:</t>
  </si>
  <si>
    <t>Use laboratory batch test to evaluate contaminant mobility and potential groundwater impacts (see Chapter 4 of EHE guidance).</t>
  </si>
  <si>
    <t>GROUNDWATER</t>
  </si>
  <si>
    <t>No Tier 2 option for adustment of promulgated Maximum Contaminant Levels (MCLs).  Refer to USEPA Tapwater Screening Levels.  Review updated toxicity data used in model to develop risk-based action level for drinking water concerns in cases where a promulgated MCL was not available.</t>
  </si>
  <si>
    <t>No Tier 2 option for adustment of promulgated Surface Water Standards (refer to Table F-4d).  Review aquatic ecotoxicity data used to develop chronic or acute action levels in cases where a promulgated standard is not available.</t>
  </si>
  <si>
    <t>SOIL GAS (Vapor Intrusion)</t>
  </si>
  <si>
    <t>Input site-specific building design and ventilation data into default soil gas vapor intrusion models.  Evalaute need to proceed to indoor air study.</t>
  </si>
  <si>
    <t>Soil and Groundwater Background</t>
  </si>
  <si>
    <t>Review published or site-specific data to evaluate natural background concentrations of metals in soil or groundwater if EAL exceeded and no known potential source of a release.</t>
  </si>
  <si>
    <t>PFASs Tier 1 Environmental Action Levels Surfer
Hawai'i DOH (November 2024)</t>
  </si>
  <si>
    <t>GLOSSARY</t>
  </si>
  <si>
    <t>Site Scenarios</t>
  </si>
  <si>
    <r>
      <t xml:space="preserve">Land Use: </t>
    </r>
    <r>
      <rPr>
        <sz val="12"/>
        <rFont val="Times New Roman"/>
        <family val="1"/>
      </rPr>
      <t>Unrestricted land use includes single-family homes and high-density housing areas.  Also appropriate for other sensitive property uses, including schools, day care centers, medical facilities, etc.</t>
    </r>
  </si>
  <si>
    <r>
      <t>Groundwater Utility:</t>
    </r>
    <r>
      <rPr>
        <sz val="12"/>
        <rFont val="Times New Roman"/>
        <family val="1"/>
      </rPr>
      <t xml:space="preserve"> Groundwater categorized as drinking water or nondrinking water resource.  See Section 2.4 of Volume 1 for determination of groundwater utility at a specific site.</t>
    </r>
  </si>
  <si>
    <r>
      <t>Distance to Surface Water Body:</t>
    </r>
    <r>
      <rPr>
        <sz val="12"/>
        <rFont val="Times New Roman"/>
        <family val="1"/>
      </rPr>
      <t xml:space="preserve"> Used to evaluate potential impacts to aquatic habitats.  Chronic aquatic toxicity goals used to screen groundwater situated </t>
    </r>
    <r>
      <rPr>
        <u/>
        <sz val="12"/>
        <rFont val="Times New Roman"/>
        <family val="1"/>
      </rPr>
      <t>&lt;</t>
    </r>
    <r>
      <rPr>
        <sz val="12"/>
        <rFont val="Times New Roman"/>
        <family val="1"/>
      </rPr>
      <t xml:space="preserve">150m from an aquatic habitat.  Acute aquatic toxicity goals used to screen groundwater situated &gt;150m from an aquatic habitat.  Potential for groundwater contaminated above chronic goals to migrate into the 150m buffer zone must also be evaluated. </t>
    </r>
  </si>
  <si>
    <t>Soil EALS:</t>
  </si>
  <si>
    <r>
      <t xml:space="preserve">Direct Exposure: </t>
    </r>
    <r>
      <rPr>
        <sz val="12"/>
        <rFont val="Times New Roman"/>
        <family val="1"/>
      </rPr>
      <t>Address direct exposure and toxicity to humans.  Includes incidental ingestion, dermal contact and inhalation of vapors or dust particles in outdoor air.</t>
    </r>
  </si>
  <si>
    <r>
      <t xml:space="preserve">Vapor Emissions To Indoor Air: </t>
    </r>
    <r>
      <rPr>
        <sz val="12"/>
        <rFont val="Times New Roman"/>
        <family val="1"/>
      </rPr>
      <t>Address potential impacts to indoor air due to the intrusion of vapors from underlying, contaminated soil.</t>
    </r>
  </si>
  <si>
    <r>
      <t xml:space="preserve">Terrestrial Ecological Impacts: </t>
    </r>
    <r>
      <rPr>
        <sz val="12"/>
        <rFont val="Times New Roman"/>
        <family val="1"/>
      </rPr>
      <t>Address potential toxicity to terrestrial flora and fauna.  Site specific, ecological risk assessment recommended at sites where anthropogenic contamination identified and sensitive, terrestrial ecological habitats could be threatened.</t>
    </r>
  </si>
  <si>
    <r>
      <t xml:space="preserve">Gross Contamination:  </t>
    </r>
    <r>
      <rPr>
        <sz val="12"/>
        <rFont val="Times New Roman"/>
        <family val="1"/>
      </rPr>
      <t>Address odor, nuisance, generation of explosive vapors and other, non-risk related hazards posed by heavily contaminated soil.</t>
    </r>
  </si>
  <si>
    <r>
      <t xml:space="preserve">Leaching: </t>
    </r>
    <r>
      <rPr>
        <sz val="12"/>
        <rFont val="Times New Roman"/>
        <family val="1"/>
      </rPr>
      <t>Address potential leaching of chemicals from soil and subsequent impact on first-encountered groundwater.  Action levels for metals not included (must be evaluated on a site-by-site basis).</t>
    </r>
  </si>
  <si>
    <t>Groundwater EALs:</t>
  </si>
  <si>
    <r>
      <t xml:space="preserve">Drinking Water (Toxicity): </t>
    </r>
    <r>
      <rPr>
        <sz val="12"/>
        <rFont val="Times New Roman"/>
        <family val="1"/>
      </rPr>
      <t>Address potential toxicity to humans using the water as a drinking water resource.  Based on promulgated Primary Maximum Contaminant Levels (Primary MCLs) or equivalent.</t>
    </r>
  </si>
  <si>
    <r>
      <t xml:space="preserve">Vapor Emissions To Indoor Air: </t>
    </r>
    <r>
      <rPr>
        <sz val="12"/>
        <rFont val="Times New Roman"/>
        <family val="1"/>
      </rPr>
      <t>Address potential impacts to indoor air due to the intrusion of vapors from underlying, contaminated groundwater.</t>
    </r>
  </si>
  <si>
    <r>
      <t xml:space="preserve">Discharges to Surface Water:  </t>
    </r>
    <r>
      <rPr>
        <sz val="12"/>
        <rFont val="Times New Roman"/>
        <family val="1"/>
      </rPr>
      <t>Address potential chronic impacts to aquatic organisms.  Promulgated chronic surface water standard or equivalent.</t>
    </r>
  </si>
  <si>
    <r>
      <t xml:space="preserve">Gross Contamination:  </t>
    </r>
    <r>
      <rPr>
        <sz val="12"/>
        <rFont val="Times New Roman"/>
        <family val="1"/>
      </rPr>
      <t>Address odor, nuisance, generation of explosive vapors and other, non-risk related hazards posed by heavily contamniated groundwater.  For drinking water resources, Secondary Maximum Contaminant Level (Secondary MCL) or equivalent for taste and odor concerns also considered.</t>
    </r>
  </si>
  <si>
    <t>Indoor Air and Soil Gas EALs:</t>
  </si>
  <si>
    <r>
      <t xml:space="preserve">Indoor Air: </t>
    </r>
    <r>
      <rPr>
        <sz val="12"/>
        <rFont val="Times New Roman"/>
        <family val="1"/>
      </rPr>
      <t>Address direct exposure to volatile chemicals via inhalation.</t>
    </r>
  </si>
  <si>
    <r>
      <t xml:space="preserve">Soil Gas: </t>
    </r>
    <r>
      <rPr>
        <sz val="12"/>
        <rFont val="Times New Roman"/>
        <family val="1"/>
      </rPr>
      <t>Address intrusion of subsurface vapors into a building and subsequent impacts to indoor air.</t>
    </r>
  </si>
  <si>
    <t>Tier 1 EALs Compiler (Hide in public version)</t>
  </si>
  <si>
    <t>Site Scenario Selected:</t>
  </si>
  <si>
    <t>Chemical Selected:</t>
  </si>
  <si>
    <t>Input Soil Concentration (mg/kg):</t>
  </si>
  <si>
    <t>Input Groundwater Concentration (ug/L):</t>
  </si>
  <si>
    <r>
      <t>Input Soil Gas Concentration (ug/m</t>
    </r>
    <r>
      <rPr>
        <vertAlign val="superscript"/>
        <sz val="10"/>
        <rFont val="Arial"/>
        <family val="2"/>
      </rPr>
      <t>3</t>
    </r>
    <r>
      <rPr>
        <sz val="10"/>
        <rFont val="Arial"/>
        <family val="2"/>
      </rPr>
      <t>)</t>
    </r>
  </si>
  <si>
    <t>Soil Tier 1 EAL Tables</t>
  </si>
  <si>
    <t>Selected?</t>
  </si>
  <si>
    <t>Table A-1:</t>
  </si>
  <si>
    <t>Table A-2:</t>
  </si>
  <si>
    <t>Table B-1:</t>
  </si>
  <si>
    <t>Table B-2:</t>
  </si>
  <si>
    <t>Final Soil Tier 1 EALs (mg/kg)</t>
  </si>
  <si>
    <t>Vapor Intrusion:</t>
  </si>
  <si>
    <t>Basis</t>
  </si>
  <si>
    <t>Lowest Soil EAL:</t>
  </si>
  <si>
    <t>Final Groundwater Action Levels (ug/L)</t>
  </si>
  <si>
    <t>Table D-1a:</t>
  </si>
  <si>
    <t>Table D-1b:</t>
  </si>
  <si>
    <t>Table D-1c:</t>
  </si>
  <si>
    <t>Table D-1d:</t>
  </si>
  <si>
    <t>Groundwater (ug/L)</t>
  </si>
  <si>
    <t>Drinking Water:</t>
  </si>
  <si>
    <t>Soil Action Levels (mg/kg)</t>
  </si>
  <si>
    <t>Referenced Table</t>
  </si>
  <si>
    <t>Direct Exposure</t>
  </si>
  <si>
    <t>Residential:</t>
  </si>
  <si>
    <t>Table I-1</t>
  </si>
  <si>
    <t>Commercial or Industrial:</t>
  </si>
  <si>
    <t>Table I-2</t>
  </si>
  <si>
    <t>Construction/Trench Worker</t>
  </si>
  <si>
    <t>Table I-3</t>
  </si>
  <si>
    <t>Final Direct Exposure:</t>
  </si>
  <si>
    <t>Vapor Intrusion</t>
  </si>
  <si>
    <t>Table C-1b</t>
  </si>
  <si>
    <t>Final Vapor Intrusion:</t>
  </si>
  <si>
    <t>DW, &lt;150m</t>
  </si>
  <si>
    <t>Table E-1</t>
  </si>
  <si>
    <t>DW, &gt;150m</t>
  </si>
  <si>
    <t>NDW, &lt;150m</t>
  </si>
  <si>
    <t>NDW, &gt;150m</t>
  </si>
  <si>
    <t>Final Leaching:</t>
  </si>
  <si>
    <t>Terrestrial Ecotoxicity</t>
  </si>
  <si>
    <t>Table L</t>
  </si>
  <si>
    <t>Final Terrestrial Ecotoxicity:</t>
  </si>
  <si>
    <t>Residential Exposed Soil:</t>
  </si>
  <si>
    <t>Table F-2</t>
  </si>
  <si>
    <t>Residential Isolated Soil:</t>
  </si>
  <si>
    <t>Table F-3</t>
  </si>
  <si>
    <t>Final Residential Action Level:</t>
  </si>
  <si>
    <t>Commercial/Industrial Exposed Soil:</t>
  </si>
  <si>
    <t>Commercial/Industrial Isolated Soil:</t>
  </si>
  <si>
    <t>Final Commercial/Industrial Action Level:</t>
  </si>
  <si>
    <t>Final Tier 1 Gross Contamination:</t>
  </si>
  <si>
    <t>Final Tier 1 Soil EAL:</t>
  </si>
  <si>
    <t>Groundwater Action Levels (ug/L)</t>
  </si>
  <si>
    <t>Drinking Water Toxicity</t>
  </si>
  <si>
    <t>Table D-3a</t>
  </si>
  <si>
    <t>Table C-1a</t>
  </si>
  <si>
    <t>Aquatic Ecotoxicity</t>
  </si>
  <si>
    <t>Chronic:</t>
  </si>
  <si>
    <t>Acute:</t>
  </si>
  <si>
    <t>Final Aquatic Ecotoxicity:</t>
  </si>
  <si>
    <t>Table G-1</t>
  </si>
  <si>
    <t>Nondrinking Water:</t>
  </si>
  <si>
    <t>Table G-2</t>
  </si>
  <si>
    <t>Final Gross Contamination:</t>
  </si>
  <si>
    <t>Final Tier 1 GW EAL:</t>
  </si>
  <si>
    <r>
      <t>Indoor Air and Soil Gas Action Levels (ug/m</t>
    </r>
    <r>
      <rPr>
        <b/>
        <vertAlign val="superscript"/>
        <sz val="10"/>
        <rFont val="Arial"/>
        <family val="2"/>
      </rPr>
      <t>3</t>
    </r>
    <r>
      <rPr>
        <b/>
        <sz val="10"/>
        <rFont val="Arial"/>
        <family val="2"/>
      </rPr>
      <t>)</t>
    </r>
  </si>
  <si>
    <t>Indoor Air</t>
  </si>
  <si>
    <t>Table C-3</t>
  </si>
  <si>
    <t>Final Indoor Air:</t>
  </si>
  <si>
    <t>Soil Gas</t>
  </si>
  <si>
    <t>Table C-2</t>
  </si>
  <si>
    <t>Final Soil Gas:</t>
  </si>
  <si>
    <t>TABLE A.  ENVIRONMENTAL ACTION LEVELS (EALs)
Groundwater IS Current or Potential Source of Drinking Water</t>
  </si>
  <si>
    <t>&gt;150m to Surface Water Body</t>
  </si>
  <si>
    <r>
      <t>&lt;</t>
    </r>
    <r>
      <rPr>
        <b/>
        <sz val="8"/>
        <rFont val="Arial"/>
        <family val="2"/>
      </rPr>
      <t>150m to Surface Water Body</t>
    </r>
  </si>
  <si>
    <t>CHEMICAL PARAMETER</t>
  </si>
  <si>
    <r>
      <t>1</t>
    </r>
    <r>
      <rPr>
        <b/>
        <sz val="8"/>
        <rFont val="Arial"/>
        <family val="2"/>
      </rPr>
      <t>Soil
 (mg/kg)</t>
    </r>
  </si>
  <si>
    <r>
      <t>2</t>
    </r>
    <r>
      <rPr>
        <b/>
        <sz val="8"/>
        <rFont val="Arial"/>
        <family val="2"/>
      </rPr>
      <t>Groundwater
(ug/L)</t>
    </r>
  </si>
  <si>
    <t>Perfluorobutane sulfonate (PFBS-)</t>
  </si>
  <si>
    <t>Perfluoropentane sulfonate (PFPeS-)</t>
  </si>
  <si>
    <t>Perfluorohexane sulfonate (PFHxS-)</t>
  </si>
  <si>
    <t>Perfluoroheptane sulfonate (PFHpS-)</t>
  </si>
  <si>
    <t>Perfluorooctane sulfonate (PFOS-)</t>
  </si>
  <si>
    <t>Perfluorodecane sulfonate (PFDS-)</t>
  </si>
  <si>
    <t>Perfluoro propanoate (PFPrA-)</t>
  </si>
  <si>
    <t>Perfluoro butanoate (PFBA-)</t>
  </si>
  <si>
    <t>Perfluoro pentanoate (PFPeA-)</t>
  </si>
  <si>
    <t>Perfluoro hexanoate (PFHxA-)</t>
  </si>
  <si>
    <t>Perfluoro heptanoate (PFHpA-)</t>
  </si>
  <si>
    <t>Perfluoro octanoate (PFOA-)</t>
  </si>
  <si>
    <t>Perfluoro nonanoate (PFNA-)</t>
  </si>
  <si>
    <t>Perfluoro decanoate (PFDA-)</t>
  </si>
  <si>
    <t>Perfluoro undecanoate (PFUnDA-)</t>
  </si>
  <si>
    <t>Perfluoro dodecanoate (PFDoDA-)</t>
  </si>
  <si>
    <t>Perfluoro tridecanoate (PFTrDA-)</t>
  </si>
  <si>
    <t>Perfluoro tetradecanoate (PFTeDA-)</t>
  </si>
  <si>
    <t>Perfluroroctane sulfonamide (PFOSA)</t>
  </si>
  <si>
    <t>2,3,3,3-tetrafluoro-2-(heptafluoropropoxy) propanoate (HFPO DA-)</t>
  </si>
  <si>
    <t>6:2 Fluorotelomer sulfonate (6:2 FTS-)</t>
  </si>
  <si>
    <t>Ammonium 4,8-Dioxa-3H-perfluoro nonanoate (ADONA-)</t>
  </si>
  <si>
    <t>6:2 Fluorotelomer alcohol (6:2 FTOH-)</t>
  </si>
  <si>
    <t>8:2 Fluorotelomer alcohol (8:2 FTOH-)</t>
  </si>
  <si>
    <t>6:2 Fluorotelomer thioether amido sulfonate (6:2 FTTAoS-)</t>
  </si>
  <si>
    <t>1. Based on unrestricted current or future land use. Considered adequate for residential housing, schools, medical facilities, day-care centers, parks and other sensitive uses.</t>
  </si>
  <si>
    <r>
      <t xml:space="preserve">2. Assumes potential impacts to drinking water source and discharge of groundwater into a freshwater, marine or estuary surface water system. Compare to </t>
    </r>
    <r>
      <rPr>
        <i/>
        <sz val="8"/>
        <rFont val="Arial"/>
        <family val="2"/>
      </rPr>
      <t>dissolved-phase</t>
    </r>
    <r>
      <rPr>
        <sz val="8"/>
        <rFont val="Arial"/>
        <family val="2"/>
      </rPr>
      <t xml:space="preserve"> concentration.</t>
    </r>
  </si>
  <si>
    <t>Source of Soil Action Levels: Refer to Appendix 1, Tables A-1 and A-2.</t>
  </si>
  <si>
    <r>
      <t>Source of Groundwater Action Levels: Appendix 1, Table D-1a (</t>
    </r>
    <r>
      <rPr>
        <u/>
        <sz val="8"/>
        <rFont val="Arial"/>
        <family val="2"/>
      </rPr>
      <t>&lt;</t>
    </r>
    <r>
      <rPr>
        <sz val="8"/>
        <rFont val="Arial"/>
        <family val="2"/>
      </rPr>
      <t>150m to Surface Water Body) and Table D-1b (&gt;150m to Surface Water Body).</t>
    </r>
  </si>
  <si>
    <t>Soil data should be reported on dry-weight basis (see Appendix 1, Section 6.2).</t>
  </si>
  <si>
    <t>Soil Action Levels intended to address direct-exposure, groundwater protection (leaching) and gross contamination hazards. The need for a site-specific, ecological risk assessment should be evaluated if sensitive, terrestrial or aquatic habitats are within or nearby areas of contaminated soil.</t>
  </si>
  <si>
    <t>Groundwater Action Levels intended to address impacts to drinking water resources, discharge to surface water and aquatic toxicity, and gross contamination hazards. Availability of aquatic toxicity action levels for PFAS compounds limited. Drinking water action level used for screening in interim (refer to Table D-4b and Table D-4c).</t>
  </si>
  <si>
    <t>Groundwater action levels should be compared to dissolved-phase chemical concentrations unless otherwise instructed by HDOH.</t>
  </si>
  <si>
    <t>Groundwater ALs &gt;150m to Surface Water Body: Groundwater screened with respect to acute aquatic toxicity action levels (See Table D-1b).</t>
  </si>
  <si>
    <r>
      <t xml:space="preserve">Groundwater ALs </t>
    </r>
    <r>
      <rPr>
        <u/>
        <sz val="8"/>
        <rFont val="Arial"/>
        <family val="2"/>
      </rPr>
      <t>&lt;</t>
    </r>
    <r>
      <rPr>
        <sz val="8"/>
        <rFont val="Arial"/>
        <family val="2"/>
      </rPr>
      <t>150m to Surface Water Body: Groundwater screened with respect to chronic aquatic toxicity action levels (see Table D-1a).</t>
    </r>
  </si>
  <si>
    <t>TABLE B.  ENVIRONMENTAL ACTION LEVELS (EALs)
Groundwater IS NOT Current or Potential Source of Drinking Water</t>
  </si>
  <si>
    <t>1. Based on unrestricted current or future land use.  Considered adequate for residential housing, schools, medical facilities, day-care centers, parks and other sensitive uses.</t>
  </si>
  <si>
    <r>
      <t xml:space="preserve">2. Assumes potential discharge of groundwater into a freshwater, marine or estuary surface water system. Compare to </t>
    </r>
    <r>
      <rPr>
        <i/>
        <sz val="8"/>
        <rFont val="Arial"/>
        <family val="2"/>
      </rPr>
      <t>dissolved-phase</t>
    </r>
    <r>
      <rPr>
        <sz val="8"/>
        <rFont val="Arial"/>
        <family val="2"/>
      </rPr>
      <t xml:space="preserve"> concentration.</t>
    </r>
  </si>
  <si>
    <t>Source of Soil Action Levels: Refer to Appendix 1, Tables B-1 and B-2.</t>
  </si>
  <si>
    <r>
      <t>Source of Groundwater Action Levels: Appendix 1, Table D-1c (</t>
    </r>
    <r>
      <rPr>
        <u/>
        <sz val="8"/>
        <rFont val="Arial"/>
        <family val="2"/>
      </rPr>
      <t>&lt;</t>
    </r>
    <r>
      <rPr>
        <sz val="8"/>
        <rFont val="Arial"/>
        <family val="2"/>
      </rPr>
      <t>150m to Surface Water Body) and Table D-1d (&gt;150m to Surface Water Body).</t>
    </r>
  </si>
  <si>
    <t>Groundwater Action Levels intended to address discharge to surface water and aquatic toxicity and gross contamination hazards. Availability of aquatic toxicity action levels for PFAS compounds limited. Drinking water action level used for screening in interim (refer to Table D-4b and Table D-4c).</t>
  </si>
  <si>
    <t>Groundwater ALs &gt;150m to Surface Water Body: Groundwater screened with respect to acute aquatic toxicity action levels (See Table D-1d).</t>
  </si>
  <si>
    <r>
      <t xml:space="preserve">Groundwater ALs </t>
    </r>
    <r>
      <rPr>
        <u/>
        <sz val="8"/>
        <rFont val="Arial"/>
        <family val="2"/>
      </rPr>
      <t>&lt;</t>
    </r>
    <r>
      <rPr>
        <sz val="8"/>
        <rFont val="Arial"/>
        <family val="2"/>
      </rPr>
      <t>150m to Surface Water Body: Groundwater screened with respect to chronic aquatic toxicity action levels (see Table D-1c).</t>
    </r>
  </si>
  <si>
    <t>Groundwater action levels for PFBS- base on "Gross Contamination" upper limit of 50,000 µg/L (Appendix 1, Table G-2). Identical groundwater action levels for &gt;150m and &lt;150m indicate gross contamination cutoff or the lack of one or both chronic and acute action levels (refer to Appendix 1, Table D-3a).</t>
  </si>
  <si>
    <r>
      <t>TABLE C.  ENVIRONMENTAL ACTION LEVELS (EALs)
Indoor Air and Soil Vapor
(</t>
    </r>
    <r>
      <rPr>
        <b/>
        <vertAlign val="superscript"/>
        <sz val="12"/>
        <rFont val="Arial"/>
        <family val="2"/>
      </rPr>
      <t>1</t>
    </r>
    <r>
      <rPr>
        <b/>
        <sz val="12"/>
        <rFont val="Arial"/>
        <family val="2"/>
      </rPr>
      <t>Vapor Intrusion Hazards)</t>
    </r>
  </si>
  <si>
    <t>INDOOR AIR
ACTION LEVELS</t>
  </si>
  <si>
    <t>SHALLOW SOIL VAPOR
ACTION LEVELS</t>
  </si>
  <si>
    <t>Physical
State</t>
  </si>
  <si>
    <t>Residential
 (ug/m3)</t>
  </si>
  <si>
    <r>
      <t>Commercial/
Industrial
 (ug/m</t>
    </r>
    <r>
      <rPr>
        <b/>
        <vertAlign val="superscript"/>
        <sz val="9"/>
        <rFont val="Arial"/>
        <family val="2"/>
      </rPr>
      <t>3</t>
    </r>
    <r>
      <rPr>
        <b/>
        <sz val="9"/>
        <rFont val="Arial"/>
        <family val="2"/>
      </rPr>
      <t>)</t>
    </r>
  </si>
  <si>
    <t>1. Targeted PFAss not significantly volatile. Vapor intrusion risks from contaminated soil and groundwater assumed to be insignificant.</t>
  </si>
  <si>
    <r>
      <t xml:space="preserve">TABLE D.  ENVIRONMENTAL ACTION LEVELS (EALs)
</t>
    </r>
    <r>
      <rPr>
        <b/>
        <vertAlign val="superscript"/>
        <sz val="12"/>
        <rFont val="Arial"/>
        <family val="2"/>
      </rPr>
      <t>1</t>
    </r>
    <r>
      <rPr>
        <b/>
        <sz val="12"/>
        <rFont val="Arial"/>
        <family val="2"/>
      </rPr>
      <t>Surface Water Bodies</t>
    </r>
  </si>
  <si>
    <r>
      <rPr>
        <b/>
        <vertAlign val="superscript"/>
        <sz val="8"/>
        <rFont val="Arial"/>
        <family val="2"/>
      </rPr>
      <t>1</t>
    </r>
    <r>
      <rPr>
        <b/>
        <sz val="8"/>
        <rFont val="Arial"/>
        <family val="2"/>
      </rPr>
      <t>SURFACE WATER
ACTION LEVELS</t>
    </r>
  </si>
  <si>
    <r>
      <t>2</t>
    </r>
    <r>
      <rPr>
        <b/>
        <sz val="8"/>
        <rFont val="Arial"/>
        <family val="2"/>
      </rPr>
      <t>Freshwater
 (ug/L)</t>
    </r>
  </si>
  <si>
    <r>
      <t>3</t>
    </r>
    <r>
      <rPr>
        <b/>
        <sz val="8"/>
        <rFont val="Arial"/>
        <family val="2"/>
      </rPr>
      <t>Marine
 (ug/L)</t>
    </r>
  </si>
  <si>
    <r>
      <t>4</t>
    </r>
    <r>
      <rPr>
        <b/>
        <sz val="8"/>
        <rFont val="Arial"/>
        <family val="2"/>
      </rPr>
      <t>Estuarine
 (ug/L)</t>
    </r>
  </si>
  <si>
    <t>1. Pending due to limited information on chronic and acute toxicity of PFASs to aquatic organisms and bioaccumulation and uptake in the food chain. Refer to Tables D-4e (chronic and acute aquatic toxicity) and D-4f (bioaccumulation) for available action levels.  Surface water action levels for PFASs pending development of action levels</t>
  </si>
  <si>
    <t>2. Source of Freshwater EALs: Refer to Appendix 1, Table D-2a for basis.  Includes consideration of drinking water action levels.</t>
  </si>
  <si>
    <t>3. Source of Marine EALs: Refer to Appendix 1, Table D-2b for basis.</t>
  </si>
  <si>
    <t>4. Source of Estuarine EALs: Refer to Appendix 1, Table D-2c for basis.</t>
  </si>
  <si>
    <t>Surface water action levels lowest of drinking water goal (freshwater only), chronic aquatic habitat goal, goal to address bioaccumulation in aquatic organisms and subsequent consumption by humans, and general nuisance goal (odors, etc.).  Refer to Chapter 2 of text and Appendix 1 for details.</t>
  </si>
  <si>
    <t>Estuarine action levels lowest of freshwater and marine action levels.</t>
  </si>
  <si>
    <r>
      <t xml:space="preserve">TABLE E. </t>
    </r>
    <r>
      <rPr>
        <b/>
        <vertAlign val="superscript"/>
        <sz val="11.5"/>
        <rFont val="Arial"/>
        <family val="2"/>
      </rPr>
      <t>1</t>
    </r>
    <r>
      <rPr>
        <b/>
        <sz val="11.5"/>
        <rFont val="Arial"/>
        <family val="2"/>
      </rPr>
      <t>SOIL VAPOR SCREENING LEVELS
FOR EVALUATION OF VADOSE-ZONE LEACHATE
(Potential impacts to highly vulnerable drinking water aquifers)</t>
    </r>
  </si>
  <si>
    <r>
      <t>Target Groundwater Screening Level
(</t>
    </r>
    <r>
      <rPr>
        <b/>
        <sz val="8"/>
        <rFont val="Calibri"/>
        <family val="2"/>
      </rPr>
      <t>µ</t>
    </r>
    <r>
      <rPr>
        <b/>
        <sz val="8"/>
        <rFont val="Arial"/>
        <family val="2"/>
      </rPr>
      <t>g/L)</t>
    </r>
  </si>
  <si>
    <r>
      <t>Soil Vapor
Screening Level
(µg/m</t>
    </r>
    <r>
      <rPr>
        <b/>
        <vertAlign val="superscript"/>
        <sz val="8"/>
        <rFont val="Arial"/>
        <family val="2"/>
      </rPr>
      <t>3</t>
    </r>
    <r>
      <rPr>
        <b/>
        <sz val="8"/>
        <rFont val="Arial"/>
        <family val="2"/>
      </rPr>
      <t>)</t>
    </r>
  </si>
  <si>
    <t>1. Not applicable. Targeted PFASs not significantly volatile.</t>
  </si>
  <si>
    <t>TABLE A-1.  SOIL ACTION LEVELS
(Potentially impacted groundwater IS a current or potential drinking water resource;
Surface water body IS NOT located within 150m of release site)</t>
  </si>
  <si>
    <t xml:space="preserve"> (mg/kg)</t>
  </si>
  <si>
    <t>Final EAL</t>
  </si>
  <si>
    <r>
      <t>1</t>
    </r>
    <r>
      <rPr>
        <b/>
        <sz val="8"/>
        <rFont val="Arial"/>
        <family val="2"/>
      </rPr>
      <t>Gross
Contamination
(Odors, etc.)</t>
    </r>
  </si>
  <si>
    <t>Terrestrial
Ecotoxicity</t>
  </si>
  <si>
    <t>Background</t>
  </si>
  <si>
    <r>
      <t>1</t>
    </r>
    <r>
      <rPr>
        <b/>
        <sz val="8"/>
        <rFont val="Arial"/>
        <family val="2"/>
      </rPr>
      <t>Human Health</t>
    </r>
  </si>
  <si>
    <t>Leaching &amp; Groundwater Protection</t>
  </si>
  <si>
    <t>Vapor Intrusion
Into Buildings</t>
  </si>
  <si>
    <t>Table K</t>
  </si>
  <si>
    <t>Table E</t>
  </si>
  <si>
    <t>Groundwater Protection</t>
  </si>
  <si>
    <t>(not volatile)</t>
  </si>
  <si>
    <t>NA</t>
  </si>
  <si>
    <t>NA= Toxicity factors not available.</t>
  </si>
  <si>
    <t>Final Environmental Action Level is lowest of gross contamination, ecotoxicity, direct-exposure, vapor intrusion and leaching action levels.</t>
  </si>
  <si>
    <t>Assumes soil pH 5.0 to 9.0.</t>
  </si>
  <si>
    <t>Soil data should be reported on dry-weight basis (see Chapter 7).</t>
  </si>
  <si>
    <t>TABLE A-2.  SOIL ACTION LEVELS
(Potentially impacted groundwater IS a current or potential drinking water resource;
Surface water body IS located within 150m of release site)</t>
  </si>
  <si>
    <t>TABLE B-1.  SOIL ACTION LEVELS
(Potentially impacted groundwater IS NOT a current or potential drinking water resource;
Surface water body IS NOT located within 150m of release site)</t>
  </si>
  <si>
    <t>NON-Drinking Water Resource</t>
  </si>
  <si>
    <t>TABLE B-2.  SOIL ACTION LEVELS
(Potentially impacted groundwater IS NOT a current or potential drinking water resource;
Surface water body IS located within 150m of release site)</t>
  </si>
  <si>
    <t>TABLE C-1a. GROUNDWATER ACTION LEVELS 
FOR EVALUATION OF POTENTIAL VAPOR INTRUSION HAZARDS
(volatile chemicals only)</t>
  </si>
  <si>
    <t>For</t>
  </si>
  <si>
    <t>Physical</t>
  </si>
  <si>
    <r>
      <t>1,3</t>
    </r>
    <r>
      <rPr>
        <b/>
        <sz val="8"/>
        <rFont val="Arial"/>
        <family val="2"/>
      </rPr>
      <t>Unrestricted
Land Use</t>
    </r>
  </si>
  <si>
    <t>Commercial/
Industrial
Land Use Only</t>
  </si>
  <si>
    <t>VLOOKUP</t>
  </si>
  <si>
    <t>State</t>
  </si>
  <si>
    <t>(ug/L)</t>
  </si>
  <si>
    <t>1. Based on unrestricted current or future land use.  Considered adequate for residential housing, schools, medical facilities, day-care centers and other sensitive uses.</t>
  </si>
  <si>
    <t>2. Soil model: One meter dry sandy soil (92% sand, 5% silt, 3% clay) over one meter moist clayey loam (33% sand, 34% silt, 33% clay).  Used to reflect general field calibration of groundwater data to soil gas data.</t>
  </si>
  <si>
    <t>3. For inclusion in Tier 1 action levels, all groundwater assumed to potentially migrate under a residential area.  Action levels for protection of indoor air under a residential exposure scenario carried forward for use at both residential and   commercial/industrial sites (see Table D series).</t>
  </si>
  <si>
    <t>Action levels calculated using spreadsheet provided with User's Guide for the USEPA vapor intrusion guidance (USEPA 2004)</t>
  </si>
  <si>
    <t>Assumed vadose-zone thickness/depth to groundwater three meters.  See Appendix 1 text for model details.</t>
  </si>
  <si>
    <t>Physical state of chemical at ambient conditions (V - volatile, NV - nonvolatile, S -solid, L - liquid, G - gas).</t>
  </si>
  <si>
    <t>Chemical considered to be "volatile" if Henry's number (atm m3/mole) &gt;0.00001 and molecular weight &lt;200.</t>
  </si>
  <si>
    <t>Target cancer risk = 1E-06, Target Hazard Quotient = 1.0 except as noted.</t>
  </si>
  <si>
    <t>"#": Nonchlorinated VOCs (except MTBE) adjusted upwards by factor of ten to account for assumed biodegradation in vadose-zone prior to emission at surface.</t>
  </si>
  <si>
    <t>TABLE C-1b. SOIL ACTION LEVELS 
FOR EVALUATION OF POTENTIAL VAPOR INTRUSION HAZARDS
(volatile chemicals only)
(Use with Soil Gas Action Levels for sites with significant VOC releases)</t>
  </si>
  <si>
    <r>
      <t>1</t>
    </r>
    <r>
      <rPr>
        <b/>
        <sz val="8"/>
        <rFont val="Arial"/>
        <family val="2"/>
      </rPr>
      <t>Unrestricted
Land Use</t>
    </r>
  </si>
  <si>
    <t>(mg/kg)</t>
  </si>
  <si>
    <t>Soil model: Two meters dry sandy soil (92% sand, 5% silt, 3% clay) directly underlying building foundation.</t>
  </si>
  <si>
    <r>
      <t xml:space="preserve">TABLE C-2. </t>
    </r>
    <r>
      <rPr>
        <b/>
        <vertAlign val="superscript"/>
        <sz val="12"/>
        <rFont val="Arial"/>
        <family val="2"/>
      </rPr>
      <t>1</t>
    </r>
    <r>
      <rPr>
        <b/>
        <sz val="12"/>
        <rFont val="Arial"/>
        <family val="2"/>
      </rPr>
      <t>SHALLOW SOIL VAPOR ACTION LEVELS
FOR EVALUATION OF POTENTIAL VAPOR INTRUSION HAZARDS
(volatile chemicals only)</t>
    </r>
  </si>
  <si>
    <r>
      <t>2</t>
    </r>
    <r>
      <rPr>
        <b/>
        <sz val="8"/>
        <rFont val="Arial"/>
        <family val="2"/>
      </rPr>
      <t>Unrestricted Land Use</t>
    </r>
  </si>
  <si>
    <t>Commercial/Industrial Land Use Only</t>
  </si>
  <si>
    <t>Lowest</t>
  </si>
  <si>
    <t>Carcinogenic</t>
  </si>
  <si>
    <t>Noncarcinogenic</t>
  </si>
  <si>
    <t>Residential</t>
  </si>
  <si>
    <t>Effects</t>
  </si>
  <si>
    <t>C/I</t>
  </si>
  <si>
    <r>
      <t>(ug/m</t>
    </r>
    <r>
      <rPr>
        <b/>
        <vertAlign val="superscript"/>
        <sz val="8"/>
        <rFont val="Arial"/>
        <family val="2"/>
      </rPr>
      <t>3</t>
    </r>
    <r>
      <rPr>
        <b/>
        <sz val="8"/>
        <rFont val="Arial"/>
        <family val="2"/>
      </rPr>
      <t>)</t>
    </r>
  </si>
  <si>
    <t>1. Shallow soil gas defined as soil gas sample data collected within 1.5 meters (five feet) from a building foundation or the ground surface.  Assumes very permeable (e.g., sandy) fill material immediately beneath building slab or could be present below future buildings following redevelopment.  Evaluation of deeper soil gas data (e.g., &gt;1.5m bgs) should be carried out on a site-specific basis.</t>
  </si>
  <si>
    <t>2. Based on unrestricted current or future land use.  Considered adequate for residential housing, schools, medical facilities, day-care centers and other sensitive uses.</t>
  </si>
  <si>
    <t>Soil gas action levels intended to be protective of indoor air quality, calculated for volatile chemicals only.</t>
  </si>
  <si>
    <t>Physical state of chemical at ambient conditions (V - volatile, NV - nonvolatile, S - solid, L - liquid, G - gas).</t>
  </si>
  <si>
    <t>Target cancer risk = 1E-06, Target Hazard Quotient = 1.0 for all chemicals except as noted.</t>
  </si>
  <si>
    <t xml:space="preserve">Residential soil gas:indoor air attenuation factor = 0.0005 (1/2000).  Commercial/industrial soil gas:indoor air attenuation factor = 0.00025 (1/4000).  See Section 3.3. </t>
  </si>
  <si>
    <t>Soil gas action levels for TPHgasolines based on action levels for TPHmiddle distillates due to potential for mixture of fuel types at release sites.</t>
  </si>
  <si>
    <t>Soil gas action levels do not address mass-balance issues.  May be overly conservative for sites with low permeability soils immediately beneath a building slab</t>
  </si>
  <si>
    <t>or limited soil impacts and no source of VOCs in groundwater.</t>
  </si>
  <si>
    <t>Indoor-air sampling and/or passive vapor mitigation measures may be prudent for sites where concentrations of</t>
  </si>
  <si>
    <t>chemicals in soil gas approach but do not exceed action levels.  Consider other sources of VOCs in all indoor air studies.</t>
  </si>
  <si>
    <t>TABLE C-3. INDOOR AIR ACTION LEVELS
(volatile and semi-volatile chemicals)</t>
  </si>
  <si>
    <t>Health-Based Action Levels</t>
  </si>
  <si>
    <t>50% Odor
Recognition
Threshold
(Table F-2)</t>
  </si>
  <si>
    <t>Unit Risk</t>
  </si>
  <si>
    <t>Reference</t>
  </si>
  <si>
    <r>
      <t>1</t>
    </r>
    <r>
      <rPr>
        <b/>
        <sz val="8"/>
        <rFont val="Arial"/>
        <family val="2"/>
      </rPr>
      <t>Unrestricted Land Use</t>
    </r>
  </si>
  <si>
    <t>Commercial/Industrial Use Only</t>
  </si>
  <si>
    <t>Factor</t>
  </si>
  <si>
    <t>Concentration</t>
  </si>
  <si>
    <t>URF</t>
  </si>
  <si>
    <t>RfC</t>
  </si>
  <si>
    <t>(carcinogens)</t>
  </si>
  <si>
    <t>(noncarcinogens)</t>
  </si>
  <si>
    <r>
      <t>(ug/m</t>
    </r>
    <r>
      <rPr>
        <b/>
        <vertAlign val="superscript"/>
        <sz val="8"/>
        <rFont val="Arial"/>
        <family val="2"/>
      </rPr>
      <t>3</t>
    </r>
    <r>
      <rPr>
        <b/>
        <sz val="8"/>
        <rFont val="Arial"/>
        <family val="2"/>
      </rPr>
      <t>)</t>
    </r>
    <r>
      <rPr>
        <b/>
        <vertAlign val="superscript"/>
        <sz val="8"/>
        <rFont val="Arial"/>
        <family val="2"/>
      </rPr>
      <t>-1</t>
    </r>
  </si>
  <si>
    <t>NA=Not available.</t>
  </si>
  <si>
    <r>
      <t>Target cancer risk = 10</t>
    </r>
    <r>
      <rPr>
        <vertAlign val="superscript"/>
        <sz val="8"/>
        <rFont val="Arial"/>
        <family val="2"/>
      </rPr>
      <t>-6</t>
    </r>
    <r>
      <rPr>
        <sz val="8"/>
        <rFont val="Arial"/>
        <family val="2"/>
      </rPr>
      <t>, Target Hazard Quotient = 1.0 for all chemicals except as noted</t>
    </r>
  </si>
  <si>
    <t>Target Hazard Quotient = 1.0 for TPH (see Appendix 1 and Appendix 9 Fall 2011 EAL update memo).</t>
  </si>
  <si>
    <t>Action levels calculated using spreadhseet provided with User's Guide for the USEPA vapor intrusion guidance (USEPA 2004, refer to Appendix 2 for equations and default input parameter values).</t>
  </si>
  <si>
    <t>Indoor air action levels listed only for volatile chemicals included in database of referenced model spreadsheet (plus MTBE).</t>
  </si>
  <si>
    <t>Indoor air action levels listed only for volatile chemicals included in database of referenced model spreadsheet.</t>
  </si>
  <si>
    <t>TABLE D-1a. GROUNDWATER ACTION LEVELS
(Groundwater IS a current or potential drinking water resource)
(Surface water body IS located within 150 meters of release site)</t>
  </si>
  <si>
    <r>
      <rPr>
        <b/>
        <sz val="11"/>
        <rFont val="Calibri"/>
        <family val="2"/>
      </rPr>
      <t>µ</t>
    </r>
    <r>
      <rPr>
        <b/>
        <sz val="11"/>
        <rFont val="Arial"/>
        <family val="2"/>
      </rPr>
      <t>g/L</t>
    </r>
  </si>
  <si>
    <t>CONTAMINANT</t>
  </si>
  <si>
    <r>
      <t>1</t>
    </r>
    <r>
      <rPr>
        <b/>
        <sz val="8"/>
        <rFont val="Arial"/>
        <family val="2"/>
      </rPr>
      <t>Final Groundwater Action Level</t>
    </r>
  </si>
  <si>
    <t>Gross Contamination
(Taste &amp; Odors, etc.)</t>
  </si>
  <si>
    <t>Drinking Water
Toxicity</t>
  </si>
  <si>
    <t>Aquatic
Habitat
Impacts
(chronic)</t>
  </si>
  <si>
    <t>1. Lowest of action levels for gross contamination, drinking water toxicity, vapor intrusion and aquatic habitat impacts.  Used to develop</t>
  </si>
  <si>
    <t xml:space="preserve">    soil leaching action levels for protection of groundwater quality.</t>
  </si>
  <si>
    <t>NA = Not available.</t>
  </si>
  <si>
    <t>Gross Contamination: Odor threshold, 1/2 solubility or 50000 ug/L maximum, whichever is lower. Intended to limit general groundwater resource</t>
  </si>
  <si>
    <t>degradation.</t>
  </si>
  <si>
    <t>Drinking Water Toxicity: Based on primary maximum concentration levels (MCLs), or equivalent.  Considered protective of human health.</t>
  </si>
  <si>
    <t>Vapor Intrusion: Addresses potential emission of volatile chemicals from groundwater into buildings and subsequent impact on indoor air.  Assumes moderately permeable, sandy soil or fill material immediately beneath building slab and unrestricted ("residential") land use (refer to Chapter 5).</t>
  </si>
  <si>
    <t>Aquatic Habitat Impacts: Addresses potential discharge of groundwater to estuarine aquatic habitat and subsequent impact on aquatic life; dilution of groundwater upon discharge to surface water not considered, in order to take into account potential impacts to benthic organisms (see Chapter 5).</t>
  </si>
  <si>
    <t>Method reporting limits and background concentrations replace final screening level as appropriate.</t>
  </si>
  <si>
    <t>TABLE D-1b. GROUNDWATER ACTION LEVELS
(Groundwater IS a current or potential drinking water resource)
(Surface water body IS NOT located within 150m of release site)</t>
  </si>
  <si>
    <t>(ug/l)</t>
  </si>
  <si>
    <t>Aquatic
Habitat
Impacts
(acute)</t>
  </si>
  <si>
    <t>TABLE D-1c. GROUNDWATER ACTION LEVELS
(Groundwater IS NOT a current or potential drinking water resource)
(Surface water body IS located within 150m of release site)</t>
  </si>
  <si>
    <r>
      <t>1</t>
    </r>
    <r>
      <rPr>
        <b/>
        <sz val="9"/>
        <rFont val="Arial"/>
        <family val="2"/>
      </rPr>
      <t>Final Groundwater Action Level</t>
    </r>
  </si>
  <si>
    <t>Gross Contamination
(Odors, etc.)</t>
  </si>
  <si>
    <t xml:space="preserve">1. Lowest of action levels for gross contamination, vapor intrusion and aquatic habitat impacts. Used to develop soil leaching action levels for protection of groundwater. </t>
  </si>
  <si>
    <t>2. Toxicity-based drinking water action level used as surrogate for aquatic toxicity if action level for latter not available (refer to Tables D-4b and D-4c). Re-assess on site-specific basis if discharge of groundwater to an aquatic habitat is suspected</t>
  </si>
  <si>
    <t>TABLE D-1d. GROUNDWATER ACTION LEVELS
(Groundwater IS NOT a current or potential drinking water resource)
(Surface water body IS NOT located within 150m of release site)</t>
  </si>
  <si>
    <t>TABLE D-2a. SURFACE WATER ACTION LEVELS
Fresh Water Habitats</t>
  </si>
  <si>
    <r>
      <t>1</t>
    </r>
    <r>
      <rPr>
        <b/>
        <sz val="8"/>
        <rFont val="Arial"/>
        <family val="2"/>
      </rPr>
      <t>Final
Surface Water Action Level</t>
    </r>
  </si>
  <si>
    <t>Drinking Water
(Toxicity)</t>
  </si>
  <si>
    <t>Fresh Water
Aquatic
Habitat Goal
(Chronic Toxicity)</t>
  </si>
  <si>
    <t>Bioaccumulation
and Human Consumption</t>
  </si>
  <si>
    <t>Table G-3</t>
  </si>
  <si>
    <t>1.  Lowest of gross contamination, drinking water toxicity, aquatic habitat and bioaccumulation action levels. Surface water action levels for PFASs on hold pending development of bioaccumulation action levels.</t>
  </si>
  <si>
    <t>Gross Contamination: Odor threshold, 1/2 solubility or 50000 ug/L maximum, whichever is lower. Intended to limit nuisances and general resource degradation.</t>
  </si>
  <si>
    <t>TABLE D-2b. SURFACE WATER ACTION LEVELS
Marine Habitats</t>
  </si>
  <si>
    <t>Marine
Aquatic
Habitat Goal
(Chronic Toxicity)</t>
  </si>
  <si>
    <t>Table G-4</t>
  </si>
  <si>
    <t>Table D-4F</t>
  </si>
  <si>
    <t>1.  Lowest of gross contamination, aquatic habitat and bioaccumulation action levels. Surface water action levels for PFASs on hold pending development of bioaccumulation action levels.</t>
  </si>
  <si>
    <t>Ceiling Level: Odor threshold, 1/2 solubility or 50000 ug/L maximum, whichever is lower. Intended to limit</t>
  </si>
  <si>
    <t>nuisances and general resource degradation.</t>
  </si>
  <si>
    <t>TABLE D-2c. SURFACE WATER ACTION LEVELS
*Estuary Habitats</t>
  </si>
  <si>
    <t>Estuary
Aquatic
Habitat Goal
(Chronic Toxicity)</t>
  </si>
  <si>
    <t>*Estuary Habitats: Mixed freshwater/marine water habitats.</t>
  </si>
  <si>
    <t>TABLE D-3a. FINAL DRINKING WATER ACTION LEVELS FOR HUMAN TOXICITY.</t>
  </si>
  <si>
    <t>Final
Action
Level</t>
  </si>
  <si>
    <t>HDOH
Primary MCL</t>
  </si>
  <si>
    <t>Other 
Criteria</t>
  </si>
  <si>
    <t>Risk-Based Action Level
(Table D-3b)</t>
  </si>
  <si>
    <t>USEPA 2024 MCLG</t>
  </si>
  <si>
    <t>USEPA 2024 MCL</t>
  </si>
  <si>
    <t>References:</t>
  </si>
  <si>
    <r>
      <t>Final health-based action level for drinking water: Promulgated state or federal MCLs noted as available. Action levels for other PFASs based on USEPA RSL model for tapwater, including a Relative Source Concentration of 20%, a target, noncancer Hazard Quotient of 1.0 and a target Excess Cancer Risk of 10</t>
    </r>
    <r>
      <rPr>
        <vertAlign val="superscript"/>
        <sz val="8"/>
        <rFont val="Arial"/>
        <family val="2"/>
      </rPr>
      <t>-6</t>
    </r>
    <r>
      <rPr>
        <sz val="8"/>
        <rFont val="Arial"/>
        <family val="2"/>
      </rPr>
      <t xml:space="preserve"> (see Table D-3b). Refer to accompanying Technical Memorandum for additional details.</t>
    </r>
  </si>
  <si>
    <t>Used for development of groundwater and soil screening levels.</t>
  </si>
  <si>
    <t>TABLE D-3b. RISK-BASED ACTION LEVELS FOR TAPWATER</t>
  </si>
  <si>
    <t>Lowest
Tapwater Goal
(ug/L)</t>
  </si>
  <si>
    <t>Carcinogenic Effects</t>
  </si>
  <si>
    <t>Mutagenic
Effects</t>
  </si>
  <si>
    <t>Noncancer Effects</t>
  </si>
  <si>
    <t xml:space="preserve"> See Technical Memorandum for equations and assumptions used to calculate action levels.</t>
  </si>
  <si>
    <t>Final health-based action level for drinking water: Promulgated state or federal MCLs not available. Action levels based on USEPA RSL model for tapwater, including a Relative Source Concentration of 20%, a target, noncancer Hazard Quotient of 1.0 and a target Excess Cancer Risk of 10-5. Refer to accompanying Technical Memorandum for additional details.</t>
  </si>
  <si>
    <t xml:space="preserve"> NA=Not available.</t>
  </si>
  <si>
    <t>TABLE D-4a.  SUMMARY OF AQUATIC HABITAT GOALS</t>
  </si>
  <si>
    <t>Estuarine</t>
  </si>
  <si>
    <t>Freshwater</t>
  </si>
  <si>
    <t>Marine</t>
  </si>
  <si>
    <t>Chronic
Aquatic
Toxicity
 (ug/L)</t>
  </si>
  <si>
    <t>Acute
Aquatic
Toxicity
 (ug/L)</t>
  </si>
  <si>
    <t>Reference: Appendix 1, Table D-4b (chronic) and D-4c (acute). NA=Not available.</t>
  </si>
  <si>
    <t>Aquatic goals for estuarine environments based on lowest of lowest of freshwater and marine goals. Drinking water action level referenced if aquatic toxicity action levels not available (refer to Table 4b and Table 4c).</t>
  </si>
  <si>
    <t>TABLE D-4b. SUMMARY OF SELECTED CHRONIC AQUATIC HABITAT GOALS</t>
  </si>
  <si>
    <r>
      <t>1</t>
    </r>
    <r>
      <rPr>
        <b/>
        <sz val="8"/>
        <rFont val="Arial"/>
        <family val="2"/>
      </rPr>
      <t>Aquatic Habitat Goals</t>
    </r>
  </si>
  <si>
    <r>
      <t>1</t>
    </r>
    <r>
      <rPr>
        <b/>
        <sz val="8"/>
        <rFont val="Arial"/>
        <family val="2"/>
      </rPr>
      <t>Estuarine
Aquatic Habitat Goal
(ug/L)</t>
    </r>
  </si>
  <si>
    <t>Lowest Freshwater
Aquatic Habitat Goal
(ug/L)</t>
  </si>
  <si>
    <t>Lowest
Marine
Aquatic Habitat Goal
(ug/L)</t>
  </si>
  <si>
    <t>1. Refer to Table D-4d and D-4e for summary of aquatic habitat goal sources.  Used for selection of groundwater action levels.</t>
  </si>
  <si>
    <t>2. Estuarine Goal = Lowest of Freshwater vs Saltwater chronic goals.</t>
  </si>
  <si>
    <t>3. Drinking water goal substituted as aquatic habitat goal if latter was not available (see text). Additional evaluation of aquatic toxicity should be carried out if the action level is exceeded, including review of published research and/or laboratory bioassay tests.</t>
  </si>
  <si>
    <t>TABLE D-4c. SUMMARY OF SELECTED ACUTE AQUATIC HABITAT GOALS</t>
  </si>
  <si>
    <r>
      <t>1</t>
    </r>
    <r>
      <rPr>
        <b/>
        <sz val="8"/>
        <rFont val="Arial"/>
        <family val="2"/>
      </rPr>
      <t>Estuarine Acute
Aquatic
Habitat Goal
(ug/L)</t>
    </r>
  </si>
  <si>
    <t>Freshwater Acute 
Aquatic
Habitat Goal
(ug/L)</t>
  </si>
  <si>
    <t>Saltwater Acute
Aquatic
Habitat Goal
(ug/L)</t>
  </si>
  <si>
    <t>TABLE D-4d. SUMMARY OF HAWAI'I CHRONIC AND ACUTE
SURFACE WATER (AQUATIC HABITAT) STANDARDS</t>
  </si>
  <si>
    <t>Freshwater
(ug/L)</t>
  </si>
  <si>
    <t>Saltwater
(ug/L)</t>
  </si>
  <si>
    <t>Chronic</t>
  </si>
  <si>
    <t>Acute</t>
  </si>
  <si>
    <t>Primary Reference:</t>
  </si>
  <si>
    <t>1. Hawai'I Administrative Rules, Title 11, Chapter 54, Section 11-54-04: Basic Water Quality Criteria, October 2012.</t>
  </si>
  <si>
    <t>TABLE D-4e. SUMMARY OF USEPA AND OTHER PUBLISHED AQUATIC HABITAT GOALS</t>
  </si>
  <si>
    <t>USEPA Reg IV
Chronic</t>
  </si>
  <si>
    <t>USEPA Reg IV
Acute</t>
  </si>
  <si>
    <t>Other Chronic</t>
  </si>
  <si>
    <r>
      <rPr>
        <b/>
        <vertAlign val="superscript"/>
        <sz val="8"/>
        <rFont val="Arial"/>
        <family val="2"/>
      </rPr>
      <t>1</t>
    </r>
    <r>
      <rPr>
        <b/>
        <sz val="8"/>
        <rFont val="Arial"/>
        <family val="2"/>
      </rPr>
      <t>Basis</t>
    </r>
  </si>
  <si>
    <t>NOEC Daphnia Magna</t>
  </si>
  <si>
    <t>Giesey et al 2010</t>
  </si>
  <si>
    <t>=acute LC0</t>
  </si>
  <si>
    <t>Acute LC0</t>
  </si>
  <si>
    <t>infection risk</t>
  </si>
  <si>
    <t>=freshwater chronic</t>
  </si>
  <si>
    <t>NOEC</t>
  </si>
  <si>
    <t>ACRA 2018 (80% species protection)</t>
  </si>
  <si>
    <t>PNOEC</t>
  </si>
  <si>
    <t>Beremds et al. 2009</t>
  </si>
  <si>
    <t>SERDP 2020</t>
  </si>
  <si>
    <t>120 hr post fertilization</t>
  </si>
  <si>
    <t>50% LC50 (ECHA 2018)</t>
  </si>
  <si>
    <t>developmental defects</t>
  </si>
  <si>
    <t>=marine chronic</t>
  </si>
  <si>
    <t>=acute NOEC</t>
  </si>
  <si>
    <t>acute NOEC</t>
  </si>
  <si>
    <t>50% EC50</t>
  </si>
  <si>
    <t>ECHA 2022 (units corrected to mg/L)</t>
  </si>
  <si>
    <r>
      <t xml:space="preserve">after ECHA 2022 (FW chronic </t>
    </r>
    <r>
      <rPr>
        <sz val="8"/>
        <rFont val="Calibri"/>
        <family val="2"/>
      </rPr>
      <t>÷</t>
    </r>
    <r>
      <rPr>
        <sz val="8"/>
        <rFont val="Arial"/>
        <family val="2"/>
      </rPr>
      <t xml:space="preserve"> 10)</t>
    </r>
  </si>
  <si>
    <t>=freshwater acute ÷ 10</t>
  </si>
  <si>
    <t>ECHA 2020 (NOEC)</t>
  </si>
  <si>
    <t>= freshwater chronic</t>
  </si>
  <si>
    <t>1. Aquatic toxicity action level based on WADOE (2020) unless otherwise noted.</t>
  </si>
  <si>
    <t>References</t>
  </si>
  <si>
    <t>WADOE, 2020, PFAS Ecological Receptors - Concentrations Protective of Surface Water and Upland Soil (Draft): Washington Department of Ecology, September 2020.</t>
  </si>
  <si>
    <t>ACRC, 2018, Practitioner guide to risk-based assessment, remediation and management of PFAS site contamination: Australia Cooperative Research Centre for Contamination Assessment and Remediation of the Environment, Technical Report no. 43. Newcastle, Australia.</t>
  </si>
  <si>
    <t>Giesy, J.P., Naile, J.E., Khim, J.S., Jones, P.D. and J.L. Newsted, 2010, Aquatic Toxicology of Perfluorinated Chemicals: D.M. Whitacre (ed.), Reviews of Environmental Contamination and Toxicology, 202, DOI 10.1007/978-1-4419-1157-5_1.</t>
  </si>
  <si>
    <t>ECHA, 2018, Proposal for Identification of Undecafluorohexanoic Acid and it's Ammonium Salt as Substances of Very High Concern: European Chemical Agency, August 2018.</t>
  </si>
  <si>
    <t>ECHA, 2020, Substance Evaluation Conclusion Document, Ammonium 2,2,3 trifluor-3-(1,1,2,2,3,3- hexafluoro-3-trifluormethoxypropoxy), propionate: European Chemical Agency, EC No 480-310-4, Decembe2 22, 2020.</t>
  </si>
  <si>
    <t>ECHA, 2022, Brief Profile: 3,3,4,4,5,5,6,6,7,7,8,8,8-tridecafluorooctanesulphonic acid: European Chemicals Agency (last updated Dec 13, 2022).</t>
  </si>
  <si>
    <t xml:space="preserve">Used for development of groundwater and soil action levels. </t>
  </si>
  <si>
    <t>See text for prioritization and selection of surface water quality action levels.</t>
  </si>
  <si>
    <t>AWQC: Aquatic Water Quality Criteria</t>
  </si>
  <si>
    <t>NOEC: No Observed Effects Level</t>
  </si>
  <si>
    <t>PNOEC: Predicted No Observed Effects Level</t>
  </si>
  <si>
    <t>EC50: 50% Effects Concentration</t>
  </si>
  <si>
    <t>LC0: 0% Lethal Concentration</t>
  </si>
  <si>
    <t>LC50: 50% Lethal Concentration</t>
  </si>
  <si>
    <t>TABLE D-4f. SURFACE WATER QUALITY STANDARDS FOR BIOACCUMULATION
AND HUMAN CONSUMPTION OF AQUATIC ORGANISMS
(ug/L)</t>
  </si>
  <si>
    <t>Selected Criteria</t>
  </si>
  <si>
    <r>
      <t>1</t>
    </r>
    <r>
      <rPr>
        <b/>
        <sz val="8"/>
        <rFont val="Arial"/>
        <family val="2"/>
      </rPr>
      <t>ACRC 2018</t>
    </r>
  </si>
  <si>
    <r>
      <t>2</t>
    </r>
    <r>
      <rPr>
        <b/>
        <sz val="8"/>
        <rFont val="Arial"/>
        <family val="2"/>
      </rPr>
      <t>Other</t>
    </r>
  </si>
  <si>
    <t>Other Ref</t>
  </si>
  <si>
    <t>1. ACRC, 2018, Practitioner guide to risk-based assessment, remediation and management of PFAS site contamination: Australia Cooperative Research Centre or Contamination Assessment and Remediation of the Environment, Technical Report no. 43. Newcastle, Australia.</t>
  </si>
  <si>
    <t>2. See reference.</t>
  </si>
  <si>
    <t>Hawai'I Surface Water Quality Standards for fish consumption considered if available.</t>
  </si>
  <si>
    <t>Addresses potential accumulation of chemical in aquatic organisms and subsequent consumption by humans.</t>
  </si>
  <si>
    <t>TABLE D-5. AGRICULTURAL 
WATER QUALITY GOALS</t>
  </si>
  <si>
    <t>Agricultural Water Quality Goals</t>
  </si>
  <si>
    <t>Addresses use of water (including groundwater) for</t>
  </si>
  <si>
    <t>agricultural/irrigation purposes.</t>
  </si>
  <si>
    <t>TABLE E-1. SOIL ACTION LEVELS FOR LEACHING CONCERNS</t>
  </si>
  <si>
    <t>Target Groundwater Concentrations</t>
  </si>
  <si>
    <t>Soil Leaching Action Levels</t>
  </si>
  <si>
    <t>HIDE COLUMN</t>
  </si>
  <si>
    <t>Drinking Water IS Threatened</t>
  </si>
  <si>
    <t>Drinking Water NOT Threatened</t>
  </si>
  <si>
    <t>Organic Carbon
Coefficient
(Koc)</t>
  </si>
  <si>
    <t>Koc used to select leaching model (regular algorithm vs Sat if Koc &gt;5,000)</t>
  </si>
  <si>
    <t>Henry's Law
Constant
(H)</t>
  </si>
  <si>
    <t>Dilution/
Atenuation
Factor
(DAF)</t>
  </si>
  <si>
    <t>Saturation Limit</t>
  </si>
  <si>
    <t>Target Groundwater
Concentration
(Surface Water
Within 150m;
Table D-1a)</t>
  </si>
  <si>
    <t>Target Groundwater
Concentration
(Surface Water
NOT Within 150m; Table D-1b)</t>
  </si>
  <si>
    <t>Target Groundwater
Concentration
(Surface Water
Within 150m;
Table D-1c)</t>
  </si>
  <si>
    <t>Target Groundwater
Concentration
(Surface Water
NOT Within 150m; Table D-1d)</t>
  </si>
  <si>
    <t>Soil Leaching
Action Level
(Surface Water
Within 150m)</t>
  </si>
  <si>
    <t>Soil Leaching
Action Level
(Surface Water
NOT Within 150m)</t>
  </si>
  <si>
    <t>Sorting</t>
  </si>
  <si>
    <t>Chemical</t>
  </si>
  <si>
    <r>
      <t>(cm</t>
    </r>
    <r>
      <rPr>
        <b/>
        <vertAlign val="superscript"/>
        <sz val="8"/>
        <rFont val="Arial"/>
        <family val="2"/>
      </rPr>
      <t>3</t>
    </r>
    <r>
      <rPr>
        <b/>
        <sz val="8"/>
        <rFont val="Arial"/>
        <family val="2"/>
      </rPr>
      <t>/g)</t>
    </r>
  </si>
  <si>
    <r>
      <t>(cm</t>
    </r>
    <r>
      <rPr>
        <b/>
        <vertAlign val="superscript"/>
        <sz val="8"/>
        <color indexed="10"/>
        <rFont val="Arial"/>
        <family val="2"/>
      </rPr>
      <t>3</t>
    </r>
    <r>
      <rPr>
        <b/>
        <sz val="8"/>
        <color indexed="10"/>
        <rFont val="Arial"/>
        <family val="2"/>
      </rPr>
      <t>/g)</t>
    </r>
  </si>
  <si>
    <r>
      <t>(atm-m</t>
    </r>
    <r>
      <rPr>
        <b/>
        <vertAlign val="superscript"/>
        <sz val="8"/>
        <rFont val="Arial"/>
        <family val="2"/>
      </rPr>
      <t>3</t>
    </r>
    <r>
      <rPr>
        <b/>
        <sz val="8"/>
        <rFont val="Arial"/>
        <family val="2"/>
      </rPr>
      <t>/mol)</t>
    </r>
  </si>
  <si>
    <t>425670-75-3</t>
  </si>
  <si>
    <t>Soil leaching equation from Ontario MOEE guidance (see text).</t>
  </si>
  <si>
    <t>Groundwater Category Drinking Water Resource - protective of groundwater that is a source of drinking water AND protective of discharge of groundwater to a surface water and subsequent impact on aquatic life.</t>
  </si>
  <si>
    <t>Groundwater Category NON-Drinking Water Resource - protective of discharge of impacted groundwater to surface water and subsequent impact on aquatic life.</t>
  </si>
  <si>
    <r>
      <rPr>
        <b/>
        <sz val="8"/>
        <rFont val="Arial"/>
        <family val="2"/>
      </rPr>
      <t xml:space="preserve">Leaching model used considered to be excessively conservative for highly sorptive chemicals. </t>
    </r>
    <r>
      <rPr>
        <sz val="8"/>
        <rFont val="Arial"/>
        <family val="2"/>
      </rPr>
      <t xml:space="preserve">For chemicals with </t>
    </r>
    <r>
      <rPr>
        <b/>
        <sz val="8"/>
        <rFont val="Arial"/>
        <family val="2"/>
      </rPr>
      <t>koc values greater than 5,000 cm3/g</t>
    </r>
    <r>
      <rPr>
        <sz val="8"/>
        <rFont val="Arial"/>
        <family val="2"/>
      </rPr>
      <t>, theoretical soil saturation level ("sat") used in place of leaching model action level if higher (see text).  Soil saturation levels calculated using equation presented in USEPA Regional Screening Levels guidance (see Appendix 2). Laboratory SPLP batch tests and LEAF Method 1314 soil column tests recommended to assess site-specific leaching hazard.</t>
    </r>
  </si>
  <si>
    <r>
      <t xml:space="preserve">TABLE E-2. </t>
    </r>
    <r>
      <rPr>
        <b/>
        <vertAlign val="superscript"/>
        <sz val="12"/>
        <rFont val="Arial"/>
        <family val="2"/>
      </rPr>
      <t>1</t>
    </r>
    <r>
      <rPr>
        <b/>
        <sz val="12"/>
        <rFont val="Arial"/>
        <family val="2"/>
      </rPr>
      <t>SOIL VAPOR ACTION LEVELS FOR EVALUATION OF VADOSE-ZONE LEACHATE AND PROTECTION OF DRINKING WATER AQUIFERS
(</t>
    </r>
    <r>
      <rPr>
        <b/>
        <vertAlign val="superscript"/>
        <sz val="12"/>
        <rFont val="Arial"/>
        <family val="2"/>
      </rPr>
      <t>2</t>
    </r>
    <r>
      <rPr>
        <b/>
        <sz val="12"/>
        <rFont val="Arial"/>
        <family val="2"/>
      </rPr>
      <t>volatile hydrocarbons, solvents, explosives and fumigants)</t>
    </r>
  </si>
  <si>
    <r>
      <t>2</t>
    </r>
    <r>
      <rPr>
        <b/>
        <sz val="9"/>
        <rFont val="Arial"/>
        <family val="2"/>
      </rPr>
      <t>Potential
Vapor-Phase
COPC?</t>
    </r>
  </si>
  <si>
    <r>
      <t>3</t>
    </r>
    <r>
      <rPr>
        <b/>
        <sz val="9"/>
        <rFont val="Arial"/>
        <family val="2"/>
      </rPr>
      <t>Henry's Law
Constant
(H')</t>
    </r>
  </si>
  <si>
    <r>
      <rPr>
        <b/>
        <vertAlign val="superscript"/>
        <sz val="9"/>
        <rFont val="Arial"/>
        <family val="2"/>
      </rPr>
      <t>4</t>
    </r>
    <r>
      <rPr>
        <b/>
        <sz val="9"/>
        <rFont val="Arial"/>
        <family val="2"/>
      </rPr>
      <t>Target Groundwater Screening Level
(</t>
    </r>
    <r>
      <rPr>
        <b/>
        <sz val="9"/>
        <rFont val="Calibri"/>
        <family val="2"/>
      </rPr>
      <t>µ</t>
    </r>
    <r>
      <rPr>
        <b/>
        <sz val="9"/>
        <rFont val="Arial"/>
        <family val="2"/>
      </rPr>
      <t>g/L)</t>
    </r>
  </si>
  <si>
    <r>
      <rPr>
        <b/>
        <vertAlign val="superscript"/>
        <sz val="9"/>
        <rFont val="Arial"/>
        <family val="2"/>
      </rPr>
      <t>1</t>
    </r>
    <r>
      <rPr>
        <b/>
        <sz val="9"/>
        <rFont val="Arial"/>
        <family val="2"/>
      </rPr>
      <t>Soil Vapor
Action Level</t>
    </r>
  </si>
  <si>
    <t>CHEMICAL</t>
  </si>
  <si>
    <t>(unitless)</t>
  </si>
  <si>
    <t>(ug/m3)</t>
  </si>
  <si>
    <t>1. Equivalent concentration of VOC in vadose-zone, soil gas when concentration in pore water/leachate is equal to drinking water screening level times a default dilution-attenuation factor of twenty; see Section 3.5 in Appendix 1 text and Section 4.3.4 in Volume 1). Downward attenuation during migration through the vadose zone (e.g., via volatilization)not considered; most applicable to vapors from leachate in close proximity to the water table.</t>
  </si>
  <si>
    <t>2. Common COPCs include: petroleum, chlorinated solvent or agricultural fumigant volatile chemicals of potential concern or related breakdown products (refer also to Section 9 of the Hawai'i DOH Technical Guidance Manual (HDOH 2016).  Petroleum VOCs focus on TPHg, TPHmd, BTEX, MTBE and naphthalene.</t>
  </si>
  <si>
    <t>3. Lowest of drinking water goals based on toxicity and taste and odors (see Table D-1a).</t>
  </si>
  <si>
    <t>TABLE F-1. CRITERIA FOR ASSIGNMENT
OF SOIL GROSS CONTAMINATION ACTION LEVELS</t>
  </si>
  <si>
    <t>Soil Category</t>
  </si>
  <si>
    <t>Criteria</t>
  </si>
  <si>
    <t>Gross Contamination Action Level
(mg/kg)</t>
  </si>
  <si>
    <t>Surface Soils</t>
  </si>
  <si>
    <t>Unrestricted Land Use
(includes Residential, Schools, Parkland, etc.)</t>
  </si>
  <si>
    <r>
      <t xml:space="preserve">Odor Index </t>
    </r>
    <r>
      <rPr>
        <u/>
        <sz val="10"/>
        <rFont val="Arial"/>
        <family val="2"/>
      </rPr>
      <t>&gt;</t>
    </r>
    <r>
      <rPr>
        <sz val="10"/>
        <rFont val="Arial"/>
        <family val="2"/>
      </rPr>
      <t xml:space="preserve"> 100 OR
no Odor Index and Vapor Pressure </t>
    </r>
    <r>
      <rPr>
        <u/>
        <sz val="10"/>
        <rFont val="Arial"/>
        <family val="2"/>
      </rPr>
      <t>&gt;</t>
    </r>
    <r>
      <rPr>
        <sz val="10"/>
        <rFont val="Arial"/>
        <family val="2"/>
      </rPr>
      <t xml:space="preserve"> 1 Torr OR
no data</t>
    </r>
  </si>
  <si>
    <r>
      <t xml:space="preserve">0.1 </t>
    </r>
    <r>
      <rPr>
        <u/>
        <sz val="10"/>
        <rFont val="Arial"/>
        <family val="2"/>
      </rPr>
      <t>&lt;</t>
    </r>
    <r>
      <rPr>
        <sz val="10"/>
        <rFont val="Arial"/>
        <family val="2"/>
      </rPr>
      <t xml:space="preserve"> Odor Index &lt; 100 OR
no Odor Index and Vapor Pressure &lt; 1 Torr</t>
    </r>
  </si>
  <si>
    <t>Odor Index &lt; 0.1 OR
non-odorous chemical</t>
  </si>
  <si>
    <t>Industrial/Commercial
Land Use Only</t>
  </si>
  <si>
    <t>Subsurface Soils</t>
  </si>
  <si>
    <t>Modified from Ontario Ministry of Environment and Energy (MOEE 1996) and Massachusetts</t>
  </si>
  <si>
    <t>Department of Environmental Protection (MADEP 1994).</t>
  </si>
  <si>
    <r>
      <t xml:space="preserve">TABLE F-2. GROSS CONTAMINATION ACTION LEVELS FOR </t>
    </r>
    <r>
      <rPr>
        <b/>
        <vertAlign val="superscript"/>
        <sz val="12"/>
        <rFont val="Arial"/>
        <family val="2"/>
      </rPr>
      <t>1</t>
    </r>
    <r>
      <rPr>
        <b/>
        <sz val="12"/>
        <rFont val="Arial"/>
        <family val="2"/>
      </rPr>
      <t>EXPOSED OR POTENTIALLY EXPOSED SOIL
(mg/kg)</t>
    </r>
  </si>
  <si>
    <r>
      <t>2</t>
    </r>
    <r>
      <rPr>
        <b/>
        <sz val="8"/>
        <rFont val="Arial"/>
        <family val="2"/>
      </rPr>
      <t>Final
Unrestricted Land Use
Action Level</t>
    </r>
  </si>
  <si>
    <t>Final
Industrial/
Commercial Land Use
Action Level</t>
  </si>
  <si>
    <r>
      <t>2</t>
    </r>
    <r>
      <rPr>
        <b/>
        <sz val="8"/>
        <rFont val="Arial"/>
        <family val="2"/>
      </rPr>
      <t>Raw
Unrestricted
Action Level</t>
    </r>
  </si>
  <si>
    <t>Raw
Industrial/
Commercial
Action Level</t>
  </si>
  <si>
    <t>Soil Saturation Limit
(mg/kg)</t>
  </si>
  <si>
    <r>
      <t xml:space="preserve">Vapor Pressure
(VP)
(Torr @ 20-30 </t>
    </r>
    <r>
      <rPr>
        <b/>
        <vertAlign val="superscript"/>
        <sz val="8"/>
        <rFont val="Arial"/>
        <family val="2"/>
      </rPr>
      <t>o</t>
    </r>
    <r>
      <rPr>
        <b/>
        <sz val="8"/>
        <rFont val="Arial"/>
        <family val="2"/>
      </rPr>
      <t>C)</t>
    </r>
  </si>
  <si>
    <r>
      <t>50 Percentile
Odor Recognition
Threshold (ORT)
(ug/m</t>
    </r>
    <r>
      <rPr>
        <b/>
        <vertAlign val="superscript"/>
        <sz val="8"/>
        <rFont val="Arial"/>
        <family val="2"/>
      </rPr>
      <t>3</t>
    </r>
    <r>
      <rPr>
        <b/>
        <sz val="8"/>
        <rFont val="Arial"/>
        <family val="2"/>
      </rPr>
      <t>)</t>
    </r>
  </si>
  <si>
    <t>50 Percentile
Odor Recognition
Threshold (ORT)
(ppm-v)</t>
  </si>
  <si>
    <t>Odor Index</t>
  </si>
  <si>
    <t>1. Default 0-3m below ground surface for residential settings and 0-1m below ground surface for commercial/industrial settings.</t>
  </si>
  <si>
    <t>3. Referred to as "ceiling levels" in original MADEP guidance (MADEP 1994).</t>
  </si>
  <si>
    <t>Odor Index = VP/ORT in ppm-v</t>
  </si>
  <si>
    <t>Odor Recognition Threshold in parts per million - volume (ppm-v = (concentration in mg/m3) x (24/molecular weight)).</t>
  </si>
  <si>
    <t xml:space="preserve">Ceiling Level: Based on comparison of vapor pressure and odor index to Table F-1 or saturation limit, if lower. </t>
  </si>
  <si>
    <t>Saturation limits calculated using equation in USEPA RSL guidance for chemicals that are liquid at ambient temperatures and pressures (refer to Appendix 2).</t>
  </si>
  <si>
    <t>References for odor threshold data:</t>
  </si>
  <si>
    <t xml:space="preserve"> Not available for PFAS compounds.</t>
  </si>
  <si>
    <r>
      <t xml:space="preserve">TABLE F-3. GROSS CONTAMINATION ACTION LEVELS FOR </t>
    </r>
    <r>
      <rPr>
        <b/>
        <vertAlign val="superscript"/>
        <sz val="12"/>
        <rFont val="Arial"/>
        <family val="2"/>
      </rPr>
      <t>1</t>
    </r>
    <r>
      <rPr>
        <b/>
        <sz val="12"/>
        <rFont val="Arial"/>
        <family val="2"/>
      </rPr>
      <t>DEEP OR OTHERWISE ISOLATED SOILS
(mg/kg)</t>
    </r>
  </si>
  <si>
    <t>1. Default &gt;3m below ground surface for residential settings and &gt;1m below unpaved ground surface for commercial/industrial settings.</t>
  </si>
  <si>
    <t>TABLE G-1. GROUNDWATER GROSS CONTAMINATION ACTION LEVELS
(groundwater IS a current or potential source of drinking water)
(ug/L)</t>
  </si>
  <si>
    <t>Final
Action Level</t>
  </si>
  <si>
    <t>Solubility (1/2)</t>
  </si>
  <si>
    <t>Taste And Odor
Threshold</t>
  </si>
  <si>
    <t>Upper Limit</t>
  </si>
  <si>
    <t>Taste and odor thresholds not currently available for PFAS compounds.</t>
  </si>
  <si>
    <t>Upper limit of 50000 ug/L intended to limit general groundwater resource degradation (MOEE 1996).</t>
  </si>
  <si>
    <t>Ceiling Level: lowest of 1/2 solubility, taste and odor threshold and 50000 ug/L maximum level</t>
  </si>
  <si>
    <t>TABLE G-2. GROUNDWATER GROSS CONTAMINATION ACTION LEVELS
(groundwater IS NOT a current or potential source of drinking water)
(ug/L)</t>
  </si>
  <si>
    <t>Nuisance Odor
Threshold</t>
  </si>
  <si>
    <t>Nuisance odor thresholds not currently available for PFAS compounds.</t>
  </si>
  <si>
    <t>Nuisance Odor Thresholds assume ten-fold attenuation/dilution of chemical in groundwater upon discharge to surface water.</t>
  </si>
  <si>
    <t>Ceiling Level: lowest of 1/2 solubility, odor/taste threshold and 50000 ug/L maximum level (intended to limit general groundwater resource degradation).</t>
  </si>
  <si>
    <t>TABLE G-3. SURFACE WATER GROSS CONTAMINATION ACTION LEVELS
(surface water IS a current or potential source of drinking water)
(ug/L)</t>
  </si>
  <si>
    <t>TABLE G-4. SURFACE WATER GROSS CONTAMINATION ACTION LEVELS
(surface water IS NOT a current or potential source of drinking water)
(ug/L)</t>
  </si>
  <si>
    <t>Nuisance Odor Thresholds assume no attenuation/dilution of chemical in surface water.</t>
  </si>
  <si>
    <t>TABLE H. PHYSIO-CHEMICAL AND TOXICITY CONSTANTS USED IN MODELS.</t>
  </si>
  <si>
    <r>
      <rPr>
        <b/>
        <vertAlign val="superscript"/>
        <sz val="8"/>
        <color theme="1"/>
        <rFont val="Arial"/>
        <family val="2"/>
      </rPr>
      <t>1</t>
    </r>
    <r>
      <rPr>
        <b/>
        <sz val="8"/>
        <color theme="1"/>
        <rFont val="Arial"/>
        <family val="2"/>
      </rPr>
      <t>CAS #</t>
    </r>
  </si>
  <si>
    <r>
      <rPr>
        <b/>
        <vertAlign val="superscript"/>
        <sz val="8"/>
        <color theme="1"/>
        <rFont val="Arial"/>
        <family val="2"/>
      </rPr>
      <t>1</t>
    </r>
    <r>
      <rPr>
        <b/>
        <sz val="8"/>
        <color theme="1"/>
        <rFont val="Arial"/>
        <family val="2"/>
      </rPr>
      <t>Chemical</t>
    </r>
  </si>
  <si>
    <r>
      <rPr>
        <b/>
        <vertAlign val="superscript"/>
        <sz val="8"/>
        <color theme="1"/>
        <rFont val="Arial"/>
        <family val="2"/>
      </rPr>
      <t>2</t>
    </r>
    <r>
      <rPr>
        <b/>
        <sz val="8"/>
        <color theme="1"/>
        <rFont val="Arial"/>
        <family val="2"/>
      </rPr>
      <t>Physical
State</t>
    </r>
  </si>
  <si>
    <t>Molecular
Weight</t>
  </si>
  <si>
    <t>Modeled Molecular
Weight</t>
  </si>
  <si>
    <t>Organic
Carbon
Partition
coefficient,</t>
  </si>
  <si>
    <t>Diffusivity
in Air</t>
  </si>
  <si>
    <t>Diffusivity
in Water</t>
  </si>
  <si>
    <t>Pure
Component
Solubility
in Water</t>
  </si>
  <si>
    <r>
      <rPr>
        <b/>
        <vertAlign val="superscript"/>
        <sz val="8"/>
        <color theme="1"/>
        <rFont val="Arial"/>
        <family val="2"/>
      </rPr>
      <t>4</t>
    </r>
    <r>
      <rPr>
        <b/>
        <sz val="8"/>
        <color theme="1"/>
        <rFont val="Arial"/>
        <family val="2"/>
      </rPr>
      <t>Vapor
Pressure</t>
    </r>
  </si>
  <si>
    <t>Henry's
Law Constant</t>
  </si>
  <si>
    <t>GI Tract
Absorption
Factor</t>
  </si>
  <si>
    <t>Skin
Absorption
Factor</t>
  </si>
  <si>
    <t>Cancer
Slope
Factor
(oral)</t>
  </si>
  <si>
    <t>Cancer
Inhalation
Unit Risk</t>
  </si>
  <si>
    <t>Reference
Dose
(oral)</t>
  </si>
  <si>
    <t>Reference
Concentration
(inhalation)</t>
  </si>
  <si>
    <r>
      <t>K</t>
    </r>
    <r>
      <rPr>
        <b/>
        <vertAlign val="subscript"/>
        <sz val="8"/>
        <color theme="1"/>
        <rFont val="Arial"/>
        <family val="2"/>
      </rPr>
      <t>oc</t>
    </r>
  </si>
  <si>
    <r>
      <t>D</t>
    </r>
    <r>
      <rPr>
        <b/>
        <vertAlign val="subscript"/>
        <sz val="8"/>
        <color theme="1"/>
        <rFont val="Arial"/>
        <family val="2"/>
      </rPr>
      <t>a</t>
    </r>
  </si>
  <si>
    <r>
      <t>D</t>
    </r>
    <r>
      <rPr>
        <b/>
        <vertAlign val="subscript"/>
        <sz val="8"/>
        <color theme="1"/>
        <rFont val="Arial"/>
        <family val="2"/>
      </rPr>
      <t>w</t>
    </r>
  </si>
  <si>
    <t>S</t>
  </si>
  <si>
    <t>VP</t>
  </si>
  <si>
    <t>H</t>
  </si>
  <si>
    <t>H'</t>
  </si>
  <si>
    <t>GIABS</t>
  </si>
  <si>
    <t>ABS</t>
  </si>
  <si>
    <t>CSFo</t>
  </si>
  <si>
    <t>IUR</t>
  </si>
  <si>
    <t>RfDo</t>
  </si>
  <si>
    <t>MW</t>
  </si>
  <si>
    <r>
      <t>(cm</t>
    </r>
    <r>
      <rPr>
        <b/>
        <vertAlign val="superscript"/>
        <sz val="8"/>
        <color theme="1"/>
        <rFont val="Arial"/>
        <family val="2"/>
      </rPr>
      <t>3</t>
    </r>
    <r>
      <rPr>
        <b/>
        <sz val="8"/>
        <color theme="1"/>
        <rFont val="Arial"/>
        <family val="2"/>
      </rPr>
      <t>/g)</t>
    </r>
  </si>
  <si>
    <r>
      <t>(cm</t>
    </r>
    <r>
      <rPr>
        <b/>
        <vertAlign val="superscript"/>
        <sz val="8"/>
        <color theme="1"/>
        <rFont val="Arial"/>
        <family val="2"/>
      </rPr>
      <t>2</t>
    </r>
    <r>
      <rPr>
        <b/>
        <sz val="8"/>
        <color theme="1"/>
        <rFont val="Arial"/>
        <family val="2"/>
      </rPr>
      <t>/s)</t>
    </r>
  </si>
  <si>
    <t>(mg/L)</t>
  </si>
  <si>
    <t>(mm Hg)</t>
  </si>
  <si>
    <r>
      <t>(atm-m</t>
    </r>
    <r>
      <rPr>
        <b/>
        <vertAlign val="superscript"/>
        <sz val="8"/>
        <color theme="1"/>
        <rFont val="Arial"/>
        <family val="2"/>
      </rPr>
      <t>3</t>
    </r>
    <r>
      <rPr>
        <b/>
        <sz val="8"/>
        <color theme="1"/>
        <rFont val="Arial"/>
        <family val="2"/>
      </rPr>
      <t>/mol)</t>
    </r>
  </si>
  <si>
    <r>
      <t>(mg/kg-d)</t>
    </r>
    <r>
      <rPr>
        <b/>
        <vertAlign val="superscript"/>
        <sz val="8"/>
        <color theme="1"/>
        <rFont val="Arial"/>
        <family val="2"/>
      </rPr>
      <t>-1</t>
    </r>
  </si>
  <si>
    <r>
      <t>(ug/m</t>
    </r>
    <r>
      <rPr>
        <b/>
        <vertAlign val="superscript"/>
        <sz val="8"/>
        <color theme="1"/>
        <rFont val="Arial"/>
        <family val="2"/>
      </rPr>
      <t>3</t>
    </r>
    <r>
      <rPr>
        <b/>
        <sz val="8"/>
        <color theme="1"/>
        <rFont val="Arial"/>
        <family val="2"/>
      </rPr>
      <t>)</t>
    </r>
    <r>
      <rPr>
        <b/>
        <vertAlign val="superscript"/>
        <sz val="8"/>
        <color theme="1"/>
        <rFont val="Arial"/>
        <family val="2"/>
      </rPr>
      <t>-1</t>
    </r>
  </si>
  <si>
    <t>(mg/kg-d)</t>
  </si>
  <si>
    <r>
      <t>(mg/m</t>
    </r>
    <r>
      <rPr>
        <b/>
        <vertAlign val="superscript"/>
        <sz val="8"/>
        <color theme="1"/>
        <rFont val="Arial"/>
        <family val="2"/>
      </rPr>
      <t>3</t>
    </r>
    <r>
      <rPr>
        <b/>
        <sz val="8"/>
        <color theme="1"/>
        <rFont val="Arial"/>
        <family val="2"/>
      </rPr>
      <t>)</t>
    </r>
  </si>
  <si>
    <r>
      <t>Perfluorobutane sulfonate (PFBS</t>
    </r>
    <r>
      <rPr>
        <vertAlign val="superscript"/>
        <sz val="8"/>
        <color theme="1"/>
        <rFont val="Arial"/>
        <family val="1"/>
        <charset val="204"/>
      </rPr>
      <t>-</t>
    </r>
    <r>
      <rPr>
        <sz val="8"/>
        <color theme="1"/>
        <rFont val="Arial"/>
        <family val="1"/>
        <charset val="204"/>
      </rPr>
      <t>)</t>
    </r>
  </si>
  <si>
    <t>NV</t>
  </si>
  <si>
    <r>
      <t>Perfluoropentane sulfonate (PFPeS</t>
    </r>
    <r>
      <rPr>
        <vertAlign val="superscript"/>
        <sz val="8"/>
        <color theme="1"/>
        <rFont val="Arial"/>
        <family val="2"/>
      </rPr>
      <t>-</t>
    </r>
    <r>
      <rPr>
        <sz val="8"/>
        <color theme="1"/>
        <rFont val="Arial"/>
        <family val="2"/>
      </rPr>
      <t>)</t>
    </r>
  </si>
  <si>
    <r>
      <t>Perfluorohexane sulfonate (PFHxS</t>
    </r>
    <r>
      <rPr>
        <vertAlign val="superscript"/>
        <sz val="8"/>
        <color theme="1"/>
        <rFont val="Arial"/>
        <family val="1"/>
        <charset val="204"/>
      </rPr>
      <t>-</t>
    </r>
    <r>
      <rPr>
        <sz val="8"/>
        <color theme="1"/>
        <rFont val="Arial"/>
        <family val="1"/>
        <charset val="204"/>
      </rPr>
      <t>)</t>
    </r>
  </si>
  <si>
    <r>
      <t>Perfluoroheptane sulfonate (PFHpS</t>
    </r>
    <r>
      <rPr>
        <vertAlign val="superscript"/>
        <sz val="8"/>
        <color theme="1"/>
        <rFont val="Arial"/>
        <family val="1"/>
        <charset val="204"/>
      </rPr>
      <t>-</t>
    </r>
    <r>
      <rPr>
        <sz val="8"/>
        <color theme="1"/>
        <rFont val="Arial"/>
        <family val="1"/>
        <charset val="204"/>
      </rPr>
      <t>)</t>
    </r>
  </si>
  <si>
    <r>
      <t>Perfluorooctane sulfonate (PFOS</t>
    </r>
    <r>
      <rPr>
        <vertAlign val="superscript"/>
        <sz val="8"/>
        <color theme="1"/>
        <rFont val="Arial"/>
        <family val="1"/>
        <charset val="204"/>
      </rPr>
      <t>-</t>
    </r>
    <r>
      <rPr>
        <sz val="8"/>
        <color theme="1"/>
        <rFont val="Arial"/>
        <family val="1"/>
        <charset val="204"/>
      </rPr>
      <t>)</t>
    </r>
  </si>
  <si>
    <r>
      <t>Perfluorodecane sulfonate (PFDS</t>
    </r>
    <r>
      <rPr>
        <vertAlign val="superscript"/>
        <sz val="8"/>
        <color theme="1"/>
        <rFont val="Arial"/>
        <family val="1"/>
        <charset val="204"/>
      </rPr>
      <t>-</t>
    </r>
    <r>
      <rPr>
        <sz val="8"/>
        <color theme="1"/>
        <rFont val="Arial"/>
        <family val="1"/>
        <charset val="204"/>
      </rPr>
      <t>)</t>
    </r>
  </si>
  <si>
    <r>
      <t>Perfluoro ethanoate (PFEtA</t>
    </r>
    <r>
      <rPr>
        <vertAlign val="superscript"/>
        <sz val="8"/>
        <color rgb="FFFF0000"/>
        <rFont val="Arial"/>
        <family val="2"/>
      </rPr>
      <t>-</t>
    </r>
    <r>
      <rPr>
        <sz val="8"/>
        <color rgb="FFFF0000"/>
        <rFont val="Arial"/>
        <family val="2"/>
      </rPr>
      <t>) (Trifluoroacetate)</t>
    </r>
  </si>
  <si>
    <t>V</t>
  </si>
  <si>
    <t>L</t>
  </si>
  <si>
    <r>
      <t>Perfluoro propanoate (PFPrA</t>
    </r>
    <r>
      <rPr>
        <vertAlign val="superscript"/>
        <sz val="8"/>
        <color theme="1"/>
        <rFont val="Arial"/>
        <family val="2"/>
      </rPr>
      <t>-</t>
    </r>
    <r>
      <rPr>
        <sz val="8"/>
        <color theme="1"/>
        <rFont val="Arial"/>
        <family val="2"/>
      </rPr>
      <t>)</t>
    </r>
  </si>
  <si>
    <r>
      <t>Perfluoro butanoate (PFBA</t>
    </r>
    <r>
      <rPr>
        <vertAlign val="superscript"/>
        <sz val="8"/>
        <color theme="1"/>
        <rFont val="Arial"/>
        <family val="1"/>
        <charset val="204"/>
      </rPr>
      <t>-</t>
    </r>
    <r>
      <rPr>
        <sz val="8"/>
        <color theme="1"/>
        <rFont val="Arial"/>
        <family val="1"/>
        <charset val="204"/>
      </rPr>
      <t>)</t>
    </r>
  </si>
  <si>
    <t>SV</t>
  </si>
  <si>
    <r>
      <t>Perfluoro pentanoate (PFPeA</t>
    </r>
    <r>
      <rPr>
        <vertAlign val="superscript"/>
        <sz val="8"/>
        <color theme="1"/>
        <rFont val="Arial"/>
        <family val="1"/>
        <charset val="204"/>
      </rPr>
      <t>-</t>
    </r>
    <r>
      <rPr>
        <sz val="8"/>
        <color theme="1"/>
        <rFont val="Arial"/>
        <family val="1"/>
        <charset val="204"/>
      </rPr>
      <t>)</t>
    </r>
  </si>
  <si>
    <r>
      <t>Perfluoro hexanoate (PFHxA</t>
    </r>
    <r>
      <rPr>
        <vertAlign val="superscript"/>
        <sz val="8"/>
        <color theme="1"/>
        <rFont val="Arial"/>
        <family val="1"/>
        <charset val="204"/>
      </rPr>
      <t>-</t>
    </r>
    <r>
      <rPr>
        <sz val="8"/>
        <color theme="1"/>
        <rFont val="Arial"/>
        <family val="1"/>
        <charset val="204"/>
      </rPr>
      <t>)</t>
    </r>
  </si>
  <si>
    <r>
      <t>Perfluoro heptanoate (PFHpA</t>
    </r>
    <r>
      <rPr>
        <vertAlign val="superscript"/>
        <sz val="8"/>
        <color theme="1"/>
        <rFont val="Arial"/>
        <family val="1"/>
        <charset val="204"/>
      </rPr>
      <t>-</t>
    </r>
    <r>
      <rPr>
        <sz val="8"/>
        <color theme="1"/>
        <rFont val="Arial"/>
        <family val="1"/>
        <charset val="204"/>
      </rPr>
      <t>)</t>
    </r>
  </si>
  <si>
    <r>
      <t>Perfluoro octanoate (PFOA</t>
    </r>
    <r>
      <rPr>
        <vertAlign val="superscript"/>
        <sz val="8"/>
        <color theme="1"/>
        <rFont val="Arial"/>
        <family val="1"/>
        <charset val="204"/>
      </rPr>
      <t>-</t>
    </r>
    <r>
      <rPr>
        <sz val="8"/>
        <color theme="1"/>
        <rFont val="Arial"/>
        <family val="1"/>
        <charset val="204"/>
      </rPr>
      <t>)</t>
    </r>
  </si>
  <si>
    <r>
      <t>Perfluoro nonanoate (PFNA</t>
    </r>
    <r>
      <rPr>
        <vertAlign val="superscript"/>
        <sz val="8"/>
        <color theme="1"/>
        <rFont val="Arial"/>
        <family val="1"/>
        <charset val="204"/>
      </rPr>
      <t>-</t>
    </r>
    <r>
      <rPr>
        <sz val="8"/>
        <color theme="1"/>
        <rFont val="Arial"/>
        <family val="1"/>
        <charset val="204"/>
      </rPr>
      <t>)</t>
    </r>
  </si>
  <si>
    <r>
      <t>Perfluoro decanoate (PFDA</t>
    </r>
    <r>
      <rPr>
        <vertAlign val="superscript"/>
        <sz val="8"/>
        <color theme="1"/>
        <rFont val="Arial"/>
        <family val="1"/>
        <charset val="204"/>
      </rPr>
      <t>-</t>
    </r>
    <r>
      <rPr>
        <sz val="8"/>
        <color theme="1"/>
        <rFont val="Arial"/>
        <family val="1"/>
        <charset val="204"/>
      </rPr>
      <t>)</t>
    </r>
  </si>
  <si>
    <r>
      <t>Perfluoro undecanoate (PFUnDA</t>
    </r>
    <r>
      <rPr>
        <vertAlign val="superscript"/>
        <sz val="8"/>
        <color theme="1"/>
        <rFont val="Arial"/>
        <family val="1"/>
        <charset val="204"/>
      </rPr>
      <t>-</t>
    </r>
    <r>
      <rPr>
        <sz val="8"/>
        <color theme="1"/>
        <rFont val="Arial"/>
        <family val="1"/>
        <charset val="204"/>
      </rPr>
      <t>)</t>
    </r>
  </si>
  <si>
    <r>
      <t>Perfluoro dodecanoate (PFDoDA</t>
    </r>
    <r>
      <rPr>
        <vertAlign val="superscript"/>
        <sz val="8"/>
        <color theme="1"/>
        <rFont val="Arial"/>
        <family val="1"/>
        <charset val="204"/>
      </rPr>
      <t>-</t>
    </r>
    <r>
      <rPr>
        <sz val="8"/>
        <color theme="1"/>
        <rFont val="Arial"/>
        <family val="1"/>
        <charset val="204"/>
      </rPr>
      <t>)</t>
    </r>
  </si>
  <si>
    <r>
      <t>Perfluoro tridecanoate (PFTrDA</t>
    </r>
    <r>
      <rPr>
        <vertAlign val="superscript"/>
        <sz val="8"/>
        <color theme="1"/>
        <rFont val="Arial"/>
        <family val="1"/>
        <charset val="204"/>
      </rPr>
      <t>-</t>
    </r>
    <r>
      <rPr>
        <sz val="8"/>
        <color theme="1"/>
        <rFont val="Arial"/>
        <family val="1"/>
        <charset val="204"/>
      </rPr>
      <t>)</t>
    </r>
  </si>
  <si>
    <r>
      <t>Perfluoro tetradecanoate (PFTeDA</t>
    </r>
    <r>
      <rPr>
        <vertAlign val="superscript"/>
        <sz val="8"/>
        <color theme="1"/>
        <rFont val="Arial"/>
        <family val="1"/>
        <charset val="204"/>
      </rPr>
      <t>-</t>
    </r>
    <r>
      <rPr>
        <sz val="8"/>
        <color theme="1"/>
        <rFont val="Arial"/>
        <family val="1"/>
        <charset val="204"/>
      </rPr>
      <t>)</t>
    </r>
  </si>
  <si>
    <r>
      <t>2,3,3,3-tetrafluoro-2-(heptafluoropropoxy) propanoate (HFPO DA</t>
    </r>
    <r>
      <rPr>
        <vertAlign val="superscript"/>
        <sz val="8"/>
        <color theme="1"/>
        <rFont val="Arial"/>
        <family val="2"/>
      </rPr>
      <t>-</t>
    </r>
    <r>
      <rPr>
        <sz val="8"/>
        <color theme="1"/>
        <rFont val="Arial"/>
        <family val="1"/>
        <charset val="204"/>
      </rPr>
      <t>)</t>
    </r>
  </si>
  <si>
    <r>
      <t>6:2 Fluorotelomer sulfonate (6:2 FTS</t>
    </r>
    <r>
      <rPr>
        <vertAlign val="superscript"/>
        <sz val="8"/>
        <color theme="1"/>
        <rFont val="Arial"/>
        <family val="2"/>
      </rPr>
      <t>-</t>
    </r>
    <r>
      <rPr>
        <sz val="8"/>
        <color theme="1"/>
        <rFont val="Arial"/>
        <family val="1"/>
        <charset val="204"/>
      </rPr>
      <t>)</t>
    </r>
  </si>
  <si>
    <r>
      <t>Ammonium 4,8-Dioxa-3H-perfluoro nonanoate (ADONA</t>
    </r>
    <r>
      <rPr>
        <vertAlign val="superscript"/>
        <sz val="8"/>
        <color theme="1"/>
        <rFont val="Arial"/>
        <family val="2"/>
      </rPr>
      <t>-</t>
    </r>
    <r>
      <rPr>
        <sz val="8"/>
        <color theme="1"/>
        <rFont val="Arial"/>
        <family val="1"/>
        <charset val="204"/>
      </rPr>
      <t>)</t>
    </r>
  </si>
  <si>
    <r>
      <t>6:2 Fluorotelomer alcohol (6:2 FTOH</t>
    </r>
    <r>
      <rPr>
        <vertAlign val="superscript"/>
        <sz val="8"/>
        <color theme="1"/>
        <rFont val="Arial"/>
        <family val="2"/>
      </rPr>
      <t>-</t>
    </r>
    <r>
      <rPr>
        <sz val="8"/>
        <color theme="1"/>
        <rFont val="Arial"/>
        <family val="2"/>
      </rPr>
      <t>)</t>
    </r>
  </si>
  <si>
    <r>
      <t>8:2 Fluorotelomer alcohol (8:2 FTOH</t>
    </r>
    <r>
      <rPr>
        <vertAlign val="superscript"/>
        <sz val="8"/>
        <color theme="1"/>
        <rFont val="Arial"/>
        <family val="2"/>
      </rPr>
      <t>-</t>
    </r>
    <r>
      <rPr>
        <sz val="8"/>
        <color theme="1"/>
        <rFont val="Arial"/>
        <family val="2"/>
      </rPr>
      <t>)</t>
    </r>
  </si>
  <si>
    <r>
      <t>6:2 Fluorotelomer thioether amido sulfonate (6:2 FTTAoS</t>
    </r>
    <r>
      <rPr>
        <vertAlign val="superscript"/>
        <sz val="8"/>
        <color theme="1"/>
        <rFont val="Arial"/>
        <family val="2"/>
      </rPr>
      <t>-</t>
    </r>
    <r>
      <rPr>
        <sz val="8"/>
        <color theme="1"/>
        <rFont val="Arial"/>
        <family val="2"/>
      </rPr>
      <t>)</t>
    </r>
  </si>
  <si>
    <t>General Notes:</t>
  </si>
  <si>
    <r>
      <rPr>
        <b/>
        <sz val="8"/>
        <rFont val="Arial"/>
        <family val="2"/>
      </rPr>
      <t>1. Abbreviations</t>
    </r>
    <r>
      <rPr>
        <sz val="8"/>
        <rFont val="Arial"/>
        <family val="2"/>
      </rPr>
      <t xml:space="preserve"> refer to anion form of compound, assumed to be dominant in environmental samples (noted by "-" sign after abbreviation; refer to Table 1a in November 2020 Technical Memorandum).</t>
    </r>
  </si>
  <si>
    <r>
      <rPr>
        <b/>
        <sz val="8"/>
        <color rgb="FF000000"/>
        <rFont val="Arial"/>
        <family val="2"/>
      </rPr>
      <t xml:space="preserve">2. Physical state of chemical </t>
    </r>
    <r>
      <rPr>
        <sz val="8"/>
        <color rgb="FF000000"/>
        <rFont val="Arial"/>
        <family val="2"/>
      </rPr>
      <t>at ambient conditions (V - volatile, NV - nonvolatile, SV-semivolatile, S - solid, L - liquid, G - gas). Chemical considered to be "volatile" if Henry's number (atm m3/mole) &gt;0.00001 and molecular weight &lt;200, and "semi-volatile" if molecular weight &gt;200.</t>
    </r>
  </si>
  <si>
    <r>
      <t>3. Confidence in Koc values low</t>
    </r>
    <r>
      <rPr>
        <sz val="8"/>
        <rFont val="Arial"/>
        <family val="2"/>
      </rPr>
      <t xml:space="preserve"> (USEPA CompTox database - modeled).</t>
    </r>
  </si>
  <si>
    <r>
      <rPr>
        <b/>
        <sz val="8"/>
        <rFont val="Arial"/>
        <family val="2"/>
      </rPr>
      <t>4. Confidence in pubished, modeled vapor pressures</t>
    </r>
    <r>
      <rPr>
        <sz val="8"/>
        <rFont val="Arial"/>
        <family val="2"/>
      </rPr>
      <t xml:space="preserve"> is low (e.g., USEPA 2017); not considered in determination of a compound as volatile or semivolatile except in case of 6:2 FTOH.</t>
    </r>
  </si>
  <si>
    <r>
      <rPr>
        <b/>
        <sz val="8"/>
        <rFont val="Arial"/>
        <family val="2"/>
      </rPr>
      <t>5. Dimensionless Henry’s Law constant</t>
    </r>
    <r>
      <rPr>
        <sz val="8"/>
        <rFont val="Arial"/>
        <family val="2"/>
      </rPr>
      <t xml:space="preserve"> calculated based on Sander (2015) assuming a temperature of 25°C.</t>
    </r>
  </si>
  <si>
    <r>
      <rPr>
        <b/>
        <sz val="8"/>
        <rFont val="Arial"/>
        <family val="2"/>
      </rPr>
      <t>6. Diffusivity constants for PFEtA</t>
    </r>
    <r>
      <rPr>
        <b/>
        <vertAlign val="superscript"/>
        <sz val="8"/>
        <rFont val="Arial"/>
        <family val="2"/>
      </rPr>
      <t>-</t>
    </r>
    <r>
      <rPr>
        <sz val="8"/>
        <rFont val="Arial"/>
        <family val="2"/>
      </rPr>
      <t xml:space="preserve"> not currently available. Constants for PFPrA- referenced and assumed similar.</t>
    </r>
  </si>
  <si>
    <t>Refer to PFAS Technical Memorandum Table 3b for reference documents used to compile physiochemical constants for individual PFAS.</t>
  </si>
  <si>
    <t>Refer to PFAS Technical Memorandum Table 4a for reference documents used to compile toxicity factors for individual PFAS.</t>
  </si>
  <si>
    <r>
      <t xml:space="preserve">TABLE I-1. DIRECT-EXPOSURE ACTION LEVELS
</t>
    </r>
    <r>
      <rPr>
        <b/>
        <vertAlign val="superscript"/>
        <sz val="12"/>
        <rFont val="Arial"/>
        <family val="2"/>
      </rPr>
      <t>1</t>
    </r>
    <r>
      <rPr>
        <b/>
        <sz val="12"/>
        <rFont val="Arial"/>
        <family val="2"/>
      </rPr>
      <t>UNRESTRICTED LAND USE SCENARIO</t>
    </r>
  </si>
  <si>
    <t>Final</t>
  </si>
  <si>
    <r>
      <t>2</t>
    </r>
    <r>
      <rPr>
        <b/>
        <sz val="8"/>
        <rFont val="Arial"/>
        <family val="2"/>
      </rPr>
      <t>Carcinogens</t>
    </r>
  </si>
  <si>
    <r>
      <t>2</t>
    </r>
    <r>
      <rPr>
        <b/>
        <sz val="8"/>
        <rFont val="Arial"/>
        <family val="2"/>
      </rPr>
      <t>Mutagens</t>
    </r>
  </si>
  <si>
    <r>
      <t>3</t>
    </r>
    <r>
      <rPr>
        <b/>
        <sz val="8"/>
        <rFont val="Arial"/>
        <family val="2"/>
      </rPr>
      <t>Noncarcinogens</t>
    </r>
  </si>
  <si>
    <t>Action Level</t>
  </si>
  <si>
    <t>(Final)</t>
  </si>
  <si>
    <t>(HQ = 1.0)</t>
  </si>
  <si>
    <t>Saturation</t>
  </si>
  <si>
    <r>
      <t xml:space="preserve">Primary source: </t>
    </r>
    <r>
      <rPr>
        <sz val="8"/>
        <rFont val="Arial"/>
        <family val="2"/>
      </rPr>
      <t>Refer to accompanying PFAS Technical Memorandum.</t>
    </r>
  </si>
  <si>
    <t>1. Based on assumed residential exposure scenario.  Considered adequate for residential housing, schools, medical facilities, day-care centers, parks and other sensitive uses.</t>
  </si>
  <si>
    <r>
      <t>2. Carcinogens: Default target excess cancer risk = 10</t>
    </r>
    <r>
      <rPr>
        <vertAlign val="superscript"/>
        <sz val="8"/>
        <rFont val="Arial"/>
        <family val="2"/>
      </rPr>
      <t>-6</t>
    </r>
    <r>
      <rPr>
        <sz val="8"/>
        <rFont val="Arial"/>
        <family val="2"/>
      </rPr>
      <t>.</t>
    </r>
  </si>
  <si>
    <t>3. Noncarcinogens: Final action level based on Relative Source Contribution of 20% and target Hazard Quotient = 1.0.</t>
  </si>
  <si>
    <t>4. NA = Toxicity factors not available.</t>
  </si>
  <si>
    <t>See text for equations and assumptions used in models.</t>
  </si>
  <si>
    <t>Final action level is lowest of individual screening levels for carcinogenic effects and noncarcinogenic effects or action level for construction/trench workers if lower (see Table I-3).  Saturation limit used as upper limit for volatile organic compounds that are liquid at ambient conditions (see text).</t>
  </si>
  <si>
    <t>Saturation: Theoretical soil saturation level in the absence of free product; calculated for volatile organic compounds that are liquids under ambient conditions (refer to Table H).</t>
  </si>
  <si>
    <t>TABLE I-2. DIRECT-EXPOSURE ACTION LEVELS
COMMERCIAL/INDUSTRIAL  LAND USE SCENARIO</t>
  </si>
  <si>
    <r>
      <t>1</t>
    </r>
    <r>
      <rPr>
        <b/>
        <sz val="8"/>
        <rFont val="Arial"/>
        <family val="2"/>
      </rPr>
      <t>Carcinogens</t>
    </r>
  </si>
  <si>
    <r>
      <t>2</t>
    </r>
    <r>
      <rPr>
        <b/>
        <sz val="8"/>
        <rFont val="Arial"/>
        <family val="2"/>
      </rPr>
      <t>Noncarcinogens</t>
    </r>
  </si>
  <si>
    <r>
      <t>(Risk = 10</t>
    </r>
    <r>
      <rPr>
        <b/>
        <vertAlign val="superscript"/>
        <sz val="8"/>
        <rFont val="Arial"/>
        <family val="2"/>
      </rPr>
      <t>-6</t>
    </r>
    <r>
      <rPr>
        <b/>
        <sz val="8"/>
        <rFont val="Arial"/>
        <family val="2"/>
      </rPr>
      <t>)</t>
    </r>
  </si>
  <si>
    <t>TABLE I-3. DIRECT-EXPOSURE ACTION LEVELS
CONSTRUCTION/TRENCH WORKER EXPOSURE SCENARIO</t>
  </si>
  <si>
    <r>
      <t>(Risk = 10</t>
    </r>
    <r>
      <rPr>
        <b/>
        <vertAlign val="superscript"/>
        <sz val="8"/>
        <rFont val="Arial"/>
        <family val="2"/>
      </rPr>
      <t>-5</t>
    </r>
    <r>
      <rPr>
        <b/>
        <sz val="8"/>
        <rFont val="Arial"/>
        <family val="2"/>
      </rPr>
      <t>)</t>
    </r>
  </si>
  <si>
    <r>
      <t>2. Carcinogens: Default target excess cancer risk = 10</t>
    </r>
    <r>
      <rPr>
        <vertAlign val="superscript"/>
        <sz val="8"/>
        <rFont val="Arial"/>
        <family val="2"/>
      </rPr>
      <t>-5</t>
    </r>
    <r>
      <rPr>
        <sz val="8"/>
        <rFont val="Arial"/>
        <family val="2"/>
      </rPr>
      <t>.</t>
    </r>
  </si>
  <si>
    <t>TABLE J. TARGET ORGANS AND CHRONIC HEALTH EFFECTS
(For general reference only.  May not be adequately comprehensive for some chemicals. Aggregate or cumulative exposures may have different or increased health effects. Available information on some chemicals is very limited. Some noted effects may be insignificant.  Refer to original documents for additional information.)</t>
  </si>
  <si>
    <r>
      <rPr>
        <b/>
        <vertAlign val="superscript"/>
        <sz val="8"/>
        <rFont val="Arial"/>
        <family val="2"/>
      </rPr>
      <t>a</t>
    </r>
    <r>
      <rPr>
        <b/>
        <sz val="8"/>
        <rFont val="Arial"/>
        <family val="2"/>
      </rPr>
      <t>Mutagen</t>
    </r>
  </si>
  <si>
    <t>Carcinogen</t>
  </si>
  <si>
    <t>Metabolic</t>
  </si>
  <si>
    <t>Hepatic</t>
  </si>
  <si>
    <t>Cardiovascular</t>
  </si>
  <si>
    <t>Developmental</t>
  </si>
  <si>
    <t>Endocrine</t>
  </si>
  <si>
    <t>Hematologic</t>
  </si>
  <si>
    <t>Immune</t>
  </si>
  <si>
    <t>Kidney</t>
  </si>
  <si>
    <t>Nervous</t>
  </si>
  <si>
    <t>Reproductive</t>
  </si>
  <si>
    <t>Respiratory</t>
  </si>
  <si>
    <r>
      <t>15</t>
    </r>
    <r>
      <rPr>
        <vertAlign val="superscript"/>
        <sz val="8"/>
        <color theme="1"/>
        <rFont val="Calibri"/>
        <family val="2"/>
        <scheme val="minor"/>
      </rPr>
      <t>A</t>
    </r>
  </si>
  <si>
    <r>
      <t>1</t>
    </r>
    <r>
      <rPr>
        <vertAlign val="superscript"/>
        <sz val="8"/>
        <color theme="1"/>
        <rFont val="Calibri"/>
        <family val="2"/>
        <scheme val="minor"/>
      </rPr>
      <t>H</t>
    </r>
    <r>
      <rPr>
        <sz val="8"/>
        <rFont val="Arial"/>
        <family val="2"/>
      </rPr>
      <t>,4</t>
    </r>
    <r>
      <rPr>
        <vertAlign val="superscript"/>
        <sz val="8"/>
        <color theme="1"/>
        <rFont val="Calibri"/>
        <family val="2"/>
        <scheme val="minor"/>
      </rPr>
      <t>A</t>
    </r>
  </si>
  <si>
    <r>
      <t>1</t>
    </r>
    <r>
      <rPr>
        <vertAlign val="superscript"/>
        <sz val="8"/>
        <color theme="1"/>
        <rFont val="Calibri"/>
        <family val="2"/>
        <scheme val="minor"/>
      </rPr>
      <t>A</t>
    </r>
    <r>
      <rPr>
        <sz val="8"/>
        <rFont val="Arial"/>
        <family val="2"/>
      </rPr>
      <t>,9</t>
    </r>
    <r>
      <rPr>
        <vertAlign val="superscript"/>
        <sz val="8"/>
        <color theme="1"/>
        <rFont val="Calibri"/>
        <family val="2"/>
        <scheme val="minor"/>
      </rPr>
      <t>H</t>
    </r>
  </si>
  <si>
    <r>
      <t>4</t>
    </r>
    <r>
      <rPr>
        <vertAlign val="superscript"/>
        <sz val="8"/>
        <color theme="1"/>
        <rFont val="Calibri"/>
        <family val="2"/>
        <scheme val="minor"/>
      </rPr>
      <t>A</t>
    </r>
  </si>
  <si>
    <r>
      <t>1</t>
    </r>
    <r>
      <rPr>
        <vertAlign val="superscript"/>
        <sz val="8"/>
        <color theme="1"/>
        <rFont val="Calibri"/>
        <family val="2"/>
        <scheme val="minor"/>
      </rPr>
      <t>H</t>
    </r>
    <r>
      <rPr>
        <sz val="8"/>
        <rFont val="Arial"/>
        <family val="2"/>
      </rPr>
      <t>,2</t>
    </r>
    <r>
      <rPr>
        <vertAlign val="superscript"/>
        <sz val="8"/>
        <color theme="1"/>
        <rFont val="Calibri"/>
        <family val="2"/>
        <scheme val="minor"/>
      </rPr>
      <t>H</t>
    </r>
    <r>
      <rPr>
        <sz val="8"/>
        <rFont val="Arial"/>
        <family val="2"/>
      </rPr>
      <t>,9</t>
    </r>
    <r>
      <rPr>
        <vertAlign val="superscript"/>
        <sz val="8"/>
        <color theme="1"/>
        <rFont val="Calibri"/>
        <family val="2"/>
        <scheme val="minor"/>
      </rPr>
      <t>H</t>
    </r>
  </si>
  <si>
    <r>
      <t>11</t>
    </r>
    <r>
      <rPr>
        <vertAlign val="superscript"/>
        <sz val="8"/>
        <color theme="1"/>
        <rFont val="Calibri"/>
        <family val="2"/>
        <scheme val="minor"/>
      </rPr>
      <t>A</t>
    </r>
  </si>
  <si>
    <r>
      <t>10</t>
    </r>
    <r>
      <rPr>
        <vertAlign val="superscript"/>
        <sz val="8"/>
        <color theme="1"/>
        <rFont val="Calibri"/>
        <family val="2"/>
        <scheme val="minor"/>
      </rPr>
      <t>H</t>
    </r>
  </si>
  <si>
    <r>
      <t>5</t>
    </r>
    <r>
      <rPr>
        <vertAlign val="superscript"/>
        <sz val="8"/>
        <color theme="1"/>
        <rFont val="Calibri"/>
        <family val="2"/>
        <scheme val="minor"/>
      </rPr>
      <t>H</t>
    </r>
  </si>
  <si>
    <r>
      <t>13</t>
    </r>
    <r>
      <rPr>
        <vertAlign val="superscript"/>
        <sz val="8"/>
        <color theme="1"/>
        <rFont val="Calibri"/>
        <family val="2"/>
        <scheme val="minor"/>
      </rPr>
      <t>A</t>
    </r>
    <r>
      <rPr>
        <sz val="8"/>
        <rFont val="Arial"/>
        <family val="2"/>
      </rPr>
      <t>,17</t>
    </r>
  </si>
  <si>
    <r>
      <t>1</t>
    </r>
    <r>
      <rPr>
        <vertAlign val="superscript"/>
        <sz val="8"/>
        <color theme="1"/>
        <rFont val="Calibri"/>
        <family val="2"/>
        <scheme val="minor"/>
      </rPr>
      <t>H</t>
    </r>
    <r>
      <rPr>
        <sz val="8"/>
        <rFont val="Arial"/>
        <family val="2"/>
      </rPr>
      <t>,2</t>
    </r>
    <r>
      <rPr>
        <vertAlign val="superscript"/>
        <sz val="8"/>
        <color theme="1"/>
        <rFont val="Calibri"/>
        <family val="2"/>
        <scheme val="minor"/>
      </rPr>
      <t>H</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</si>
  <si>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,5H</t>
    </r>
  </si>
  <si>
    <r>
      <t>1</t>
    </r>
    <r>
      <rPr>
        <vertAlign val="superscript"/>
        <sz val="8"/>
        <color theme="1"/>
        <rFont val="Calibri"/>
        <family val="2"/>
        <scheme val="minor"/>
      </rPr>
      <t>H</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</si>
  <si>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,9</t>
    </r>
    <r>
      <rPr>
        <vertAlign val="superscript"/>
        <sz val="8"/>
        <color theme="1"/>
        <rFont val="Calibri"/>
        <family val="2"/>
        <scheme val="minor"/>
      </rPr>
      <t>H</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</si>
  <si>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,2</t>
    </r>
    <r>
      <rPr>
        <vertAlign val="superscript"/>
        <sz val="8"/>
        <color theme="1"/>
        <rFont val="Calibri"/>
        <family val="2"/>
        <scheme val="minor"/>
      </rPr>
      <t>H</t>
    </r>
    <r>
      <rPr>
        <sz val="8"/>
        <rFont val="Arial"/>
        <family val="2"/>
      </rPr>
      <t>, 9</t>
    </r>
    <r>
      <rPr>
        <vertAlign val="superscript"/>
        <sz val="8"/>
        <color theme="1"/>
        <rFont val="Calibri"/>
        <family val="2"/>
        <scheme val="minor"/>
      </rPr>
      <t>H</t>
    </r>
    <r>
      <rPr>
        <sz val="8"/>
        <rFont val="Arial"/>
        <family val="2"/>
      </rPr>
      <t>,13A</t>
    </r>
  </si>
  <si>
    <r>
      <t>2</t>
    </r>
    <r>
      <rPr>
        <vertAlign val="superscript"/>
        <sz val="8"/>
        <color theme="1"/>
        <rFont val="Calibri"/>
        <family val="2"/>
        <scheme val="minor"/>
      </rPr>
      <t>H</t>
    </r>
    <r>
      <rPr>
        <sz val="8"/>
        <rFont val="Arial"/>
        <family val="2"/>
      </rPr>
      <t>,5</t>
    </r>
    <r>
      <rPr>
        <vertAlign val="superscript"/>
        <sz val="8"/>
        <color theme="1"/>
        <rFont val="Calibri"/>
        <family val="2"/>
        <scheme val="minor"/>
      </rPr>
      <t>H</t>
    </r>
  </si>
  <si>
    <r>
      <t>1</t>
    </r>
    <r>
      <rPr>
        <vertAlign val="superscript"/>
        <sz val="8"/>
        <color theme="1"/>
        <rFont val="Calibri"/>
        <family val="2"/>
        <scheme val="minor"/>
      </rPr>
      <t>H</t>
    </r>
    <r>
      <rPr>
        <sz val="8"/>
        <rFont val="Arial"/>
        <family val="2"/>
      </rPr>
      <t>,10</t>
    </r>
    <r>
      <rPr>
        <vertAlign val="superscript"/>
        <sz val="8"/>
        <color theme="1"/>
        <rFont val="Calibri"/>
        <family val="2"/>
        <scheme val="minor"/>
      </rPr>
      <t>H</t>
    </r>
  </si>
  <si>
    <r>
      <t>23</t>
    </r>
    <r>
      <rPr>
        <vertAlign val="superscript"/>
        <sz val="8"/>
        <rFont val="Arial"/>
        <family val="2"/>
      </rPr>
      <t>A</t>
    </r>
  </si>
  <si>
    <r>
      <t>3</t>
    </r>
    <r>
      <rPr>
        <vertAlign val="superscript"/>
        <sz val="8"/>
        <color theme="1"/>
        <rFont val="Calibri"/>
        <family val="2"/>
        <scheme val="minor"/>
      </rPr>
      <t>A</t>
    </r>
  </si>
  <si>
    <r>
      <t>1</t>
    </r>
    <r>
      <rPr>
        <vertAlign val="superscript"/>
        <sz val="8"/>
        <color theme="1"/>
        <rFont val="Calibri"/>
        <family val="2"/>
        <scheme val="minor"/>
      </rPr>
      <t>A</t>
    </r>
    <r>
      <rPr>
        <sz val="8"/>
        <rFont val="Arial"/>
        <family val="2"/>
      </rPr>
      <t>,3</t>
    </r>
    <r>
      <rPr>
        <vertAlign val="superscript"/>
        <sz val="8"/>
        <color theme="1"/>
        <rFont val="Calibri"/>
        <family val="2"/>
        <scheme val="minor"/>
      </rPr>
      <t>A</t>
    </r>
  </si>
  <si>
    <r>
      <t>1</t>
    </r>
    <r>
      <rPr>
        <vertAlign val="superscript"/>
        <sz val="8"/>
        <rFont val="Arial"/>
        <family val="2"/>
      </rPr>
      <t>A</t>
    </r>
    <r>
      <rPr>
        <sz val="8"/>
        <rFont val="Arial"/>
        <family val="2"/>
      </rPr>
      <t>, 21</t>
    </r>
    <r>
      <rPr>
        <vertAlign val="superscript"/>
        <sz val="8"/>
        <rFont val="Arial"/>
        <family val="2"/>
      </rPr>
      <t>A</t>
    </r>
  </si>
  <si>
    <r>
      <t>1</t>
    </r>
    <r>
      <rPr>
        <vertAlign val="superscript"/>
        <sz val="8"/>
        <rFont val="Arial"/>
        <family val="2"/>
      </rPr>
      <t>H</t>
    </r>
  </si>
  <si>
    <r>
      <t>1</t>
    </r>
    <r>
      <rPr>
        <vertAlign val="superscript"/>
        <sz val="8"/>
        <rFont val="Arial"/>
        <family val="2"/>
      </rPr>
      <t>A</t>
    </r>
  </si>
  <si>
    <r>
      <t>1</t>
    </r>
    <r>
      <rPr>
        <vertAlign val="superscript"/>
        <sz val="8"/>
        <color theme="1"/>
        <rFont val="Calibri"/>
        <family val="2"/>
        <scheme val="minor"/>
      </rPr>
      <t>A</t>
    </r>
  </si>
  <si>
    <r>
      <t xml:space="preserve"> 6</t>
    </r>
    <r>
      <rPr>
        <vertAlign val="superscript"/>
        <sz val="8"/>
        <color theme="1"/>
        <rFont val="Calibri"/>
        <family val="2"/>
        <scheme val="minor"/>
      </rPr>
      <t>H</t>
    </r>
    <r>
      <rPr>
        <sz val="8"/>
        <rFont val="Arial"/>
        <family val="2"/>
      </rPr>
      <t>,7</t>
    </r>
    <r>
      <rPr>
        <vertAlign val="superscript"/>
        <sz val="8"/>
        <color theme="1"/>
        <rFont val="Calibri"/>
        <family val="2"/>
        <scheme val="minor"/>
      </rPr>
      <t>H,</t>
    </r>
    <r>
      <rPr>
        <sz val="8"/>
        <rFont val="Arial"/>
        <family val="2"/>
      </rPr>
      <t>13</t>
    </r>
    <r>
      <rPr>
        <vertAlign val="superscript"/>
        <sz val="8"/>
        <color theme="1"/>
        <rFont val="Calibri"/>
        <family val="2"/>
        <scheme val="minor"/>
      </rPr>
      <t>A</t>
    </r>
    <r>
      <rPr>
        <sz val="8"/>
        <rFont val="Arial"/>
        <family val="2"/>
      </rPr>
      <t>,16,
18</t>
    </r>
  </si>
  <si>
    <r>
      <t>1</t>
    </r>
    <r>
      <rPr>
        <vertAlign val="superscript"/>
        <sz val="8"/>
        <color theme="1"/>
        <rFont val="Calibri"/>
        <family val="2"/>
        <scheme val="minor"/>
      </rPr>
      <t>H</t>
    </r>
    <r>
      <rPr>
        <sz val="8"/>
        <rFont val="Arial"/>
        <family val="2"/>
      </rPr>
      <t>,2</t>
    </r>
    <r>
      <rPr>
        <vertAlign val="superscript"/>
        <sz val="8"/>
        <color theme="1"/>
        <rFont val="Calibri"/>
        <family val="2"/>
        <scheme val="minor"/>
      </rPr>
      <t>H</t>
    </r>
    <r>
      <rPr>
        <sz val="8"/>
        <rFont val="Arial"/>
        <family val="2"/>
      </rPr>
      <t>,6</t>
    </r>
    <r>
      <rPr>
        <vertAlign val="superscript"/>
        <sz val="8"/>
        <color theme="1"/>
        <rFont val="Calibri"/>
        <family val="2"/>
        <scheme val="minor"/>
      </rPr>
      <t>H</t>
    </r>
    <r>
      <rPr>
        <sz val="8"/>
        <rFont val="Arial"/>
        <family val="2"/>
      </rPr>
      <t>,7</t>
    </r>
    <r>
      <rPr>
        <vertAlign val="superscript"/>
        <sz val="8"/>
        <color theme="1"/>
        <rFont val="Calibri"/>
        <family val="2"/>
        <scheme val="minor"/>
      </rPr>
      <t>H</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</si>
  <si>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,5</t>
    </r>
    <r>
      <rPr>
        <vertAlign val="superscript"/>
        <sz val="8"/>
        <color theme="1"/>
        <rFont val="Calibri"/>
        <family val="2"/>
        <scheme val="minor"/>
      </rPr>
      <t>H</t>
    </r>
    <r>
      <rPr>
        <sz val="8"/>
        <rFont val="Arial"/>
        <family val="2"/>
      </rPr>
      <t>,6</t>
    </r>
    <r>
      <rPr>
        <vertAlign val="superscript"/>
        <sz val="8"/>
        <color theme="1"/>
        <rFont val="Calibri"/>
        <family val="2"/>
        <scheme val="minor"/>
      </rPr>
      <t>H</t>
    </r>
  </si>
  <si>
    <r>
      <t>1</t>
    </r>
    <r>
      <rPr>
        <vertAlign val="superscript"/>
        <sz val="8"/>
        <color theme="1"/>
        <rFont val="Calibri"/>
        <family val="2"/>
        <scheme val="minor"/>
      </rPr>
      <t>H</t>
    </r>
    <r>
      <rPr>
        <sz val="8"/>
        <rFont val="Arial"/>
        <family val="2"/>
      </rPr>
      <t>,5</t>
    </r>
    <r>
      <rPr>
        <vertAlign val="superscript"/>
        <sz val="8"/>
        <color theme="1"/>
        <rFont val="Calibri"/>
        <family val="2"/>
        <scheme val="minor"/>
      </rPr>
      <t>H</t>
    </r>
    <r>
      <rPr>
        <sz val="8"/>
        <rFont val="Arial"/>
        <family val="2"/>
      </rPr>
      <t>,6</t>
    </r>
    <r>
      <rPr>
        <vertAlign val="superscript"/>
        <sz val="8"/>
        <color theme="1"/>
        <rFont val="Calibri"/>
        <family val="2"/>
        <scheme val="minor"/>
      </rPr>
      <t>H</t>
    </r>
    <r>
      <rPr>
        <sz val="8"/>
        <rFont val="Arial"/>
        <family val="2"/>
      </rPr>
      <t>,7</t>
    </r>
    <r>
      <rPr>
        <vertAlign val="superscript"/>
        <sz val="8"/>
        <color theme="1"/>
        <rFont val="Calibri"/>
        <family val="2"/>
        <scheme val="minor"/>
      </rPr>
      <t>H</t>
    </r>
  </si>
  <si>
    <r>
      <t>1</t>
    </r>
    <r>
      <rPr>
        <vertAlign val="superscript"/>
        <sz val="8"/>
        <color theme="1"/>
        <rFont val="Calibri"/>
        <family val="2"/>
        <scheme val="minor"/>
      </rPr>
      <t>H</t>
    </r>
    <r>
      <rPr>
        <sz val="8"/>
        <rFont val="Arial"/>
        <family val="2"/>
      </rPr>
      <t>,5</t>
    </r>
    <r>
      <rPr>
        <vertAlign val="superscript"/>
        <sz val="8"/>
        <color theme="1"/>
        <rFont val="Calibri"/>
        <family val="2"/>
        <scheme val="minor"/>
      </rPr>
      <t>H</t>
    </r>
    <r>
      <rPr>
        <sz val="8"/>
        <rFont val="Arial"/>
        <family val="2"/>
      </rPr>
      <t>,7</t>
    </r>
    <r>
      <rPr>
        <vertAlign val="superscript"/>
        <sz val="8"/>
        <color theme="1"/>
        <rFont val="Calibri"/>
        <family val="2"/>
        <scheme val="minor"/>
      </rPr>
      <t>H</t>
    </r>
  </si>
  <si>
    <r>
      <t>8</t>
    </r>
    <r>
      <rPr>
        <vertAlign val="superscript"/>
        <sz val="8"/>
        <color theme="1"/>
        <rFont val="Calibri"/>
        <family val="2"/>
        <scheme val="minor"/>
      </rPr>
      <t>A</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</si>
  <si>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,2</t>
    </r>
    <r>
      <rPr>
        <vertAlign val="superscript"/>
        <sz val="8"/>
        <color theme="1"/>
        <rFont val="Calibri"/>
        <family val="2"/>
        <scheme val="minor"/>
      </rPr>
      <t>H</t>
    </r>
    <r>
      <rPr>
        <sz val="8"/>
        <rFont val="Arial"/>
        <family val="2"/>
      </rPr>
      <t>,5</t>
    </r>
    <r>
      <rPr>
        <vertAlign val="superscript"/>
        <sz val="8"/>
        <color theme="1"/>
        <rFont val="Calibri"/>
        <family val="2"/>
        <scheme val="minor"/>
      </rPr>
      <t>H</t>
    </r>
    <r>
      <rPr>
        <sz val="8"/>
        <rFont val="Arial"/>
        <family val="2"/>
      </rPr>
      <t>, 6</t>
    </r>
    <r>
      <rPr>
        <vertAlign val="superscript"/>
        <sz val="8"/>
        <color theme="1"/>
        <rFont val="Calibri"/>
        <family val="2"/>
        <scheme val="minor"/>
      </rPr>
      <t>H</t>
    </r>
    <r>
      <rPr>
        <sz val="8"/>
        <rFont val="Arial"/>
        <family val="2"/>
      </rPr>
      <t>,7H,9</t>
    </r>
    <r>
      <rPr>
        <vertAlign val="superscript"/>
        <sz val="8"/>
        <color theme="1"/>
        <rFont val="Calibri"/>
        <family val="2"/>
        <scheme val="minor"/>
      </rPr>
      <t>H</t>
    </r>
    <r>
      <rPr>
        <sz val="8"/>
        <rFont val="Arial"/>
        <family val="2"/>
      </rPr>
      <t>, 13</t>
    </r>
    <r>
      <rPr>
        <vertAlign val="superscript"/>
        <sz val="8"/>
        <color theme="1"/>
        <rFont val="Calibri"/>
        <family val="2"/>
        <scheme val="minor"/>
      </rPr>
      <t>A</t>
    </r>
  </si>
  <si>
    <r>
      <t>2</t>
    </r>
    <r>
      <rPr>
        <vertAlign val="superscript"/>
        <sz val="8"/>
        <color theme="1"/>
        <rFont val="Calibri"/>
        <family val="2"/>
        <scheme val="minor"/>
      </rPr>
      <t>H</t>
    </r>
    <r>
      <rPr>
        <sz val="8"/>
        <rFont val="Arial"/>
        <family val="2"/>
      </rPr>
      <t>,5</t>
    </r>
    <r>
      <rPr>
        <vertAlign val="superscript"/>
        <sz val="8"/>
        <color theme="1"/>
        <rFont val="Calibri"/>
        <family val="2"/>
        <scheme val="minor"/>
      </rPr>
      <t>H</t>
    </r>
    <r>
      <rPr>
        <sz val="8"/>
        <rFont val="Arial"/>
        <family val="2"/>
      </rPr>
      <t>,6</t>
    </r>
    <r>
      <rPr>
        <vertAlign val="superscript"/>
        <sz val="8"/>
        <color theme="1"/>
        <rFont val="Calibri"/>
        <family val="2"/>
        <scheme val="minor"/>
      </rPr>
      <t>H</t>
    </r>
  </si>
  <si>
    <r>
      <t>11</t>
    </r>
    <r>
      <rPr>
        <vertAlign val="superscript"/>
        <sz val="8"/>
        <color theme="1"/>
        <rFont val="Calibri"/>
        <family val="2"/>
        <scheme val="minor"/>
      </rPr>
      <t>A</t>
    </r>
    <r>
      <rPr>
        <sz val="8"/>
        <rFont val="Arial"/>
        <family val="2"/>
      </rPr>
      <t>,5</t>
    </r>
    <r>
      <rPr>
        <vertAlign val="superscript"/>
        <sz val="8"/>
        <color theme="1"/>
        <rFont val="Calibri"/>
        <family val="2"/>
        <scheme val="minor"/>
      </rPr>
      <t>H</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</si>
  <si>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,8</t>
    </r>
    <r>
      <rPr>
        <vertAlign val="superscript"/>
        <sz val="8"/>
        <color theme="1"/>
        <rFont val="Calibri"/>
        <family val="2"/>
        <scheme val="minor"/>
      </rPr>
      <t>A</t>
    </r>
    <r>
      <rPr>
        <sz val="8"/>
        <rFont val="Arial"/>
        <family val="2"/>
      </rPr>
      <t>,10</t>
    </r>
    <r>
      <rPr>
        <vertAlign val="superscript"/>
        <sz val="8"/>
        <color theme="1"/>
        <rFont val="Calibri"/>
        <family val="2"/>
        <scheme val="minor"/>
      </rPr>
      <t>H</t>
    </r>
  </si>
  <si>
    <r>
      <t>1</t>
    </r>
    <r>
      <rPr>
        <vertAlign val="superscript"/>
        <sz val="8"/>
        <color theme="1"/>
        <rFont val="Calibri"/>
        <family val="2"/>
        <scheme val="minor"/>
      </rPr>
      <t>H,</t>
    </r>
    <r>
      <rPr>
        <sz val="8"/>
        <rFont val="Arial"/>
        <family val="2"/>
      </rPr>
      <t>10</t>
    </r>
    <r>
      <rPr>
        <vertAlign val="superscript"/>
        <sz val="8"/>
        <color theme="1"/>
        <rFont val="Calibri"/>
        <family val="2"/>
        <scheme val="minor"/>
      </rPr>
      <t>H</t>
    </r>
  </si>
  <si>
    <r>
      <t>14</t>
    </r>
    <r>
      <rPr>
        <vertAlign val="superscript"/>
        <sz val="8"/>
        <color theme="1"/>
        <rFont val="Calibri"/>
        <family val="2"/>
        <scheme val="minor"/>
      </rPr>
      <t>A</t>
    </r>
  </si>
  <si>
    <r>
      <t>19</t>
    </r>
    <r>
      <rPr>
        <vertAlign val="superscript"/>
        <sz val="8"/>
        <rFont val="Arial"/>
        <family val="2"/>
      </rPr>
      <t>A</t>
    </r>
    <r>
      <rPr>
        <sz val="8"/>
        <rFont val="Arial"/>
        <family val="2"/>
      </rPr>
      <t>, 20</t>
    </r>
    <r>
      <rPr>
        <vertAlign val="superscript"/>
        <sz val="8"/>
        <rFont val="Arial"/>
        <family val="2"/>
      </rPr>
      <t>A</t>
    </r>
  </si>
  <si>
    <r>
      <t>19</t>
    </r>
    <r>
      <rPr>
        <vertAlign val="superscript"/>
        <sz val="8"/>
        <rFont val="Arial"/>
        <family val="2"/>
      </rPr>
      <t>A</t>
    </r>
  </si>
  <si>
    <r>
      <t>20</t>
    </r>
    <r>
      <rPr>
        <vertAlign val="superscript"/>
        <sz val="8"/>
        <rFont val="Arial"/>
        <family val="2"/>
      </rPr>
      <t>A</t>
    </r>
  </si>
  <si>
    <r>
      <t>12</t>
    </r>
    <r>
      <rPr>
        <vertAlign val="superscript"/>
        <sz val="8"/>
        <rFont val="Arial"/>
        <family val="2"/>
      </rPr>
      <t>A</t>
    </r>
  </si>
  <si>
    <r>
      <t>22</t>
    </r>
    <r>
      <rPr>
        <vertAlign val="superscript"/>
        <sz val="8"/>
        <rFont val="Arial"/>
        <family val="2"/>
      </rPr>
      <t>A</t>
    </r>
  </si>
  <si>
    <t>Refer to accompanying Technical Memorandum. "A" = Animal study; "H"  = Human epidemoligical study. Primary health risk long-term exposure to PFASs considered to be potential impacts to liver function and immune system toxicity.</t>
  </si>
  <si>
    <r>
      <rPr>
        <b/>
        <sz val="11"/>
        <color theme="1"/>
        <rFont val="Arial"/>
        <family val="2"/>
      </rPr>
      <t>1</t>
    </r>
    <r>
      <rPr>
        <b/>
        <vertAlign val="superscript"/>
        <sz val="11"/>
        <color theme="1"/>
        <rFont val="Arial"/>
        <family val="2"/>
      </rPr>
      <t>H</t>
    </r>
    <r>
      <rPr>
        <sz val="9"/>
        <color theme="1"/>
        <rFont val="Arial"/>
        <family val="2"/>
      </rPr>
      <t>: Human Epi Studies correlation in ATSDR 2018 Toxicological Profile for Perfluoroalkyls, Updated May 2020 (https://www.atsdr.cdc.gov/toxprofiles/tp200.pdf)</t>
    </r>
  </si>
  <si>
    <t>increased liver enzymes</t>
  </si>
  <si>
    <t>increased risk PIH</t>
  </si>
  <si>
    <t>small decreases in birth weight</t>
  </si>
  <si>
    <t>thyroid alterations</t>
  </si>
  <si>
    <t>decreased Ab response to vaccines</t>
  </si>
  <si>
    <t>decreased fertility</t>
  </si>
  <si>
    <t>increased asthma</t>
  </si>
  <si>
    <r>
      <rPr>
        <b/>
        <sz val="11"/>
        <color theme="1"/>
        <rFont val="Arial"/>
        <family val="2"/>
      </rPr>
      <t>1</t>
    </r>
    <r>
      <rPr>
        <b/>
        <vertAlign val="superscript"/>
        <sz val="11"/>
        <color theme="1"/>
        <rFont val="Arial"/>
        <family val="2"/>
      </rPr>
      <t>A</t>
    </r>
    <r>
      <rPr>
        <b/>
        <sz val="11"/>
        <color theme="1"/>
        <rFont val="Arial"/>
        <family val="2"/>
      </rPr>
      <t xml:space="preserve">: </t>
    </r>
    <r>
      <rPr>
        <sz val="9"/>
        <color theme="1"/>
        <rFont val="Arial"/>
        <family val="2"/>
      </rPr>
      <t>Animal Studies correlation in ATSDR 2018 Toxicological Profile for Perfluoroalkyls, Updated May 2020 (https://www.atsdr.cdc.gov/toxprofiles/tp200.pdf)</t>
    </r>
  </si>
  <si>
    <t>increased total cholesterol</t>
  </si>
  <si>
    <t>degenerative &amp; necrotic effects likely relevant to humans</t>
  </si>
  <si>
    <t>decreased pup body weight and survival. locomotor problems</t>
  </si>
  <si>
    <t>Decreases in RBC count, Hb, and HCT levels</t>
  </si>
  <si>
    <t>impaired response to antigens</t>
  </si>
  <si>
    <t>renal tubular degeneration, papillary necrosis</t>
  </si>
  <si>
    <t>decreased mammary gland development</t>
  </si>
  <si>
    <r>
      <t>2</t>
    </r>
    <r>
      <rPr>
        <b/>
        <vertAlign val="superscript"/>
        <sz val="11"/>
        <color theme="1"/>
        <rFont val="Arial"/>
        <family val="2"/>
      </rPr>
      <t>H</t>
    </r>
    <r>
      <rPr>
        <b/>
        <sz val="11"/>
        <color theme="1"/>
        <rFont val="Arial"/>
        <family val="2"/>
      </rPr>
      <t xml:space="preserve">: </t>
    </r>
    <r>
      <rPr>
        <sz val="9"/>
        <color theme="1"/>
        <rFont val="Arial"/>
        <family val="2"/>
      </rPr>
      <t>Kirk M et al 2018 The PFAS Health Study: Systematic Literature Review</t>
    </r>
  </si>
  <si>
    <t>kidney CA , testicular CA</t>
  </si>
  <si>
    <t>ab response to diptheria and rubella vaccines</t>
  </si>
  <si>
    <t>impaired GFR, hyperuricemia, CKD</t>
  </si>
  <si>
    <r>
      <t>3</t>
    </r>
    <r>
      <rPr>
        <b/>
        <vertAlign val="superscript"/>
        <sz val="11"/>
        <color theme="1"/>
        <rFont val="Arial"/>
        <family val="2"/>
      </rPr>
      <t>A</t>
    </r>
    <r>
      <rPr>
        <b/>
        <sz val="11"/>
        <color theme="1"/>
        <rFont val="Arial"/>
        <family val="2"/>
      </rPr>
      <t xml:space="preserve">: </t>
    </r>
    <r>
      <rPr>
        <sz val="9"/>
        <color theme="1"/>
        <rFont val="Arial"/>
        <family val="2"/>
      </rPr>
      <t xml:space="preserve">MDH 2018 Toxicological Summary for PFBA (https://www.health.state.mn.us/communities/environment/risk/docs/guidance/gw/pfba2summ.pdf), animal studies only </t>
    </r>
  </si>
  <si>
    <t>increased liver weights and morph changes</t>
  </si>
  <si>
    <t>developmental delays in offspring of mice exp during pregnancy</t>
  </si>
  <si>
    <t>decreased serum total T4</t>
  </si>
  <si>
    <t>decreased RBCs, HCT, Hb</t>
  </si>
  <si>
    <r>
      <rPr>
        <b/>
        <sz val="11"/>
        <color theme="1"/>
        <rFont val="Arial"/>
        <family val="2"/>
      </rPr>
      <t>4</t>
    </r>
    <r>
      <rPr>
        <b/>
        <vertAlign val="superscript"/>
        <sz val="11"/>
        <color theme="1"/>
        <rFont val="Arial"/>
        <family val="2"/>
      </rPr>
      <t>A</t>
    </r>
    <r>
      <rPr>
        <b/>
        <sz val="11"/>
        <color theme="1"/>
        <rFont val="Arial"/>
        <family val="2"/>
      </rPr>
      <t xml:space="preserve">: </t>
    </r>
    <r>
      <rPr>
        <sz val="9"/>
        <color theme="1"/>
        <rFont val="Arial"/>
        <family val="2"/>
      </rPr>
      <t>MDH 2019 Toxicological Summary for PFHxS (https://www.health.state.mn.us/communities/environment/risk/docs/guidance/gw/pfhxs.pdf). Animal studies only</t>
    </r>
  </si>
  <si>
    <t>increased cholesterol</t>
  </si>
  <si>
    <t>focal hepatic necrosis</t>
  </si>
  <si>
    <t>decreased free T4</t>
  </si>
  <si>
    <r>
      <rPr>
        <b/>
        <sz val="11"/>
        <color theme="1"/>
        <rFont val="Arial"/>
        <family val="2"/>
      </rPr>
      <t>5</t>
    </r>
    <r>
      <rPr>
        <b/>
        <vertAlign val="superscript"/>
        <sz val="11"/>
        <color theme="1"/>
        <rFont val="Arial"/>
        <family val="2"/>
      </rPr>
      <t>H</t>
    </r>
    <r>
      <rPr>
        <b/>
        <sz val="11"/>
        <color theme="1"/>
        <rFont val="Arial"/>
        <family val="2"/>
      </rPr>
      <t xml:space="preserve">: </t>
    </r>
    <r>
      <rPr>
        <sz val="9"/>
        <color theme="1"/>
        <rFont val="Arial"/>
        <family val="2"/>
      </rPr>
      <t>Expert Health Panel for Per- and Poly- Flouroalkyl Substances (PFAS) 2018 Austrailian Report to the Minister (https://www1.health.gov.au/internet/main/publishing.nsf/Content/C9734ED6BE238EC0CA2581BD00052C03/%24File/expert-panel-report.pdf)</t>
    </r>
  </si>
  <si>
    <t>possible increased risk of kidney &amp; testicualr CA</t>
  </si>
  <si>
    <t>increased ALT (may not be clinically significant)</t>
  </si>
  <si>
    <t>increased risk of PIH</t>
  </si>
  <si>
    <t>low birth weights</t>
  </si>
  <si>
    <t>thyroid dysfunction in women</t>
  </si>
  <si>
    <t>decreased immune response</t>
  </si>
  <si>
    <t>decreased uric acid clearance</t>
  </si>
  <si>
    <r>
      <rPr>
        <b/>
        <sz val="11"/>
        <color theme="1"/>
        <rFont val="Arial"/>
        <family val="2"/>
      </rPr>
      <t>6</t>
    </r>
    <r>
      <rPr>
        <b/>
        <vertAlign val="superscript"/>
        <sz val="11"/>
        <color theme="1"/>
        <rFont val="Arial"/>
        <family val="2"/>
      </rPr>
      <t>H</t>
    </r>
    <r>
      <rPr>
        <b/>
        <sz val="11"/>
        <color theme="1"/>
        <rFont val="Arial"/>
        <family val="2"/>
      </rPr>
      <t xml:space="preserve">: </t>
    </r>
    <r>
      <rPr>
        <sz val="9"/>
        <color theme="1"/>
        <rFont val="Arial"/>
        <family val="2"/>
      </rPr>
      <t>Rijs et al RIVM Dutch National Institute for Public Health and the Environment 2017 PFOA exposure and Health: A review of scientific literature. (https://www.rivm.nl/bibliotheek/rapporten/2017-0086.pdf)</t>
    </r>
  </si>
  <si>
    <t>association with testicular and kidney cancer</t>
  </si>
  <si>
    <t>probable link with high cholesterol</t>
  </si>
  <si>
    <t>increased ALT and other liver enzymes</t>
  </si>
  <si>
    <t>increased PIH</t>
  </si>
  <si>
    <t>decreased birth weight</t>
  </si>
  <si>
    <t>decreased reponse to vaccines</t>
  </si>
  <si>
    <t>increased uric acid</t>
  </si>
  <si>
    <r>
      <rPr>
        <b/>
        <sz val="11"/>
        <color theme="1"/>
        <rFont val="Arial"/>
        <family val="2"/>
      </rPr>
      <t>7</t>
    </r>
    <r>
      <rPr>
        <b/>
        <vertAlign val="superscript"/>
        <sz val="11"/>
        <color theme="1"/>
        <rFont val="Arial"/>
        <family val="2"/>
      </rPr>
      <t>H</t>
    </r>
    <r>
      <rPr>
        <b/>
        <sz val="11"/>
        <color theme="1"/>
        <rFont val="Arial"/>
        <family val="2"/>
      </rPr>
      <t xml:space="preserve">: </t>
    </r>
    <r>
      <rPr>
        <sz val="9"/>
        <color theme="1"/>
        <rFont val="Arial"/>
        <family val="2"/>
      </rPr>
      <t>C8 Science Panel 2012 Probable Link Reports (http://www.c8sciencepanel.org/prob_link.html)</t>
    </r>
  </si>
  <si>
    <t>probable link with kidney and testicular CAs</t>
  </si>
  <si>
    <t>probable link with PIH</t>
  </si>
  <si>
    <t>probable link with thyroid disease</t>
  </si>
  <si>
    <t>probable link with ulcerative collitis</t>
  </si>
  <si>
    <r>
      <t>8</t>
    </r>
    <r>
      <rPr>
        <b/>
        <vertAlign val="superscript"/>
        <sz val="11"/>
        <color theme="1"/>
        <rFont val="Arial"/>
        <family val="2"/>
      </rPr>
      <t>H,A</t>
    </r>
    <r>
      <rPr>
        <b/>
        <sz val="11"/>
        <color theme="1"/>
        <rFont val="Arial"/>
        <family val="2"/>
      </rPr>
      <t xml:space="preserve">: </t>
    </r>
    <r>
      <rPr>
        <sz val="9"/>
        <color theme="1"/>
        <rFont val="Arial"/>
        <family val="2"/>
      </rPr>
      <t>Sunderland</t>
    </r>
    <r>
      <rPr>
        <b/>
        <sz val="11"/>
        <color theme="1"/>
        <rFont val="Arial"/>
        <family val="2"/>
      </rPr>
      <t xml:space="preserve"> </t>
    </r>
    <r>
      <rPr>
        <sz val="9"/>
        <color theme="1"/>
        <rFont val="Arial"/>
        <family val="2"/>
      </rPr>
      <t>et al 2018 A review of pathways of human exposure to PFAS and present understanding of health effects</t>
    </r>
  </si>
  <si>
    <t>carcinogenic in rats</t>
  </si>
  <si>
    <t>changes in leukocyte counts</t>
  </si>
  <si>
    <t>immune problems</t>
  </si>
  <si>
    <t>male repo hormone alteration</t>
  </si>
  <si>
    <r>
      <t>9</t>
    </r>
    <r>
      <rPr>
        <b/>
        <vertAlign val="superscript"/>
        <sz val="11"/>
        <color theme="1"/>
        <rFont val="Arial"/>
        <family val="2"/>
      </rPr>
      <t>H</t>
    </r>
    <r>
      <rPr>
        <b/>
        <sz val="11"/>
        <color theme="1"/>
        <rFont val="Arial"/>
        <family val="2"/>
      </rPr>
      <t xml:space="preserve">: </t>
    </r>
    <r>
      <rPr>
        <sz val="9"/>
        <color theme="1"/>
        <rFont val="Arial"/>
        <family val="2"/>
      </rPr>
      <t>Liew Z et al 2018 Developmental exposures to PFAS: an update of associated health outcomes</t>
    </r>
  </si>
  <si>
    <t>increased risk of hyperglycemia</t>
  </si>
  <si>
    <t>modulates immune responses in children</t>
  </si>
  <si>
    <r>
      <t>10</t>
    </r>
    <r>
      <rPr>
        <b/>
        <vertAlign val="superscript"/>
        <sz val="11"/>
        <color theme="1"/>
        <rFont val="Arial"/>
        <family val="2"/>
      </rPr>
      <t>H</t>
    </r>
    <r>
      <rPr>
        <b/>
        <sz val="11"/>
        <color theme="1"/>
        <rFont val="Arial"/>
        <family val="2"/>
      </rPr>
      <t>:</t>
    </r>
    <r>
      <rPr>
        <sz val="9"/>
        <color theme="1"/>
        <rFont val="Arial"/>
        <family val="2"/>
      </rPr>
      <t xml:space="preserve"> Lin CY et al 2009 Association among serum PFAS chemicals, glucose homeostasis risk, and metabolic syndrome</t>
    </r>
  </si>
  <si>
    <t>increased risk of gestational DM</t>
  </si>
  <si>
    <r>
      <t>11</t>
    </r>
    <r>
      <rPr>
        <b/>
        <vertAlign val="superscript"/>
        <sz val="11"/>
        <color theme="1"/>
        <rFont val="Arial"/>
        <family val="2"/>
      </rPr>
      <t>A</t>
    </r>
    <r>
      <rPr>
        <b/>
        <sz val="11"/>
        <color theme="1"/>
        <rFont val="Arial"/>
        <family val="2"/>
      </rPr>
      <t>:</t>
    </r>
    <r>
      <rPr>
        <sz val="9"/>
        <color theme="1"/>
        <rFont val="Arial"/>
        <family val="2"/>
      </rPr>
      <t xml:space="preserve"> Johansson et al 2008 Neonatal Exposures to PFOS and PFOA causes neurobehavioral defects in adult mice</t>
    </r>
  </si>
  <si>
    <t>weight loss, reduced food consumption</t>
  </si>
  <si>
    <t>inability to habituate to new environment</t>
  </si>
  <si>
    <r>
      <t>12</t>
    </r>
    <r>
      <rPr>
        <b/>
        <vertAlign val="superscript"/>
        <sz val="11"/>
        <color theme="1"/>
        <rFont val="Arial"/>
        <family val="2"/>
      </rPr>
      <t>A</t>
    </r>
    <r>
      <rPr>
        <b/>
        <sz val="11"/>
        <color theme="1"/>
        <rFont val="Arial"/>
        <family val="2"/>
      </rPr>
      <t>:</t>
    </r>
    <r>
      <rPr>
        <sz val="9"/>
        <color theme="1"/>
        <rFont val="Arial"/>
        <family val="2"/>
      </rPr>
      <t xml:space="preserve"> Gordon SC 2011 Toxicological evaluation of ADONA</t>
    </r>
  </si>
  <si>
    <t>decreased total cholesterol</t>
  </si>
  <si>
    <t>decreased liter size</t>
  </si>
  <si>
    <t>increased WBC, decreased RBC, HCT, Hb</t>
  </si>
  <si>
    <t>Decreased calcium excretion</t>
  </si>
  <si>
    <r>
      <t>13</t>
    </r>
    <r>
      <rPr>
        <b/>
        <vertAlign val="superscript"/>
        <sz val="11"/>
        <color theme="1"/>
        <rFont val="Arial"/>
        <family val="2"/>
      </rPr>
      <t>A</t>
    </r>
    <r>
      <rPr>
        <b/>
        <sz val="11"/>
        <color theme="1"/>
        <rFont val="Arial"/>
        <family val="2"/>
      </rPr>
      <t>:</t>
    </r>
    <r>
      <rPr>
        <sz val="9"/>
        <color theme="1"/>
        <rFont val="Arial"/>
        <family val="2"/>
      </rPr>
      <t xml:space="preserve"> National Toxicology Program 2019 Technical Report on the toxicology and carcinogenic studies of PFOA administered in feed to Spraugue-Dawley Rats</t>
    </r>
  </si>
  <si>
    <t xml:space="preserve"> clear evidence of carcinogenic activitiy in rats (liver and pancreatic)</t>
  </si>
  <si>
    <t>presumed immune hazard</t>
  </si>
  <si>
    <r>
      <t>14</t>
    </r>
    <r>
      <rPr>
        <b/>
        <vertAlign val="superscript"/>
        <sz val="11"/>
        <color theme="1"/>
        <rFont val="Arial"/>
        <family val="2"/>
      </rPr>
      <t>A</t>
    </r>
    <r>
      <rPr>
        <b/>
        <sz val="11"/>
        <color theme="1"/>
        <rFont val="Arial"/>
        <family val="2"/>
      </rPr>
      <t>:</t>
    </r>
    <r>
      <rPr>
        <sz val="9"/>
        <color theme="1"/>
        <rFont val="Arial"/>
        <family val="2"/>
      </rPr>
      <t xml:space="preserve"> USEPA 2018 Draft human toxicity values for HFPO (GenX)</t>
    </r>
    <r>
      <rPr>
        <b/>
        <sz val="11"/>
        <color theme="1"/>
        <rFont val="Arial"/>
        <family val="2"/>
      </rPr>
      <t xml:space="preserve"> </t>
    </r>
    <r>
      <rPr>
        <sz val="9"/>
        <color theme="1"/>
        <rFont val="Arial"/>
        <family val="2"/>
      </rPr>
      <t>(https://www.epa.gov/sites/production/files/2018-11/documents/genx_public_comment_draft_toxicity_assessment_nov2018-508.pdf)</t>
    </r>
  </si>
  <si>
    <t>liver, pancreatic, testicular tumors</t>
  </si>
  <si>
    <t>increased liver enzymes and hepatic necrosis</t>
  </si>
  <si>
    <t>decreased RBCs, Hb, HCT</t>
  </si>
  <si>
    <t>immune alterations</t>
  </si>
  <si>
    <r>
      <t>15</t>
    </r>
    <r>
      <rPr>
        <b/>
        <vertAlign val="superscript"/>
        <sz val="11"/>
        <color theme="1"/>
        <rFont val="Arial"/>
        <family val="2"/>
      </rPr>
      <t>A</t>
    </r>
    <r>
      <rPr>
        <b/>
        <sz val="11"/>
        <color theme="1"/>
        <rFont val="Arial"/>
        <family val="2"/>
      </rPr>
      <t>:</t>
    </r>
    <r>
      <rPr>
        <sz val="9"/>
        <color theme="1"/>
        <rFont val="Arial"/>
        <family val="2"/>
      </rPr>
      <t xml:space="preserve"> USEPA 2018 Draft human toxicity values for PFBS</t>
    </r>
    <r>
      <rPr>
        <b/>
        <sz val="11"/>
        <color theme="1"/>
        <rFont val="Arial"/>
        <family val="2"/>
      </rPr>
      <t xml:space="preserve"> </t>
    </r>
    <r>
      <rPr>
        <sz val="9"/>
        <color theme="1"/>
        <rFont val="Arial"/>
        <family val="2"/>
      </rPr>
      <t>(https://www.epa.gov/sites/production/files/2018-11/documents/pfbs_public_comment_draft_toxicity_assessment_nov2018-508.pdf)</t>
    </r>
  </si>
  <si>
    <t>evidence support a hazard</t>
  </si>
  <si>
    <r>
      <t>16</t>
    </r>
    <r>
      <rPr>
        <b/>
        <vertAlign val="superscript"/>
        <sz val="11"/>
        <color theme="1"/>
        <rFont val="Arial"/>
        <family val="2"/>
      </rPr>
      <t>AH</t>
    </r>
    <r>
      <rPr>
        <b/>
        <sz val="11"/>
        <color theme="1"/>
        <rFont val="Arial"/>
        <family val="2"/>
      </rPr>
      <t>:</t>
    </r>
    <r>
      <rPr>
        <sz val="9"/>
        <color theme="1"/>
        <rFont val="Arial"/>
        <family val="2"/>
      </rPr>
      <t xml:space="preserve"> USEPA 2016 Drinking water health advisory for PFOA (https://www.epa.gov/sites/production/files/2016-05/documents/pfoa_health_advisory_final_508.pdf)</t>
    </r>
  </si>
  <si>
    <t>suggestive evidence of carcinogenic potential</t>
  </si>
  <si>
    <r>
      <t>17</t>
    </r>
    <r>
      <rPr>
        <b/>
        <vertAlign val="superscript"/>
        <sz val="11"/>
        <color theme="1"/>
        <rFont val="Arial"/>
        <family val="2"/>
      </rPr>
      <t>AH</t>
    </r>
    <r>
      <rPr>
        <b/>
        <sz val="11"/>
        <color theme="1"/>
        <rFont val="Arial"/>
        <family val="2"/>
      </rPr>
      <t>:</t>
    </r>
    <r>
      <rPr>
        <sz val="9"/>
        <color theme="1"/>
        <rFont val="Arial"/>
        <family val="2"/>
      </rPr>
      <t xml:space="preserve"> USEPA 2016 Drinking water health advisory for PFOS (https://www.epa.gov/sites/production/files/2016-05/documents/pfos_health_advisory_final_508.pdf)</t>
    </r>
  </si>
  <si>
    <r>
      <t>18:</t>
    </r>
    <r>
      <rPr>
        <sz val="9"/>
        <color theme="1"/>
        <rFont val="Arial"/>
        <family val="2"/>
      </rPr>
      <t xml:space="preserve"> IARC 2016 Monograph 110: PFOA (https://monographs.iarc.fr/wp-content/uploads/2018/06/mono110-01.pdf)</t>
    </r>
  </si>
  <si>
    <t>limited evidence of carcinogenicity (kidney and testis), possible human carcinogen 2B</t>
  </si>
  <si>
    <r>
      <rPr>
        <b/>
        <sz val="10"/>
        <color theme="1"/>
        <rFont val="Arial"/>
        <family val="2"/>
      </rPr>
      <t>19</t>
    </r>
    <r>
      <rPr>
        <b/>
        <vertAlign val="superscript"/>
        <sz val="10"/>
        <color theme="1"/>
        <rFont val="Arial"/>
        <family val="2"/>
      </rPr>
      <t>A</t>
    </r>
    <r>
      <rPr>
        <b/>
        <sz val="10"/>
        <color theme="1"/>
        <rFont val="Arial"/>
        <family val="2"/>
      </rPr>
      <t>:</t>
    </r>
    <r>
      <rPr>
        <sz val="10"/>
        <color theme="1"/>
        <rFont val="Arial"/>
        <family val="2"/>
      </rPr>
      <t xml:space="preserve"> Michigan Dept of Environment, Great Lakes and Energy Interoffice Communication on 6:2 FTSA, September 2020</t>
    </r>
  </si>
  <si>
    <t>AST elevation, increased liver weight</t>
  </si>
  <si>
    <t>Decrease in Cardiac weight</t>
  </si>
  <si>
    <r>
      <rPr>
        <b/>
        <sz val="10"/>
        <rFont val="Arial"/>
        <family val="2"/>
      </rPr>
      <t>20</t>
    </r>
    <r>
      <rPr>
        <b/>
        <vertAlign val="superscript"/>
        <sz val="10"/>
        <rFont val="Arial"/>
        <family val="2"/>
      </rPr>
      <t>A</t>
    </r>
    <r>
      <rPr>
        <sz val="10"/>
        <rFont val="Arial"/>
        <family val="2"/>
      </rPr>
      <t xml:space="preserve">: </t>
    </r>
    <r>
      <rPr>
        <sz val="9"/>
        <rFont val="Arial"/>
        <family val="2"/>
      </rPr>
      <t>NASF, 6:2 FluorotelomerSulfonate (6:2 FTS), Toxicology at a Glance: National Association for Surface Finishing, March 2019</t>
    </r>
  </si>
  <si>
    <t>Increased liver weight, necrosis</t>
  </si>
  <si>
    <t>Increased kidney weight, altered Cr</t>
  </si>
  <si>
    <t>Skin irritation</t>
  </si>
  <si>
    <r>
      <rPr>
        <b/>
        <sz val="10"/>
        <rFont val="Arial"/>
        <family val="2"/>
      </rPr>
      <t>21</t>
    </r>
    <r>
      <rPr>
        <b/>
        <vertAlign val="superscript"/>
        <sz val="10"/>
        <rFont val="Arial"/>
        <family val="2"/>
      </rPr>
      <t>A</t>
    </r>
    <r>
      <rPr>
        <sz val="10"/>
        <rFont val="Arial"/>
        <family val="2"/>
      </rPr>
      <t xml:space="preserve">: </t>
    </r>
    <r>
      <rPr>
        <sz val="9"/>
        <rFont val="Arial"/>
        <family val="2"/>
      </rPr>
      <t xml:space="preserve">USEPA DRAFT </t>
    </r>
    <r>
      <rPr>
        <sz val="10"/>
        <rFont val="Arial"/>
        <family val="2"/>
      </rPr>
      <t>Toxicological Review of Perfluorohexanoic Acid and Related Salts February 2022</t>
    </r>
  </si>
  <si>
    <t>Increased liver weight, necrosis, increased liver enzymes</t>
  </si>
  <si>
    <t>Decreased RBCs, Hb, HCT</t>
  </si>
  <si>
    <r>
      <rPr>
        <b/>
        <sz val="10"/>
        <rFont val="Arial"/>
        <family val="2"/>
      </rPr>
      <t>22</t>
    </r>
    <r>
      <rPr>
        <b/>
        <vertAlign val="superscript"/>
        <sz val="10"/>
        <rFont val="Arial"/>
        <family val="2"/>
      </rPr>
      <t>A</t>
    </r>
    <r>
      <rPr>
        <b/>
        <sz val="10"/>
        <rFont val="Arial"/>
        <family val="2"/>
      </rPr>
      <t>.</t>
    </r>
    <r>
      <rPr>
        <sz val="10"/>
        <rFont val="Arial"/>
        <family val="2"/>
      </rPr>
      <t xml:space="preserve"> </t>
    </r>
    <r>
      <rPr>
        <sz val="9"/>
        <rFont val="Arial"/>
        <family val="2"/>
      </rPr>
      <t>Gibb and Oleary, Risk Evaluation of Select PFAS,  Report to the Hawaii State Department of Health: Prepared by Gibb &amp; O’Leary Epidemiology Consulting
July 26, 2023.</t>
    </r>
  </si>
  <si>
    <t>liver weight effects</t>
  </si>
  <si>
    <t>delayed maturation in pups; reductions in pup survival; effects on body
weight</t>
  </si>
  <si>
    <t>pancreatic acinar apoptosis, decreased thymus weight</t>
  </si>
  <si>
    <t>Hematology, clinical chemistry</t>
  </si>
  <si>
    <t>Decreased plaque forming cell (PFC) assay</t>
  </si>
  <si>
    <t>chronic nephropathy</t>
  </si>
  <si>
    <t>Discolored incisors
histopathology effects</t>
  </si>
  <si>
    <r>
      <rPr>
        <b/>
        <sz val="10"/>
        <rFont val="Arial"/>
        <family val="2"/>
      </rPr>
      <t>23</t>
    </r>
    <r>
      <rPr>
        <b/>
        <vertAlign val="superscript"/>
        <sz val="10"/>
        <rFont val="Arial"/>
        <family val="2"/>
      </rPr>
      <t>A</t>
    </r>
    <r>
      <rPr>
        <b/>
        <sz val="10"/>
        <rFont val="Arial"/>
        <family val="2"/>
      </rPr>
      <t>.</t>
    </r>
    <r>
      <rPr>
        <sz val="10"/>
        <rFont val="Arial"/>
        <family val="2"/>
      </rPr>
      <t xml:space="preserve"> </t>
    </r>
    <r>
      <rPr>
        <sz val="9"/>
        <rFont val="Arial"/>
        <family val="2"/>
      </rPr>
      <t>USEPA, Human Health Toxicity Value for Perfluoropropanoic Acid. EPA/600/R-22/042F, July 2023.</t>
    </r>
  </si>
  <si>
    <t>increased liver weight</t>
  </si>
  <si>
    <t>increased thromboplastin time</t>
  </si>
  <si>
    <t>increased kidney weight</t>
  </si>
  <si>
    <t>TABLE K. *ANTHROPOGENIC BACKGROUND CONCENTRATIONS OF PFASs IN URBAN SOIL</t>
  </si>
  <si>
    <t>Range
(mg/kg)</t>
  </si>
  <si>
    <r>
      <rPr>
        <b/>
        <vertAlign val="superscript"/>
        <sz val="8"/>
        <rFont val="Arial"/>
        <family val="2"/>
      </rPr>
      <t>2</t>
    </r>
    <r>
      <rPr>
        <b/>
        <sz val="8"/>
        <rFont val="Arial"/>
        <family val="2"/>
      </rPr>
      <t>Upper Bound
(mg/kg)</t>
    </r>
  </si>
  <si>
    <r>
      <rPr>
        <b/>
        <vertAlign val="superscript"/>
        <sz val="8"/>
        <rFont val="Arial"/>
        <family val="2"/>
      </rPr>
      <t>3</t>
    </r>
    <r>
      <rPr>
        <b/>
        <sz val="8"/>
        <rFont val="Arial"/>
        <family val="2"/>
      </rPr>
      <t>Background Threshold Value
(mg/kg)</t>
    </r>
  </si>
  <si>
    <r>
      <rPr>
        <b/>
        <vertAlign val="superscript"/>
        <sz val="8"/>
        <rFont val="Arial"/>
        <family val="2"/>
      </rPr>
      <t>4</t>
    </r>
    <r>
      <rPr>
        <b/>
        <sz val="8"/>
        <rFont val="Arial"/>
        <family val="2"/>
      </rPr>
      <t>Selected
Action Level
(mg/kg)</t>
    </r>
  </si>
  <si>
    <r>
      <rPr>
        <b/>
        <vertAlign val="superscript"/>
        <sz val="8"/>
        <rFont val="Arial"/>
        <family val="2"/>
      </rPr>
      <t>*</t>
    </r>
    <r>
      <rPr>
        <b/>
        <sz val="8"/>
        <rFont val="Arial"/>
        <family val="2"/>
      </rPr>
      <t>Primary Reference:</t>
    </r>
    <r>
      <rPr>
        <sz val="8"/>
        <rFont val="Arial"/>
        <family val="2"/>
      </rPr>
      <t xml:space="preserve"> Pending - Compilation of anthropogenic background levels of PFASs in soil to be prepared as data become available.</t>
    </r>
  </si>
  <si>
    <t>1. Upper Bound concentration selected based on evaluation of univariate sample data plots.</t>
  </si>
  <si>
    <t>2. Background Threshold Value set to maximum-reported concentration, excluding samples with suspected anthropogenic contamination.</t>
  </si>
  <si>
    <t>3. Selected action level based on Upper Bound concentration unless otherwise noted.</t>
  </si>
  <si>
    <t>TABLE L. SOIL ECOTOXICITY ACTION LEVELS</t>
  </si>
  <si>
    <t>Urban Area Ecotoxicity Criteria (mg/kg)</t>
  </si>
  <si>
    <t>Residential Areas</t>
  </si>
  <si>
    <t>Commercial/
Industrial areas</t>
  </si>
  <si>
    <t>='Table H (Constants)'!C30</t>
  </si>
  <si>
    <t>noncarcinogenic effects</t>
  </si>
  <si>
    <t>Solubility</t>
  </si>
  <si>
    <t>Australia CRC 2018</t>
  </si>
  <si>
    <t>=Drinking Water Toxicity</t>
  </si>
  <si>
    <t>=Drinking Water Toxicity)</t>
  </si>
  <si>
    <t>after ECHA 2022 (FW chronic ÷ 10)</t>
  </si>
  <si>
    <t>HDOH Primary MCL</t>
  </si>
  <si>
    <t>Aquatic Habitat Goal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</si>
</sst>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E+00"/>
    <numFmt numFmtId="166" formatCode="0.E+00"/>
  </numFmts>
  <fonts count="111" x14ac:knownFonts="1">
    <font>
      <sz val="10"/>
      <name val="Arial"/>
    </font>
    <font>
      <sz val="11"/>
      <color theme="1"/>
      <name val="Calibri"/>
      <family val="2"/>
      <scheme val="minor"/>
    </font>
    <font>
      <sz val="10"/>
      <name val="Arial"/>
      <family val="2"/>
    </font>
    <font>
      <sz val="8"/>
      <name val="Arial"/>
      <family val="2"/>
    </font>
    <font>
      <b/>
      <sz val="8"/>
      <name val="Arial"/>
      <family val="2"/>
    </font>
    <font>
      <b/>
      <sz val="12"/>
      <name val="Arial"/>
      <family val="2"/>
    </font>
    <font>
      <b/>
      <sz val="11"/>
      <name val="Arial"/>
      <family val="2"/>
    </font>
    <font>
      <sz val="10"/>
      <name val="Arial"/>
      <family val="2"/>
    </font>
    <font>
      <b/>
      <vertAlign val="superscript"/>
      <sz val="8"/>
      <name val="Arial"/>
      <family val="2"/>
    </font>
    <font>
      <i/>
      <sz val="8"/>
      <name val="Arial"/>
      <family val="2"/>
    </font>
    <font>
      <vertAlign val="superscript"/>
      <sz val="8"/>
      <name val="Arial"/>
      <family val="2"/>
    </font>
    <font>
      <b/>
      <sz val="8"/>
      <color indexed="10"/>
      <name val="Arial"/>
      <family val="2"/>
    </font>
    <font>
      <b/>
      <vertAlign val="superscript"/>
      <sz val="12"/>
      <name val="Arial"/>
      <family val="2"/>
    </font>
    <font>
      <b/>
      <sz val="10"/>
      <name val="Arial"/>
      <family val="2"/>
    </font>
    <font>
      <u/>
      <sz val="10"/>
      <name val="Arial"/>
      <family val="2"/>
    </font>
    <font>
      <b/>
      <sz val="11.5"/>
      <name val="Arial"/>
      <family val="2"/>
    </font>
    <font>
      <sz val="8"/>
      <name val="Arial"/>
      <family val="2"/>
    </font>
    <font>
      <sz val="12"/>
      <name val="Times New Roman"/>
      <family val="1"/>
    </font>
    <font>
      <b/>
      <sz val="18"/>
      <name val="Times New Roman"/>
      <family val="1"/>
    </font>
    <font>
      <b/>
      <sz val="12"/>
      <name val="Times New Roman"/>
      <family val="1"/>
    </font>
    <font>
      <b/>
      <sz val="10"/>
      <name val="Times New Roman"/>
      <family val="1"/>
    </font>
    <font>
      <b/>
      <sz val="14"/>
      <name val="Times New Roman"/>
      <family val="1"/>
    </font>
    <font>
      <b/>
      <sz val="16"/>
      <name val="Times New Roman"/>
      <family val="1"/>
    </font>
    <font>
      <sz val="12"/>
      <name val="Arial"/>
      <family val="2"/>
    </font>
    <font>
      <sz val="11"/>
      <name val="Times New Roman"/>
      <family val="1"/>
    </font>
    <font>
      <b/>
      <sz val="9"/>
      <color indexed="10"/>
      <name val="Times New Roman"/>
      <family val="1"/>
    </font>
    <font>
      <sz val="10"/>
      <name val="Times New Roman"/>
      <family val="1"/>
    </font>
    <font>
      <sz val="9"/>
      <name val="Arial"/>
      <family val="2"/>
    </font>
    <font>
      <b/>
      <sz val="11.5"/>
      <color indexed="10"/>
      <name val="Tahoma"/>
      <family val="2"/>
    </font>
    <font>
      <sz val="11.5"/>
      <name val="Arial"/>
      <family val="2"/>
    </font>
    <font>
      <b/>
      <sz val="11"/>
      <name val="Times New Roman"/>
      <family val="1"/>
    </font>
    <font>
      <b/>
      <sz val="14"/>
      <color indexed="10"/>
      <name val="Tahoma"/>
      <family val="2"/>
    </font>
    <font>
      <b/>
      <sz val="13"/>
      <name val="Tahoma"/>
      <family val="2"/>
    </font>
    <font>
      <sz val="11"/>
      <name val="Arial"/>
      <family val="2"/>
    </font>
    <font>
      <sz val="13"/>
      <name val="Tahoma"/>
      <family val="2"/>
    </font>
    <font>
      <b/>
      <sz val="14"/>
      <color indexed="10"/>
      <name val="Times New Roman"/>
      <family val="1"/>
    </font>
    <font>
      <i/>
      <sz val="12"/>
      <name val="Times New Roman"/>
      <family val="1"/>
    </font>
    <font>
      <b/>
      <u/>
      <sz val="12"/>
      <name val="Times New Roman"/>
      <family val="1"/>
    </font>
    <font>
      <vertAlign val="superscript"/>
      <sz val="10"/>
      <name val="Arial"/>
      <family val="2"/>
    </font>
    <font>
      <sz val="14"/>
      <name val="Times New Roman"/>
      <family val="1"/>
    </font>
    <font>
      <b/>
      <u/>
      <sz val="11"/>
      <name val="Times New Roman"/>
      <family val="1"/>
    </font>
    <font>
      <u/>
      <sz val="11"/>
      <name val="Times New Roman"/>
      <family val="1"/>
    </font>
    <font>
      <vertAlign val="superscript"/>
      <sz val="11"/>
      <name val="Times New Roman"/>
      <family val="1"/>
    </font>
    <font>
      <b/>
      <sz val="10"/>
      <color indexed="10"/>
      <name val="Arial"/>
      <family val="2"/>
    </font>
    <font>
      <sz val="10"/>
      <color indexed="10"/>
      <name val="Arial"/>
      <family val="2"/>
    </font>
    <font>
      <b/>
      <vertAlign val="superscript"/>
      <sz val="10"/>
      <name val="Arial"/>
      <family val="2"/>
    </font>
    <font>
      <b/>
      <sz val="11"/>
      <name val="Tahoma"/>
      <family val="2"/>
    </font>
    <font>
      <b/>
      <vertAlign val="superscript"/>
      <sz val="11"/>
      <name val="Tahoma"/>
      <family val="2"/>
    </font>
    <font>
      <b/>
      <sz val="10"/>
      <color indexed="10"/>
      <name val="Times New Roman"/>
      <family val="1"/>
    </font>
    <font>
      <b/>
      <u/>
      <sz val="10"/>
      <name val="Arial"/>
      <family val="2"/>
    </font>
    <font>
      <b/>
      <sz val="12"/>
      <color indexed="10"/>
      <name val="Arial"/>
      <family val="2"/>
    </font>
    <font>
      <sz val="8"/>
      <color indexed="10"/>
      <name val="Arial"/>
      <family val="2"/>
    </font>
    <font>
      <b/>
      <sz val="14"/>
      <color indexed="10"/>
      <name val="Arial"/>
      <family val="2"/>
    </font>
    <font>
      <b/>
      <sz val="14"/>
      <name val="Arial"/>
      <family val="2"/>
    </font>
    <font>
      <sz val="14"/>
      <name val="Arial"/>
      <family val="2"/>
    </font>
    <font>
      <b/>
      <vertAlign val="superscript"/>
      <sz val="12"/>
      <name val="Times New Roman"/>
      <family val="1"/>
    </font>
    <font>
      <vertAlign val="superscript"/>
      <sz val="12"/>
      <name val="Times New Roman"/>
      <family val="1"/>
    </font>
    <font>
      <b/>
      <u/>
      <sz val="8"/>
      <name val="Arial"/>
      <family val="2"/>
    </font>
    <font>
      <u/>
      <sz val="8"/>
      <name val="Arial"/>
      <family val="2"/>
    </font>
    <font>
      <u/>
      <sz val="12"/>
      <name val="Times New Roman"/>
      <family val="1"/>
    </font>
    <font>
      <b/>
      <sz val="12"/>
      <color indexed="9"/>
      <name val="Times New Roman"/>
      <family val="1"/>
    </font>
    <font>
      <sz val="8"/>
      <name val="Times New Roman"/>
      <family val="1"/>
    </font>
    <font>
      <b/>
      <sz val="10.5"/>
      <color indexed="10"/>
      <name val="Times New Roman"/>
      <family val="1"/>
    </font>
    <font>
      <b/>
      <vertAlign val="superscript"/>
      <sz val="16"/>
      <name val="Times New Roman"/>
      <family val="1"/>
    </font>
    <font>
      <i/>
      <sz val="11"/>
      <name val="Times New Roman"/>
      <family val="1"/>
    </font>
    <font>
      <b/>
      <sz val="12"/>
      <color indexed="10"/>
      <name val="Times New Roman"/>
      <family val="1"/>
    </font>
    <font>
      <sz val="8"/>
      <color rgb="FFFF0000"/>
      <name val="Arial"/>
      <family val="2"/>
    </font>
    <font>
      <b/>
      <sz val="8"/>
      <color theme="1"/>
      <name val="Arial"/>
      <family val="2"/>
    </font>
    <font>
      <sz val="8"/>
      <color theme="1"/>
      <name val="Arial"/>
      <family val="2"/>
    </font>
    <font>
      <b/>
      <vertAlign val="superscript"/>
      <sz val="8"/>
      <color theme="1"/>
      <name val="Arial"/>
      <family val="2"/>
    </font>
    <font>
      <sz val="10"/>
      <color theme="1"/>
      <name val="Arial"/>
      <family val="2"/>
    </font>
    <font>
      <b/>
      <sz val="8"/>
      <color rgb="FFFF0000"/>
      <name val="Arial"/>
      <family val="2"/>
    </font>
    <font>
      <sz val="10"/>
      <color rgb="FFFF0000"/>
      <name val="Arial"/>
      <family val="2"/>
    </font>
    <font>
      <b/>
      <sz val="16"/>
      <color rgb="FFFF0000"/>
      <name val="Arial"/>
      <family val="2"/>
    </font>
    <font>
      <sz val="10"/>
      <color rgb="FF000000"/>
      <name val="Arial"/>
      <family val="2"/>
    </font>
    <font>
      <sz val="12"/>
      <color rgb="FFFF0000"/>
      <name val="Times New Roman"/>
      <family val="1"/>
    </font>
    <font>
      <sz val="12"/>
      <color rgb="FFFF0000"/>
      <name val="Arial"/>
      <family val="2"/>
    </font>
    <font>
      <b/>
      <sz val="8"/>
      <name val="Calibri"/>
      <family val="2"/>
    </font>
    <font>
      <sz val="10"/>
      <color indexed="8"/>
      <name val="Arial"/>
      <family val="1"/>
      <charset val="204"/>
    </font>
    <font>
      <b/>
      <sz val="9"/>
      <name val="Arial"/>
      <family val="2"/>
    </font>
    <font>
      <i/>
      <sz val="9"/>
      <name val="Arial"/>
      <family val="2"/>
    </font>
    <font>
      <sz val="10"/>
      <color indexed="8"/>
      <name val="Arial"/>
      <family val="2"/>
    </font>
    <font>
      <b/>
      <vertAlign val="superscript"/>
      <sz val="8"/>
      <color indexed="10"/>
      <name val="Arial"/>
      <family val="2"/>
    </font>
    <font>
      <b/>
      <vertAlign val="superscript"/>
      <sz val="11.5"/>
      <name val="Arial"/>
      <family val="2"/>
    </font>
    <font>
      <b/>
      <sz val="10"/>
      <color indexed="8"/>
      <name val="Arial"/>
      <family val="1"/>
      <charset val="204"/>
    </font>
    <font>
      <b/>
      <sz val="10"/>
      <color indexed="8"/>
      <name val="Arial"/>
      <family val="2"/>
    </font>
    <font>
      <b/>
      <sz val="11"/>
      <color theme="1"/>
      <name val="Calibri"/>
      <family val="2"/>
      <scheme val="minor"/>
    </font>
    <font>
      <b/>
      <sz val="8"/>
      <color theme="1"/>
      <name val="Calibri"/>
      <family val="2"/>
      <scheme val="minor"/>
    </font>
    <font>
      <vertAlign val="superscript"/>
      <sz val="8"/>
      <color theme="1"/>
      <name val="Calibri"/>
      <family val="2"/>
      <scheme val="minor"/>
    </font>
    <font>
      <sz val="9"/>
      <color theme="1"/>
      <name val="Arial"/>
      <family val="2"/>
    </font>
    <font>
      <sz val="11"/>
      <color theme="1"/>
      <name val="Arial"/>
      <family val="2"/>
    </font>
    <font>
      <b/>
      <sz val="11"/>
      <color theme="1"/>
      <name val="Arial"/>
      <family val="2"/>
    </font>
    <font>
      <b/>
      <vertAlign val="superscript"/>
      <sz val="11"/>
      <color theme="1"/>
      <name val="Arial"/>
      <family val="2"/>
    </font>
    <font>
      <b/>
      <sz val="10"/>
      <color rgb="FFFF0000"/>
      <name val="Arial"/>
      <family val="2"/>
    </font>
    <font>
      <sz val="8"/>
      <color theme="1"/>
      <name val="Calibri"/>
      <family val="2"/>
      <scheme val="minor"/>
    </font>
    <font>
      <b/>
      <sz val="14"/>
      <color rgb="FFFF0000"/>
      <name val="Arial"/>
      <family val="2"/>
    </font>
    <font>
      <b/>
      <vertAlign val="superscript"/>
      <sz val="9"/>
      <name val="Arial"/>
      <family val="2"/>
    </font>
    <font>
      <b/>
      <sz val="9"/>
      <name val="Calibri"/>
      <family val="2"/>
    </font>
    <font>
      <sz val="8"/>
      <name val="Calibri"/>
      <family val="2"/>
    </font>
    <font>
      <b/>
      <sz val="10"/>
      <color theme="1"/>
      <name val="Arial"/>
      <family val="2"/>
    </font>
    <font>
      <b/>
      <vertAlign val="superscript"/>
      <sz val="10"/>
      <color theme="1"/>
      <name val="Arial"/>
      <family val="2"/>
    </font>
    <font>
      <b/>
      <sz val="11"/>
      <color indexed="10"/>
      <name val="Times New Roman"/>
      <family val="1"/>
    </font>
    <font>
      <vertAlign val="superscript"/>
      <sz val="8"/>
      <color rgb="FFFF0000"/>
      <name val="Arial"/>
      <family val="2"/>
    </font>
    <font>
      <b/>
      <sz val="11"/>
      <name val="Calibri"/>
      <family val="2"/>
    </font>
    <font>
      <b/>
      <vertAlign val="subscript"/>
      <sz val="8"/>
      <color theme="1"/>
      <name val="Arial"/>
      <family val="2"/>
    </font>
    <font>
      <sz val="8"/>
      <color theme="1"/>
      <name val="Arial"/>
      <family val="1"/>
      <charset val="204"/>
    </font>
    <font>
      <vertAlign val="superscript"/>
      <sz val="8"/>
      <color theme="1"/>
      <name val="Arial"/>
      <family val="1"/>
      <charset val="204"/>
    </font>
    <font>
      <vertAlign val="superscript"/>
      <sz val="8"/>
      <color theme="1"/>
      <name val="Arial"/>
      <family val="2"/>
    </font>
    <font>
      <b/>
      <sz val="8"/>
      <color rgb="FF000000"/>
      <name val="Arial"/>
      <family val="2"/>
    </font>
    <font>
      <sz val="8"/>
      <color rgb="FF000000"/>
      <name val="Arial"/>
      <family val="2"/>
    </font>
    <font>
      <b/>
      <sz val="10"/>
      <color theme="1"/>
      <name val="Calibri"/>
      <family val="2"/>
      <scheme val="minor"/>
    </font>
  </fonts>
  <fills count="15">
    <fill>
      <patternFill patternType="none"/>
    </fill>
    <fill>
      <patternFill patternType="gray125"/>
    </fill>
    <fill>
      <patternFill patternType="solid">
        <fgColor indexed="43"/>
        <bgColor indexed="64"/>
      </patternFill>
    </fill>
    <fill>
      <patternFill patternType="solid">
        <fgColor indexed="34"/>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
      <patternFill patternType="solid">
        <fgColor rgb="FF00FF00"/>
        <bgColor indexed="64"/>
      </patternFill>
    </fill>
    <fill>
      <patternFill patternType="solid">
        <fgColor rgb="FF00FFFF"/>
        <bgColor indexed="64"/>
      </patternFill>
    </fill>
  </fills>
  <borders count="225">
    <border>
      <left/>
      <right/>
      <top/>
      <bottom/>
      <diagonal/>
    </border>
    <border>
      <left style="double">
        <color indexed="64"/>
      </left>
      <right/>
      <top style="thin">
        <color indexed="64"/>
      </top>
      <bottom style="thin">
        <color indexed="64"/>
      </bottom>
      <diagonal/>
    </border>
    <border>
      <left style="double">
        <color indexed="64"/>
      </left>
      <right/>
      <top style="double">
        <color indexed="64"/>
      </top>
      <bottom/>
      <diagonal/>
    </border>
    <border>
      <left style="medium">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double">
        <color indexed="64"/>
      </right>
      <top/>
      <bottom style="medium">
        <color indexed="64"/>
      </bottom>
      <diagonal/>
    </border>
    <border>
      <left style="double">
        <color indexed="64"/>
      </left>
      <right style="medium">
        <color indexed="64"/>
      </right>
      <top style="thin">
        <color indexed="64"/>
      </top>
      <bottom style="double">
        <color indexed="64"/>
      </bottom>
      <diagonal/>
    </border>
    <border>
      <left style="double">
        <color indexed="64"/>
      </left>
      <right/>
      <top style="thin">
        <color indexed="64"/>
      </top>
      <bottom style="medium">
        <color indexed="64"/>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style="double">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medium">
        <color indexed="64"/>
      </bottom>
      <diagonal/>
    </border>
    <border>
      <left/>
      <right style="double">
        <color indexed="64"/>
      </right>
      <top style="double">
        <color indexed="64"/>
      </top>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double">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diagonal/>
    </border>
    <border>
      <left style="medium">
        <color indexed="64"/>
      </left>
      <right style="double">
        <color indexed="64"/>
      </right>
      <top style="thin">
        <color indexed="64"/>
      </top>
      <bottom style="thin">
        <color indexed="64"/>
      </bottom>
      <diagonal/>
    </border>
    <border>
      <left style="double">
        <color indexed="64"/>
      </left>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double">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style="double">
        <color indexed="64"/>
      </right>
      <top/>
      <bottom/>
      <diagonal/>
    </border>
    <border>
      <left/>
      <right style="thick">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thick">
        <color indexed="64"/>
      </right>
      <top/>
      <bottom style="thick">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medium">
        <color indexed="64"/>
      </left>
      <right style="thin">
        <color indexed="64"/>
      </right>
      <top style="thin">
        <color indexed="64"/>
      </top>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double">
        <color indexed="64"/>
      </left>
      <right style="thin">
        <color indexed="64"/>
      </right>
      <top/>
      <bottom/>
      <diagonal/>
    </border>
    <border>
      <left style="thin">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uble">
        <color indexed="64"/>
      </right>
      <top style="medium">
        <color indexed="64"/>
      </top>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medium">
        <color indexed="64"/>
      </left>
      <right style="double">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top style="medium">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style="thin">
        <color indexed="64"/>
      </top>
      <bottom/>
      <diagonal/>
    </border>
    <border>
      <left/>
      <right/>
      <top style="medium">
        <color indexed="64"/>
      </top>
      <bottom style="medium">
        <color indexed="64"/>
      </bottom>
      <diagonal/>
    </border>
    <border>
      <left style="thin">
        <color rgb="FFD0D7E5"/>
      </left>
      <right style="thin">
        <color rgb="FFD0D7E5"/>
      </right>
      <top style="thin">
        <color rgb="FFD0D7E5"/>
      </top>
      <bottom style="thin">
        <color rgb="FFD0D7E5"/>
      </bottom>
      <diagonal/>
    </border>
    <border>
      <left style="medium">
        <color indexed="64"/>
      </left>
      <right style="double">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auto="1"/>
      </left>
      <right style="thin">
        <color auto="1"/>
      </right>
      <top style="double">
        <color auto="1"/>
      </top>
      <bottom style="thick">
        <color auto="1"/>
      </bottom>
      <diagonal/>
    </border>
    <border>
      <left style="thin">
        <color auto="1"/>
      </left>
      <right style="double">
        <color auto="1"/>
      </right>
      <top style="double">
        <color auto="1"/>
      </top>
      <bottom style="thick">
        <color auto="1"/>
      </bottom>
      <diagonal/>
    </border>
    <border>
      <left style="medium">
        <color indexed="64"/>
      </left>
      <right style="thin">
        <color indexed="64"/>
      </right>
      <top style="double">
        <color indexed="64"/>
      </top>
      <bottom style="thick">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diagonal/>
    </border>
    <border>
      <left style="thin">
        <color indexed="64"/>
      </left>
      <right style="thick">
        <color indexed="64"/>
      </right>
      <top style="thin">
        <color indexed="64"/>
      </top>
      <bottom/>
      <diagonal/>
    </border>
    <border>
      <left style="medium">
        <color indexed="64"/>
      </left>
      <right/>
      <top/>
      <bottom style="double">
        <color indexed="64"/>
      </bottom>
      <diagonal/>
    </border>
    <border>
      <left style="thin">
        <color indexed="64"/>
      </left>
      <right style="thick">
        <color indexed="64"/>
      </right>
      <top/>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cellStyleXfs>
  <cellXfs count="1673">
    <xf numFmtId="0" fontId="0" fillId="0" borderId="0" xfId="0"/>
    <xf numFmtId="0" fontId="3" fillId="0" borderId="0" xfId="0" applyFont="1" applyAlignment="1">
      <alignment horizontal="center"/>
    </xf>
    <xf numFmtId="0" fontId="7" fillId="0" borderId="0" xfId="0" applyFont="1"/>
    <xf numFmtId="0" fontId="3" fillId="0" borderId="0" xfId="0" applyFont="1" applyAlignment="1">
      <alignment horizontal="left"/>
    </xf>
    <xf numFmtId="0" fontId="0" fillId="0" borderId="29"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17" fillId="0" borderId="0" xfId="0" applyFont="1" applyProtection="1">
      <protection hidden="1"/>
    </xf>
    <xf numFmtId="0" fontId="19" fillId="0" borderId="0" xfId="0" applyFont="1" applyAlignment="1" applyProtection="1">
      <alignment horizontal="centerContinuous" vertical="center"/>
      <protection hidden="1"/>
    </xf>
    <xf numFmtId="0" fontId="3" fillId="0" borderId="0" xfId="0" applyFont="1" applyAlignment="1" applyProtection="1">
      <alignment horizontal="center"/>
      <protection hidden="1"/>
    </xf>
    <xf numFmtId="0" fontId="7" fillId="0" borderId="0" xfId="0" applyFont="1" applyAlignment="1" applyProtection="1">
      <alignment horizontal="left"/>
      <protection hidden="1"/>
    </xf>
    <xf numFmtId="0" fontId="7" fillId="0" borderId="0" xfId="0" applyFont="1" applyProtection="1">
      <protection hidden="1"/>
    </xf>
    <xf numFmtId="0" fontId="22" fillId="0" borderId="0" xfId="0" applyFont="1" applyAlignment="1" applyProtection="1">
      <alignment horizontal="center"/>
      <protection hidden="1"/>
    </xf>
    <xf numFmtId="0" fontId="17" fillId="3" borderId="2" xfId="0" applyFont="1" applyFill="1" applyBorder="1" applyProtection="1">
      <protection hidden="1"/>
    </xf>
    <xf numFmtId="0" fontId="0" fillId="0" borderId="0" xfId="0" applyAlignment="1" applyProtection="1">
      <alignment wrapText="1"/>
      <protection hidden="1"/>
    </xf>
    <xf numFmtId="0" fontId="24" fillId="3" borderId="9" xfId="0" applyFont="1" applyFill="1" applyBorder="1" applyAlignment="1" applyProtection="1">
      <alignment horizontal="left" vertical="center"/>
      <protection hidden="1"/>
    </xf>
    <xf numFmtId="0" fontId="17" fillId="3" borderId="114" xfId="0" applyFont="1" applyFill="1" applyBorder="1" applyProtection="1">
      <protection hidden="1"/>
    </xf>
    <xf numFmtId="0" fontId="2" fillId="3" borderId="114" xfId="0" applyFont="1" applyFill="1" applyBorder="1" applyAlignment="1" applyProtection="1">
      <alignment wrapText="1"/>
      <protection hidden="1"/>
    </xf>
    <xf numFmtId="0" fontId="17" fillId="3" borderId="9" xfId="0" applyFont="1" applyFill="1" applyBorder="1" applyProtection="1">
      <protection hidden="1"/>
    </xf>
    <xf numFmtId="0" fontId="24" fillId="4" borderId="0" xfId="0" applyFont="1" applyFill="1" applyAlignment="1" applyProtection="1">
      <alignment horizontal="right" vertical="center"/>
      <protection hidden="1"/>
    </xf>
    <xf numFmtId="0" fontId="24" fillId="4" borderId="8" xfId="0" applyFont="1" applyFill="1" applyBorder="1" applyAlignment="1" applyProtection="1">
      <alignment horizontal="center" wrapText="1"/>
      <protection hidden="1"/>
    </xf>
    <xf numFmtId="0" fontId="17" fillId="4" borderId="10" xfId="0" applyFont="1" applyFill="1" applyBorder="1" applyProtection="1">
      <protection hidden="1"/>
    </xf>
    <xf numFmtId="2" fontId="20" fillId="4" borderId="11" xfId="0" applyNumberFormat="1" applyFont="1" applyFill="1" applyBorder="1" applyAlignment="1" applyProtection="1">
      <alignment horizontal="center" vertical="center" wrapText="1"/>
      <protection hidden="1"/>
    </xf>
    <xf numFmtId="0" fontId="2" fillId="4" borderId="11" xfId="0" applyFont="1" applyFill="1" applyBorder="1" applyAlignment="1" applyProtection="1">
      <alignment wrapText="1"/>
      <protection hidden="1"/>
    </xf>
    <xf numFmtId="0" fontId="2" fillId="4" borderId="13" xfId="0" applyFont="1" applyFill="1" applyBorder="1" applyAlignment="1" applyProtection="1">
      <alignment wrapText="1"/>
      <protection hidden="1"/>
    </xf>
    <xf numFmtId="0" fontId="17" fillId="0" borderId="9" xfId="0" applyFont="1" applyBorder="1" applyProtection="1">
      <protection hidden="1"/>
    </xf>
    <xf numFmtId="0" fontId="17" fillId="3" borderId="10" xfId="0" applyFont="1" applyFill="1" applyBorder="1" applyProtection="1">
      <protection hidden="1"/>
    </xf>
    <xf numFmtId="0" fontId="24" fillId="3" borderId="11" xfId="0" applyFont="1" applyFill="1" applyBorder="1" applyAlignment="1" applyProtection="1">
      <alignment horizontal="right" vertical="center" wrapText="1"/>
      <protection hidden="1"/>
    </xf>
    <xf numFmtId="0" fontId="25" fillId="4" borderId="0" xfId="0" applyFont="1" applyFill="1" applyAlignment="1" applyProtection="1">
      <alignment horizontal="center" vertical="top" wrapText="1"/>
      <protection hidden="1"/>
    </xf>
    <xf numFmtId="0" fontId="17" fillId="4" borderId="0" xfId="0" applyFont="1" applyFill="1" applyProtection="1">
      <protection hidden="1"/>
    </xf>
    <xf numFmtId="0" fontId="0" fillId="4" borderId="0" xfId="0" applyFill="1" applyAlignment="1" applyProtection="1">
      <alignment vertical="top" wrapText="1"/>
      <protection hidden="1"/>
    </xf>
    <xf numFmtId="0" fontId="26" fillId="4" borderId="0" xfId="0" applyFont="1" applyFill="1" applyAlignment="1" applyProtection="1">
      <alignment horizontal="right" vertical="top" wrapText="1"/>
      <protection hidden="1"/>
    </xf>
    <xf numFmtId="0" fontId="0" fillId="3" borderId="11" xfId="0" applyFill="1" applyBorder="1" applyAlignment="1" applyProtection="1">
      <alignment vertical="top" wrapText="1"/>
      <protection hidden="1"/>
    </xf>
    <xf numFmtId="165" fontId="30" fillId="2" borderId="115" xfId="0" applyNumberFormat="1" applyFont="1" applyFill="1" applyBorder="1" applyAlignment="1" applyProtection="1">
      <alignment horizontal="left" wrapText="1"/>
      <protection hidden="1"/>
    </xf>
    <xf numFmtId="0" fontId="13" fillId="0" borderId="0" xfId="0" applyFont="1" applyProtection="1">
      <protection hidden="1"/>
    </xf>
    <xf numFmtId="0" fontId="13" fillId="0" borderId="0" xfId="0" applyFont="1" applyAlignment="1" applyProtection="1">
      <alignment horizontal="left"/>
      <protection hidden="1"/>
    </xf>
    <xf numFmtId="0" fontId="13" fillId="0" borderId="0" xfId="0" applyFont="1" applyAlignment="1" applyProtection="1">
      <alignment horizontal="left" wrapText="1"/>
      <protection hidden="1"/>
    </xf>
    <xf numFmtId="0" fontId="14" fillId="0" borderId="0" xfId="0" applyFont="1" applyAlignment="1" applyProtection="1">
      <alignment horizontal="left"/>
      <protection hidden="1"/>
    </xf>
    <xf numFmtId="0" fontId="17" fillId="5" borderId="9" xfId="0" applyFont="1" applyFill="1" applyBorder="1" applyProtection="1">
      <protection hidden="1"/>
    </xf>
    <xf numFmtId="0" fontId="17" fillId="5" borderId="0" xfId="0" applyFont="1" applyFill="1" applyProtection="1">
      <protection hidden="1"/>
    </xf>
    <xf numFmtId="0" fontId="24" fillId="5" borderId="0" xfId="0" applyFont="1" applyFill="1" applyProtection="1">
      <protection hidden="1"/>
    </xf>
    <xf numFmtId="0" fontId="24" fillId="5" borderId="0" xfId="0" applyFont="1" applyFill="1" applyAlignment="1" applyProtection="1">
      <alignment horizontal="center"/>
      <protection hidden="1"/>
    </xf>
    <xf numFmtId="0" fontId="17" fillId="5" borderId="12" xfId="0" applyFont="1" applyFill="1" applyBorder="1" applyProtection="1">
      <protection hidden="1"/>
    </xf>
    <xf numFmtId="0" fontId="31" fillId="5" borderId="0" xfId="0" applyFont="1" applyFill="1" applyAlignment="1" applyProtection="1">
      <alignment horizontal="right" vertical="top"/>
      <protection hidden="1"/>
    </xf>
    <xf numFmtId="165" fontId="30" fillId="5" borderId="117" xfId="0" applyNumberFormat="1" applyFont="1" applyFill="1" applyBorder="1" applyAlignment="1" applyProtection="1">
      <alignment horizontal="center"/>
      <protection hidden="1"/>
    </xf>
    <xf numFmtId="0" fontId="30" fillId="5" borderId="0" xfId="0" applyFont="1" applyFill="1" applyAlignment="1" applyProtection="1">
      <alignment horizontal="center" wrapText="1"/>
      <protection hidden="1"/>
    </xf>
    <xf numFmtId="0" fontId="24" fillId="5" borderId="0" xfId="0" applyFont="1" applyFill="1" applyAlignment="1" applyProtection="1">
      <alignment horizontal="center" vertical="center"/>
      <protection hidden="1"/>
    </xf>
    <xf numFmtId="0" fontId="30" fillId="5" borderId="0" xfId="0" applyFont="1" applyFill="1" applyAlignment="1" applyProtection="1">
      <alignment horizontal="center" vertical="center" wrapText="1"/>
      <protection hidden="1"/>
    </xf>
    <xf numFmtId="0" fontId="17" fillId="5" borderId="10" xfId="0" applyFont="1" applyFill="1" applyBorder="1" applyProtection="1">
      <protection hidden="1"/>
    </xf>
    <xf numFmtId="0" fontId="17" fillId="5" borderId="11" xfId="0" applyFont="1" applyFill="1" applyBorder="1" applyProtection="1">
      <protection hidden="1"/>
    </xf>
    <xf numFmtId="0" fontId="17" fillId="5" borderId="11" xfId="0" applyFont="1" applyFill="1" applyBorder="1" applyAlignment="1" applyProtection="1">
      <alignment horizontal="center"/>
      <protection hidden="1"/>
    </xf>
    <xf numFmtId="0" fontId="17" fillId="5" borderId="13" xfId="0" applyFont="1" applyFill="1" applyBorder="1" applyProtection="1">
      <protection hidden="1"/>
    </xf>
    <xf numFmtId="0" fontId="17" fillId="0" borderId="0" xfId="0" applyFont="1" applyAlignment="1" applyProtection="1">
      <alignment horizontal="center"/>
      <protection hidden="1"/>
    </xf>
    <xf numFmtId="0" fontId="19" fillId="0" borderId="0" xfId="0" applyFont="1" applyProtection="1">
      <protection hidden="1"/>
    </xf>
    <xf numFmtId="0" fontId="4" fillId="0" borderId="0" xfId="0" applyFont="1" applyAlignment="1" applyProtection="1">
      <alignment horizontal="left"/>
      <protection hidden="1"/>
    </xf>
    <xf numFmtId="49" fontId="3" fillId="0" borderId="0" xfId="0" applyNumberFormat="1" applyFont="1" applyProtection="1">
      <protection hidden="1"/>
    </xf>
    <xf numFmtId="0" fontId="17" fillId="0" borderId="0" xfId="0" applyFont="1" applyAlignment="1" applyProtection="1">
      <alignment horizontal="centerContinuous"/>
      <protection hidden="1"/>
    </xf>
    <xf numFmtId="0" fontId="0" fillId="0" borderId="0" xfId="0" applyProtection="1">
      <protection hidden="1"/>
    </xf>
    <xf numFmtId="49" fontId="4" fillId="0" borderId="0" xfId="0" applyNumberFormat="1" applyFont="1" applyProtection="1">
      <protection hidden="1"/>
    </xf>
    <xf numFmtId="0" fontId="3" fillId="0" borderId="0" xfId="0" applyFont="1" applyAlignment="1" applyProtection="1">
      <alignment horizontal="left"/>
      <protection hidden="1"/>
    </xf>
    <xf numFmtId="49" fontId="3" fillId="0" borderId="0" xfId="0" applyNumberFormat="1" applyFont="1" applyAlignment="1" applyProtection="1">
      <alignment horizontal="left"/>
      <protection hidden="1"/>
    </xf>
    <xf numFmtId="49" fontId="4" fillId="0" borderId="0" xfId="0" applyNumberFormat="1" applyFont="1" applyAlignment="1" applyProtection="1">
      <alignment horizontal="left"/>
      <protection hidden="1"/>
    </xf>
    <xf numFmtId="0" fontId="3" fillId="0" borderId="0" xfId="0" applyFont="1" applyProtection="1">
      <protection hidden="1"/>
    </xf>
    <xf numFmtId="0" fontId="0" fillId="0" borderId="73" xfId="0" applyBorder="1" applyAlignment="1" applyProtection="1">
      <alignment horizontal="center"/>
      <protection hidden="1"/>
    </xf>
    <xf numFmtId="0" fontId="0" fillId="0" borderId="119" xfId="0" applyBorder="1" applyAlignment="1" applyProtection="1">
      <alignment horizontal="center"/>
      <protection hidden="1"/>
    </xf>
    <xf numFmtId="0" fontId="19" fillId="0" borderId="0" xfId="0" applyFont="1" applyAlignment="1">
      <alignment horizontal="centerContinuous"/>
    </xf>
    <xf numFmtId="0" fontId="0" fillId="0" borderId="0" xfId="0" applyAlignment="1">
      <alignment horizontal="centerContinuous"/>
    </xf>
    <xf numFmtId="0" fontId="20" fillId="0" borderId="0" xfId="0" applyFont="1" applyAlignment="1" applyProtection="1">
      <alignment horizontal="centerContinuous" vertical="center"/>
      <protection hidden="1"/>
    </xf>
    <xf numFmtId="0" fontId="22" fillId="0" borderId="0" xfId="0" applyFont="1" applyAlignment="1" applyProtection="1">
      <alignment horizontal="centerContinuous"/>
      <protection hidden="1"/>
    </xf>
    <xf numFmtId="0" fontId="0" fillId="0" borderId="0" xfId="0" applyAlignment="1" applyProtection="1">
      <alignment horizontal="centerContinuous"/>
      <protection hidden="1"/>
    </xf>
    <xf numFmtId="0" fontId="0" fillId="0" borderId="0" xfId="0" applyAlignment="1" applyProtection="1">
      <alignment horizontal="center"/>
      <protection hidden="1"/>
    </xf>
    <xf numFmtId="0" fontId="13" fillId="0" borderId="120" xfId="0" applyFont="1" applyBorder="1" applyProtection="1">
      <protection hidden="1"/>
    </xf>
    <xf numFmtId="0" fontId="13" fillId="0" borderId="122" xfId="0" applyFont="1" applyBorder="1" applyAlignment="1" applyProtection="1">
      <alignment horizontal="center" wrapText="1"/>
      <protection hidden="1"/>
    </xf>
    <xf numFmtId="0" fontId="0" fillId="0" borderId="67" xfId="0" applyBorder="1" applyProtection="1">
      <protection hidden="1"/>
    </xf>
    <xf numFmtId="0" fontId="0" fillId="0" borderId="123" xfId="0" applyBorder="1" applyProtection="1">
      <protection hidden="1"/>
    </xf>
    <xf numFmtId="0" fontId="0" fillId="0" borderId="77" xfId="0" applyBorder="1" applyAlignment="1" applyProtection="1">
      <alignment horizontal="center"/>
      <protection hidden="1"/>
    </xf>
    <xf numFmtId="0" fontId="44" fillId="0" borderId="0" xfId="0" applyFont="1" applyAlignment="1" applyProtection="1">
      <alignment wrapText="1"/>
      <protection hidden="1"/>
    </xf>
    <xf numFmtId="0" fontId="24" fillId="6" borderId="124" xfId="0" applyFont="1" applyFill="1" applyBorder="1" applyAlignment="1" applyProtection="1">
      <alignment horizontal="center" vertical="center" wrapText="1"/>
      <protection locked="0" hidden="1"/>
    </xf>
    <xf numFmtId="0" fontId="24" fillId="4" borderId="9" xfId="0" applyFont="1" applyFill="1" applyBorder="1" applyAlignment="1" applyProtection="1">
      <alignment horizontal="right" vertical="center" wrapText="1"/>
      <protection hidden="1"/>
    </xf>
    <xf numFmtId="0" fontId="37" fillId="0" borderId="0" xfId="0" applyFont="1" applyAlignment="1">
      <alignment horizontal="left"/>
    </xf>
    <xf numFmtId="0" fontId="21" fillId="0" borderId="0" xfId="0" applyFont="1" applyAlignment="1" applyProtection="1">
      <alignment horizontal="centerContinuous" wrapText="1"/>
      <protection hidden="1"/>
    </xf>
    <xf numFmtId="0" fontId="17" fillId="0" borderId="10" xfId="0" applyFont="1" applyBorder="1" applyProtection="1">
      <protection hidden="1"/>
    </xf>
    <xf numFmtId="0" fontId="24" fillId="0" borderId="0" xfId="0" applyFont="1" applyProtection="1">
      <protection hidden="1"/>
    </xf>
    <xf numFmtId="0" fontId="17" fillId="0" borderId="2" xfId="0" applyFont="1" applyBorder="1" applyProtection="1">
      <protection hidden="1"/>
    </xf>
    <xf numFmtId="0" fontId="17" fillId="0" borderId="8" xfId="0" applyFont="1" applyBorder="1" applyProtection="1">
      <protection hidden="1"/>
    </xf>
    <xf numFmtId="0" fontId="24" fillId="0" borderId="8" xfId="0" applyFont="1" applyBorder="1" applyAlignment="1" applyProtection="1">
      <alignment horizontal="right" vertical="center" wrapText="1"/>
      <protection hidden="1"/>
    </xf>
    <xf numFmtId="0" fontId="24" fillId="0" borderId="8" xfId="0" applyFont="1" applyBorder="1" applyAlignment="1" applyProtection="1">
      <alignment horizontal="center" vertical="center"/>
      <protection hidden="1"/>
    </xf>
    <xf numFmtId="0" fontId="27" fillId="0" borderId="8" xfId="0" applyFont="1" applyBorder="1" applyAlignment="1" applyProtection="1">
      <alignment vertical="top" wrapText="1"/>
      <protection hidden="1"/>
    </xf>
    <xf numFmtId="0" fontId="17" fillId="0" borderId="29" xfId="0" applyFont="1" applyBorder="1" applyProtection="1">
      <protection hidden="1"/>
    </xf>
    <xf numFmtId="0" fontId="24" fillId="0" borderId="0" xfId="0" applyFont="1" applyAlignment="1" applyProtection="1">
      <alignment horizontal="center" vertical="center"/>
      <protection hidden="1"/>
    </xf>
    <xf numFmtId="0" fontId="31" fillId="0" borderId="0" xfId="0" applyFont="1" applyAlignment="1" applyProtection="1">
      <alignment horizontal="left" vertical="center"/>
      <protection hidden="1"/>
    </xf>
    <xf numFmtId="0" fontId="21" fillId="0" borderId="0" xfId="0" applyFont="1" applyAlignment="1" applyProtection="1">
      <alignment horizontal="center" wrapText="1"/>
      <protection hidden="1"/>
    </xf>
    <xf numFmtId="0" fontId="31" fillId="0" borderId="0" xfId="0" applyFont="1" applyAlignment="1" applyProtection="1">
      <alignment horizontal="right" vertical="top"/>
      <protection hidden="1"/>
    </xf>
    <xf numFmtId="0" fontId="17" fillId="0" borderId="12" xfId="0" applyFont="1" applyBorder="1" applyProtection="1">
      <protection hidden="1"/>
    </xf>
    <xf numFmtId="165" fontId="30" fillId="0" borderId="0" xfId="0" applyNumberFormat="1" applyFont="1" applyAlignment="1" applyProtection="1">
      <alignment horizontal="center"/>
      <protection hidden="1"/>
    </xf>
    <xf numFmtId="0" fontId="24" fillId="0" borderId="0" xfId="0" applyFont="1" applyAlignment="1" applyProtection="1">
      <alignment horizontal="center" vertical="center" wrapText="1"/>
      <protection hidden="1"/>
    </xf>
    <xf numFmtId="0" fontId="31" fillId="0" borderId="0" xfId="0" applyFont="1" applyAlignment="1" applyProtection="1">
      <alignment horizontal="right"/>
      <protection hidden="1"/>
    </xf>
    <xf numFmtId="0" fontId="30" fillId="0" borderId="0" xfId="0" applyFont="1" applyAlignment="1" applyProtection="1">
      <alignment horizontal="center" wrapText="1"/>
      <protection hidden="1"/>
    </xf>
    <xf numFmtId="0" fontId="30" fillId="0" borderId="0" xfId="0" applyFont="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32" fillId="7" borderId="125" xfId="0" applyFont="1" applyFill="1" applyBorder="1" applyAlignment="1" applyProtection="1">
      <alignment horizontal="center" wrapText="1"/>
      <protection hidden="1"/>
    </xf>
    <xf numFmtId="165" fontId="30" fillId="7" borderId="126" xfId="0" applyNumberFormat="1" applyFont="1" applyFill="1" applyBorder="1" applyAlignment="1" applyProtection="1">
      <alignment horizontal="center"/>
      <protection hidden="1"/>
    </xf>
    <xf numFmtId="0" fontId="17" fillId="2" borderId="9" xfId="0" applyFont="1" applyFill="1" applyBorder="1" applyProtection="1">
      <protection hidden="1"/>
    </xf>
    <xf numFmtId="0" fontId="17" fillId="2" borderId="0" xfId="0" applyFont="1" applyFill="1" applyProtection="1">
      <protection hidden="1"/>
    </xf>
    <xf numFmtId="0" fontId="24" fillId="2" borderId="0" xfId="0" applyFont="1" applyFill="1" applyProtection="1">
      <protection hidden="1"/>
    </xf>
    <xf numFmtId="0" fontId="24" fillId="2" borderId="0" xfId="0" applyFont="1" applyFill="1" applyAlignment="1" applyProtection="1">
      <alignment horizontal="center"/>
      <protection hidden="1"/>
    </xf>
    <xf numFmtId="0" fontId="17" fillId="2" borderId="12" xfId="0" applyFont="1" applyFill="1" applyBorder="1" applyProtection="1">
      <protection hidden="1"/>
    </xf>
    <xf numFmtId="0" fontId="19" fillId="0" borderId="0" xfId="0" applyFont="1" applyAlignment="1" applyProtection="1">
      <alignment horizontal="centerContinuous"/>
      <protection hidden="1"/>
    </xf>
    <xf numFmtId="0" fontId="30" fillId="2" borderId="116" xfId="0" applyFont="1" applyFill="1" applyBorder="1" applyAlignment="1" applyProtection="1">
      <alignment horizontal="center" wrapText="1"/>
      <protection hidden="1"/>
    </xf>
    <xf numFmtId="165" fontId="30" fillId="2" borderId="117" xfId="0" applyNumberFormat="1" applyFont="1" applyFill="1" applyBorder="1" applyAlignment="1" applyProtection="1">
      <alignment horizontal="center"/>
      <protection hidden="1"/>
    </xf>
    <xf numFmtId="0" fontId="29" fillId="0" borderId="0" xfId="0" applyFont="1" applyAlignment="1" applyProtection="1">
      <alignment horizontal="center" wrapText="1"/>
      <protection hidden="1"/>
    </xf>
    <xf numFmtId="0" fontId="31" fillId="0" borderId="0" xfId="0" applyFont="1" applyAlignment="1" applyProtection="1">
      <alignment horizontal="center" vertical="top"/>
      <protection hidden="1"/>
    </xf>
    <xf numFmtId="0" fontId="0" fillId="4" borderId="127" xfId="0" applyFill="1" applyBorder="1"/>
    <xf numFmtId="0" fontId="22" fillId="0" borderId="0" xfId="0" applyFont="1" applyAlignment="1" applyProtection="1">
      <alignment horizontal="centerContinuous" wrapText="1"/>
      <protection hidden="1"/>
    </xf>
    <xf numFmtId="0" fontId="13" fillId="0" borderId="2" xfId="0" applyFont="1" applyBorder="1" applyAlignment="1" applyProtection="1">
      <alignment horizontal="right"/>
      <protection hidden="1"/>
    </xf>
    <xf numFmtId="0" fontId="13" fillId="0" borderId="9" xfId="0" applyFont="1" applyBorder="1" applyAlignment="1" applyProtection="1">
      <alignment horizontal="right"/>
      <protection hidden="1"/>
    </xf>
    <xf numFmtId="0" fontId="13" fillId="0" borderId="10" xfId="0" applyFont="1" applyBorder="1" applyAlignment="1" applyProtection="1">
      <alignment horizontal="right"/>
      <protection hidden="1"/>
    </xf>
    <xf numFmtId="165" fontId="13" fillId="0" borderId="13" xfId="0" applyNumberFormat="1" applyFont="1" applyBorder="1" applyAlignment="1" applyProtection="1">
      <alignment horizontal="center" wrapText="1"/>
      <protection hidden="1"/>
    </xf>
    <xf numFmtId="0" fontId="20" fillId="0" borderId="0" xfId="0" applyFont="1" applyAlignment="1" applyProtection="1">
      <alignment horizontal="center"/>
      <protection hidden="1"/>
    </xf>
    <xf numFmtId="0" fontId="33" fillId="0" borderId="0" xfId="0" applyFont="1" applyAlignment="1">
      <alignment wrapText="1"/>
    </xf>
    <xf numFmtId="0" fontId="17" fillId="4" borderId="0" xfId="0" applyFont="1" applyFill="1" applyAlignment="1" applyProtection="1">
      <alignment horizontal="right" vertical="top" wrapText="1"/>
      <protection hidden="1"/>
    </xf>
    <xf numFmtId="0" fontId="0" fillId="4" borderId="12" xfId="0" applyFill="1" applyBorder="1" applyAlignment="1" applyProtection="1">
      <alignment vertical="top" wrapText="1"/>
      <protection hidden="1"/>
    </xf>
    <xf numFmtId="0" fontId="0" fillId="3" borderId="12" xfId="0" applyFill="1" applyBorder="1" applyAlignment="1" applyProtection="1">
      <alignment vertical="top" wrapText="1"/>
      <protection hidden="1"/>
    </xf>
    <xf numFmtId="0" fontId="0" fillId="3" borderId="13" xfId="0" applyFill="1" applyBorder="1" applyAlignment="1" applyProtection="1">
      <alignment vertical="top" wrapText="1"/>
      <protection hidden="1"/>
    </xf>
    <xf numFmtId="0" fontId="21" fillId="0" borderId="9" xfId="0" applyFont="1" applyBorder="1" applyAlignment="1">
      <alignment horizontal="center"/>
    </xf>
    <xf numFmtId="165" fontId="31" fillId="0" borderId="9" xfId="0" applyNumberFormat="1" applyFont="1" applyBorder="1" applyAlignment="1">
      <alignment horizontal="left"/>
    </xf>
    <xf numFmtId="0" fontId="31" fillId="0" borderId="9" xfId="0" applyFont="1" applyBorder="1" applyAlignment="1" applyProtection="1">
      <alignment horizontal="left"/>
      <protection hidden="1"/>
    </xf>
    <xf numFmtId="0" fontId="17" fillId="0" borderId="0" xfId="0" applyFont="1"/>
    <xf numFmtId="0" fontId="24" fillId="2" borderId="0" xfId="0" applyFont="1" applyFill="1" applyAlignment="1" applyProtection="1">
      <alignment horizontal="right"/>
      <protection hidden="1"/>
    </xf>
    <xf numFmtId="0" fontId="24" fillId="2" borderId="0" xfId="0" applyFont="1" applyFill="1" applyAlignment="1" applyProtection="1">
      <alignment horizontal="left"/>
      <protection hidden="1"/>
    </xf>
    <xf numFmtId="0" fontId="24" fillId="2" borderId="0" xfId="0" applyFont="1" applyFill="1" applyAlignment="1" applyProtection="1">
      <alignment horizontal="left" vertical="center"/>
      <protection hidden="1"/>
    </xf>
    <xf numFmtId="0" fontId="24" fillId="6" borderId="124" xfId="0" applyFont="1" applyFill="1" applyBorder="1" applyAlignment="1" applyProtection="1">
      <alignment horizontal="center" vertical="top" wrapText="1"/>
      <protection locked="0" hidden="1"/>
    </xf>
    <xf numFmtId="0" fontId="24" fillId="4" borderId="0" xfId="0" applyFont="1" applyFill="1" applyAlignment="1" applyProtection="1">
      <alignment vertical="top" wrapText="1"/>
      <protection hidden="1"/>
    </xf>
    <xf numFmtId="165" fontId="31" fillId="0" borderId="9" xfId="0" applyNumberFormat="1" applyFont="1" applyBorder="1" applyAlignment="1">
      <alignment horizontal="left" vertical="center"/>
    </xf>
    <xf numFmtId="0" fontId="50" fillId="0" borderId="0" xfId="0" applyFont="1" applyAlignment="1" applyProtection="1">
      <alignment horizontal="left"/>
      <protection hidden="1"/>
    </xf>
    <xf numFmtId="0" fontId="13" fillId="0" borderId="0" xfId="0" applyFont="1" applyAlignment="1">
      <alignment horizontal="left"/>
    </xf>
    <xf numFmtId="0" fontId="13" fillId="0" borderId="2" xfId="0" applyFont="1" applyBorder="1" applyAlignment="1" applyProtection="1">
      <alignment horizontal="left"/>
      <protection hidden="1"/>
    </xf>
    <xf numFmtId="0" fontId="13" fillId="0" borderId="9" xfId="0" applyFont="1" applyBorder="1" applyAlignment="1" applyProtection="1">
      <alignment horizontal="left"/>
      <protection hidden="1"/>
    </xf>
    <xf numFmtId="165" fontId="13" fillId="0" borderId="12" xfId="0" applyNumberFormat="1" applyFont="1" applyBorder="1" applyAlignment="1" applyProtection="1">
      <alignment horizontal="center" wrapText="1"/>
      <protection hidden="1"/>
    </xf>
    <xf numFmtId="0" fontId="19" fillId="0" borderId="121" xfId="0" applyFont="1" applyBorder="1" applyAlignment="1" applyProtection="1">
      <alignment horizontal="right"/>
      <protection hidden="1"/>
    </xf>
    <xf numFmtId="165" fontId="13" fillId="0" borderId="29" xfId="0" applyNumberFormat="1" applyFont="1" applyBorder="1" applyAlignment="1" applyProtection="1">
      <alignment horizontal="center" wrapText="1"/>
      <protection hidden="1"/>
    </xf>
    <xf numFmtId="0" fontId="30" fillId="0" borderId="0" xfId="0" applyFont="1" applyAlignment="1" applyProtection="1">
      <alignment horizontal="right" vertical="center"/>
      <protection hidden="1"/>
    </xf>
    <xf numFmtId="0" fontId="0" fillId="0" borderId="0" xfId="0" applyAlignment="1">
      <alignment vertical="center"/>
    </xf>
    <xf numFmtId="0" fontId="24" fillId="0" borderId="9" xfId="0" applyFont="1" applyBorder="1" applyProtection="1">
      <protection hidden="1"/>
    </xf>
    <xf numFmtId="0" fontId="24" fillId="0" borderId="10" xfId="0" applyFont="1" applyBorder="1" applyProtection="1">
      <protection hidden="1"/>
    </xf>
    <xf numFmtId="0" fontId="24" fillId="0" borderId="11" xfId="0" applyFont="1" applyBorder="1" applyProtection="1">
      <protection hidden="1"/>
    </xf>
    <xf numFmtId="0" fontId="30" fillId="0" borderId="11" xfId="0" applyFont="1" applyBorder="1" applyAlignment="1" applyProtection="1">
      <alignment horizontal="right" vertical="center"/>
      <protection hidden="1"/>
    </xf>
    <xf numFmtId="0" fontId="41" fillId="0" borderId="11" xfId="0" applyFont="1" applyBorder="1" applyAlignment="1" applyProtection="1">
      <alignment horizontal="left"/>
      <protection hidden="1"/>
    </xf>
    <xf numFmtId="0" fontId="30" fillId="0" borderId="11" xfId="0" applyFont="1" applyBorder="1" applyAlignment="1" applyProtection="1">
      <alignment horizontal="left"/>
      <protection hidden="1"/>
    </xf>
    <xf numFmtId="0" fontId="24" fillId="0" borderId="2" xfId="0" applyFont="1" applyBorder="1" applyProtection="1">
      <protection hidden="1"/>
    </xf>
    <xf numFmtId="0" fontId="24" fillId="0" borderId="8" xfId="0" applyFont="1" applyBorder="1" applyProtection="1">
      <protection hidden="1"/>
    </xf>
    <xf numFmtId="0" fontId="30" fillId="0" borderId="8" xfId="0" applyFont="1" applyBorder="1" applyAlignment="1" applyProtection="1">
      <alignment horizontal="right" vertical="center"/>
      <protection hidden="1"/>
    </xf>
    <xf numFmtId="0" fontId="24" fillId="0" borderId="11" xfId="0" applyFont="1" applyBorder="1" applyAlignment="1" applyProtection="1">
      <alignment horizontal="center"/>
      <protection hidden="1"/>
    </xf>
    <xf numFmtId="0" fontId="24" fillId="0" borderId="11" xfId="0" applyFont="1" applyBorder="1" applyAlignment="1" applyProtection="1">
      <alignment vertical="center"/>
      <protection hidden="1"/>
    </xf>
    <xf numFmtId="0" fontId="30" fillId="0" borderId="11" xfId="0" applyFont="1" applyBorder="1" applyProtection="1">
      <protection hidden="1"/>
    </xf>
    <xf numFmtId="0" fontId="13" fillId="0" borderId="156" xfId="0" applyFont="1" applyBorder="1" applyAlignment="1">
      <alignment vertical="center"/>
    </xf>
    <xf numFmtId="0" fontId="0" fillId="0" borderId="157" xfId="0" applyBorder="1"/>
    <xf numFmtId="0" fontId="42" fillId="4" borderId="0" xfId="0" applyFont="1" applyFill="1" applyAlignment="1" applyProtection="1">
      <alignment horizontal="right" vertical="center"/>
      <protection hidden="1"/>
    </xf>
    <xf numFmtId="0" fontId="56" fillId="4" borderId="0" xfId="0" applyFont="1" applyFill="1" applyAlignment="1" applyProtection="1">
      <alignment horizontal="right" vertical="center"/>
      <protection hidden="1"/>
    </xf>
    <xf numFmtId="0" fontId="7" fillId="0" borderId="0" xfId="0" applyFont="1" applyAlignment="1">
      <alignment horizontal="center" wrapText="1"/>
    </xf>
    <xf numFmtId="0" fontId="13" fillId="0" borderId="2" xfId="0" applyFont="1" applyBorder="1" applyAlignment="1">
      <alignment horizontal="right"/>
    </xf>
    <xf numFmtId="0" fontId="13" fillId="0" borderId="2" xfId="0" applyFont="1" applyBorder="1" applyAlignment="1">
      <alignment horizontal="right" wrapText="1"/>
    </xf>
    <xf numFmtId="0" fontId="13" fillId="0" borderId="8" xfId="0" applyFont="1" applyBorder="1" applyAlignment="1">
      <alignment horizontal="center"/>
    </xf>
    <xf numFmtId="0" fontId="13" fillId="0" borderId="8" xfId="0" applyFont="1" applyBorder="1" applyAlignment="1">
      <alignment horizontal="center" wrapText="1"/>
    </xf>
    <xf numFmtId="0" fontId="13" fillId="0" borderId="9" xfId="0" applyFont="1" applyBorder="1" applyAlignment="1">
      <alignment horizontal="right"/>
    </xf>
    <xf numFmtId="0" fontId="13" fillId="0" borderId="29" xfId="0" applyFont="1" applyBorder="1" applyAlignment="1">
      <alignment horizontal="center" wrapText="1"/>
    </xf>
    <xf numFmtId="0" fontId="56" fillId="4" borderId="0" xfId="0" applyFont="1" applyFill="1" applyAlignment="1" applyProtection="1">
      <alignment horizontal="right" vertical="center" wrapText="1"/>
      <protection hidden="1"/>
    </xf>
    <xf numFmtId="0" fontId="14" fillId="0" borderId="0" xfId="0" applyFont="1" applyAlignment="1">
      <alignment horizontal="left"/>
    </xf>
    <xf numFmtId="0" fontId="13" fillId="0" borderId="2" xfId="0" applyFont="1" applyBorder="1" applyAlignment="1" applyProtection="1">
      <alignment horizontal="center" wrapText="1"/>
      <protection hidden="1"/>
    </xf>
    <xf numFmtId="0" fontId="13" fillId="0" borderId="2" xfId="0" applyFont="1" applyBorder="1" applyAlignment="1" applyProtection="1">
      <alignment horizontal="centerContinuous" wrapText="1"/>
      <protection hidden="1"/>
    </xf>
    <xf numFmtId="0" fontId="0" fillId="0" borderId="8" xfId="0" applyBorder="1" applyAlignment="1" applyProtection="1">
      <alignment horizontal="centerContinuous" wrapText="1"/>
      <protection hidden="1"/>
    </xf>
    <xf numFmtId="165" fontId="13" fillId="0" borderId="11" xfId="0" applyNumberFormat="1" applyFont="1" applyBorder="1" applyAlignment="1" applyProtection="1">
      <alignment horizontal="center" wrapText="1"/>
      <protection hidden="1"/>
    </xf>
    <xf numFmtId="165" fontId="13" fillId="0" borderId="0" xfId="0" applyNumberFormat="1" applyFont="1" applyAlignment="1" applyProtection="1">
      <alignment horizontal="center" wrapText="1"/>
      <protection hidden="1"/>
    </xf>
    <xf numFmtId="0" fontId="0" fillId="0" borderId="8" xfId="0" applyBorder="1" applyAlignment="1" applyProtection="1">
      <alignment horizontal="center" wrapText="1"/>
      <protection hidden="1"/>
    </xf>
    <xf numFmtId="0" fontId="13" fillId="0" borderId="10" xfId="0" applyFont="1" applyBorder="1" applyAlignment="1">
      <alignment horizontal="right"/>
    </xf>
    <xf numFmtId="165" fontId="13" fillId="0" borderId="11" xfId="0" applyNumberFormat="1" applyFont="1" applyBorder="1" applyAlignment="1">
      <alignment horizontal="center" wrapText="1"/>
    </xf>
    <xf numFmtId="0" fontId="13" fillId="0" borderId="174" xfId="0" applyFont="1" applyBorder="1" applyAlignment="1" applyProtection="1">
      <alignment horizontal="left"/>
      <protection hidden="1"/>
    </xf>
    <xf numFmtId="0" fontId="13" fillId="0" borderId="68" xfId="0" applyFont="1" applyBorder="1" applyAlignment="1" applyProtection="1">
      <alignment horizontal="right"/>
      <protection hidden="1"/>
    </xf>
    <xf numFmtId="0" fontId="13" fillId="0" borderId="75" xfId="0" applyFont="1" applyBorder="1" applyAlignment="1" applyProtection="1">
      <alignment horizontal="left"/>
      <protection hidden="1"/>
    </xf>
    <xf numFmtId="165" fontId="13" fillId="0" borderId="29" xfId="0" applyNumberFormat="1" applyFont="1" applyBorder="1" applyAlignment="1">
      <alignment horizontal="center" wrapText="1"/>
    </xf>
    <xf numFmtId="0" fontId="30" fillId="5" borderId="9" xfId="0" applyFont="1" applyFill="1" applyBorder="1" applyAlignment="1" applyProtection="1">
      <alignment horizontal="center" vertical="center" wrapText="1"/>
      <protection hidden="1"/>
    </xf>
    <xf numFmtId="165" fontId="30" fillId="5" borderId="9" xfId="0" applyNumberFormat="1" applyFont="1" applyFill="1" applyBorder="1" applyAlignment="1" applyProtection="1">
      <alignment horizontal="center"/>
      <protection hidden="1"/>
    </xf>
    <xf numFmtId="0" fontId="3" fillId="0" borderId="0" xfId="0" applyFont="1" applyAlignment="1" applyProtection="1">
      <alignment horizontal="right"/>
      <protection hidden="1"/>
    </xf>
    <xf numFmtId="0" fontId="24" fillId="0" borderId="0" xfId="0" applyFont="1" applyAlignment="1" applyProtection="1">
      <alignment horizontal="center"/>
      <protection hidden="1"/>
    </xf>
    <xf numFmtId="0" fontId="0" fillId="0" borderId="176" xfId="0" applyBorder="1"/>
    <xf numFmtId="0" fontId="0" fillId="0" borderId="127" xfId="0" applyBorder="1"/>
    <xf numFmtId="0" fontId="13" fillId="0" borderId="177" xfId="0" applyFont="1" applyBorder="1" applyAlignment="1">
      <alignment horizontal="right" vertical="center"/>
    </xf>
    <xf numFmtId="0" fontId="13" fillId="0" borderId="13" xfId="0" applyFont="1" applyBorder="1" applyAlignment="1" applyProtection="1">
      <alignment horizontal="center" wrapText="1"/>
      <protection hidden="1"/>
    </xf>
    <xf numFmtId="165" fontId="13" fillId="0" borderId="5" xfId="0" applyNumberFormat="1" applyFont="1" applyBorder="1" applyAlignment="1" applyProtection="1">
      <alignment horizontal="center" wrapText="1"/>
      <protection hidden="1"/>
    </xf>
    <xf numFmtId="165" fontId="13" fillId="0" borderId="46" xfId="0" applyNumberFormat="1" applyFont="1" applyBorder="1" applyAlignment="1" applyProtection="1">
      <alignment horizontal="center" wrapText="1"/>
      <protection hidden="1"/>
    </xf>
    <xf numFmtId="165" fontId="13" fillId="0" borderId="8" xfId="0" applyNumberFormat="1" applyFont="1" applyBorder="1" applyAlignment="1" applyProtection="1">
      <alignment horizontal="center" wrapText="1"/>
      <protection hidden="1"/>
    </xf>
    <xf numFmtId="165" fontId="13" fillId="0" borderId="11" xfId="0" applyNumberFormat="1" applyFont="1" applyBorder="1" applyAlignment="1">
      <alignment horizontal="center"/>
    </xf>
    <xf numFmtId="0" fontId="49" fillId="0" borderId="0" xfId="0" applyFont="1" applyAlignment="1">
      <alignment horizontal="center" wrapText="1"/>
    </xf>
    <xf numFmtId="0" fontId="17" fillId="0" borderId="11" xfId="0" applyFont="1" applyBorder="1" applyProtection="1">
      <protection hidden="1"/>
    </xf>
    <xf numFmtId="0" fontId="19" fillId="0" borderId="11" xfId="0" applyFont="1" applyBorder="1" applyAlignment="1" applyProtection="1">
      <alignment horizontal="right"/>
      <protection hidden="1"/>
    </xf>
    <xf numFmtId="0" fontId="17" fillId="0" borderId="0" xfId="0" applyFont="1" applyAlignment="1" applyProtection="1">
      <alignment horizontal="centerContinuous" wrapText="1"/>
      <protection hidden="1"/>
    </xf>
    <xf numFmtId="0" fontId="60" fillId="0" borderId="0" xfId="0" applyFont="1" applyProtection="1">
      <protection hidden="1"/>
    </xf>
    <xf numFmtId="0" fontId="17" fillId="6" borderId="2" xfId="0" applyFont="1" applyFill="1" applyBorder="1" applyProtection="1">
      <protection hidden="1"/>
    </xf>
    <xf numFmtId="0" fontId="19" fillId="6" borderId="8" xfId="0" applyFont="1" applyFill="1" applyBorder="1" applyAlignment="1" applyProtection="1">
      <alignment horizontal="right"/>
      <protection hidden="1"/>
    </xf>
    <xf numFmtId="0" fontId="17" fillId="0" borderId="9" xfId="0" applyFont="1" applyBorder="1" applyAlignment="1" applyProtection="1">
      <alignment horizontal="left" wrapText="1"/>
      <protection locked="0"/>
    </xf>
    <xf numFmtId="0" fontId="17" fillId="0" borderId="0" xfId="0" applyFont="1" applyAlignment="1" applyProtection="1">
      <alignment vertical="top"/>
      <protection hidden="1"/>
    </xf>
    <xf numFmtId="0" fontId="17" fillId="6" borderId="9" xfId="0" applyFont="1" applyFill="1" applyBorder="1" applyProtection="1">
      <protection hidden="1"/>
    </xf>
    <xf numFmtId="0" fontId="19" fillId="6" borderId="0" xfId="0" applyFont="1" applyFill="1" applyAlignment="1" applyProtection="1">
      <alignment horizontal="right"/>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protection hidden="1"/>
    </xf>
    <xf numFmtId="0" fontId="17" fillId="6" borderId="0" xfId="0" applyFont="1" applyFill="1" applyAlignment="1" applyProtection="1">
      <alignment horizontal="left"/>
      <protection locked="0"/>
    </xf>
    <xf numFmtId="0" fontId="17" fillId="0" borderId="9" xfId="0" applyFont="1" applyBorder="1" applyAlignment="1" applyProtection="1">
      <alignment horizontal="left"/>
      <protection locked="0"/>
    </xf>
    <xf numFmtId="0" fontId="17" fillId="6" borderId="10" xfId="0" applyFont="1" applyFill="1" applyBorder="1" applyProtection="1">
      <protection hidden="1"/>
    </xf>
    <xf numFmtId="0" fontId="19" fillId="6" borderId="11" xfId="0" applyFont="1" applyFill="1" applyBorder="1" applyAlignment="1" applyProtection="1">
      <alignment horizontal="right"/>
      <protection hidden="1"/>
    </xf>
    <xf numFmtId="0" fontId="17" fillId="6" borderId="11" xfId="0" applyFont="1" applyFill="1" applyBorder="1" applyAlignment="1" applyProtection="1">
      <alignment horizontal="left"/>
      <protection locked="0"/>
    </xf>
    <xf numFmtId="0" fontId="17" fillId="0" borderId="0" xfId="0" applyFont="1" applyAlignment="1" applyProtection="1">
      <alignment horizontal="left"/>
      <protection hidden="1"/>
    </xf>
    <xf numFmtId="0" fontId="17" fillId="0" borderId="65"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17" fillId="0" borderId="136" xfId="0" applyFont="1" applyBorder="1" applyAlignment="1" applyProtection="1">
      <alignment horizontal="center" vertical="center" wrapText="1"/>
      <protection hidden="1"/>
    </xf>
    <xf numFmtId="0" fontId="17" fillId="0" borderId="81" xfId="0" applyFont="1" applyBorder="1" applyAlignment="1" applyProtection="1">
      <alignment horizontal="center" vertical="center" wrapText="1"/>
      <protection hidden="1"/>
    </xf>
    <xf numFmtId="0" fontId="17" fillId="0" borderId="176" xfId="0" applyFont="1" applyBorder="1" applyProtection="1">
      <protection hidden="1"/>
    </xf>
    <xf numFmtId="0" fontId="17" fillId="0" borderId="127" xfId="0" applyFont="1" applyBorder="1" applyProtection="1">
      <protection hidden="1"/>
    </xf>
    <xf numFmtId="0" fontId="19" fillId="0" borderId="127" xfId="0" applyFont="1" applyBorder="1" applyAlignment="1" applyProtection="1">
      <alignment horizontal="right"/>
      <protection hidden="1"/>
    </xf>
    <xf numFmtId="0" fontId="17" fillId="0" borderId="9" xfId="0" applyFont="1" applyBorder="1" applyAlignment="1" applyProtection="1">
      <alignment horizontal="centerContinuous"/>
      <protection hidden="1"/>
    </xf>
    <xf numFmtId="0" fontId="19" fillId="0" borderId="0" xfId="0" applyFont="1" applyAlignment="1" applyProtection="1">
      <alignment horizontal="right"/>
      <protection hidden="1"/>
    </xf>
    <xf numFmtId="2" fontId="19" fillId="0" borderId="0" xfId="0" applyNumberFormat="1" applyFont="1" applyProtection="1">
      <protection hidden="1"/>
    </xf>
    <xf numFmtId="0" fontId="17" fillId="0" borderId="0" xfId="0" applyFont="1" applyAlignment="1" applyProtection="1">
      <alignment horizontal="right"/>
      <protection hidden="1"/>
    </xf>
    <xf numFmtId="0" fontId="17" fillId="0" borderId="12" xfId="0" applyFont="1" applyBorder="1" applyAlignment="1" applyProtection="1">
      <alignment horizontal="center"/>
      <protection hidden="1"/>
    </xf>
    <xf numFmtId="0" fontId="17" fillId="0" borderId="11" xfId="0" applyFont="1" applyBorder="1" applyAlignment="1" applyProtection="1">
      <alignment horizontal="right"/>
      <protection hidden="1"/>
    </xf>
    <xf numFmtId="0" fontId="17" fillId="0" borderId="13" xfId="0" applyFont="1" applyBorder="1" applyAlignment="1" applyProtection="1">
      <alignment horizontal="center"/>
      <protection hidden="1"/>
    </xf>
    <xf numFmtId="0" fontId="19" fillId="0" borderId="20" xfId="0" applyFont="1" applyBorder="1" applyAlignment="1" applyProtection="1">
      <alignment horizontal="center"/>
      <protection hidden="1"/>
    </xf>
    <xf numFmtId="0" fontId="19" fillId="0" borderId="0" xfId="0" applyFont="1" applyAlignment="1">
      <alignment horizontal="center" vertical="center"/>
    </xf>
    <xf numFmtId="0" fontId="17" fillId="0" borderId="23" xfId="0" applyFont="1" applyBorder="1" applyAlignment="1" applyProtection="1">
      <alignment horizontal="center"/>
      <protection hidden="1"/>
    </xf>
    <xf numFmtId="165" fontId="17" fillId="0" borderId="23" xfId="0" applyNumberFormat="1" applyFont="1" applyBorder="1" applyAlignment="1" applyProtection="1">
      <alignment horizontal="center"/>
      <protection hidden="1"/>
    </xf>
    <xf numFmtId="165" fontId="17" fillId="0" borderId="0" xfId="0" applyNumberFormat="1" applyFont="1" applyAlignment="1" applyProtection="1">
      <alignment horizontal="center"/>
      <protection hidden="1"/>
    </xf>
    <xf numFmtId="0" fontId="17" fillId="0" borderId="27" xfId="0" applyFont="1" applyBorder="1" applyAlignment="1" applyProtection="1">
      <alignment horizontal="center" vertical="center"/>
      <protection hidden="1"/>
    </xf>
    <xf numFmtId="0" fontId="17" fillId="0" borderId="0" xfId="0" applyFont="1" applyAlignment="1">
      <alignment horizontal="center" vertical="center"/>
    </xf>
    <xf numFmtId="0" fontId="17" fillId="0" borderId="137" xfId="0" applyFont="1" applyBorder="1" applyProtection="1">
      <protection hidden="1"/>
    </xf>
    <xf numFmtId="0" fontId="17" fillId="0" borderId="77" xfId="0" applyFont="1" applyBorder="1" applyProtection="1">
      <protection hidden="1"/>
    </xf>
    <xf numFmtId="0" fontId="19" fillId="0" borderId="77" xfId="0" applyFont="1" applyBorder="1" applyAlignment="1" applyProtection="1">
      <alignment horizontal="right"/>
      <protection hidden="1"/>
    </xf>
    <xf numFmtId="0" fontId="17" fillId="0" borderId="134" xfId="0" applyFont="1" applyBorder="1" applyAlignment="1" applyProtection="1">
      <alignment horizontal="center"/>
      <protection hidden="1"/>
    </xf>
    <xf numFmtId="165" fontId="17" fillId="0" borderId="134" xfId="0" applyNumberFormat="1" applyFont="1" applyBorder="1" applyAlignment="1" applyProtection="1">
      <alignment horizontal="center"/>
      <protection hidden="1"/>
    </xf>
    <xf numFmtId="165" fontId="17" fillId="0" borderId="123" xfId="0" applyNumberFormat="1" applyFont="1" applyBorder="1" applyAlignment="1" applyProtection="1">
      <alignment horizontal="center"/>
      <protection hidden="1"/>
    </xf>
    <xf numFmtId="0" fontId="17" fillId="0" borderId="133" xfId="0" applyFont="1" applyBorder="1" applyAlignment="1" applyProtection="1">
      <alignment horizontal="center" vertical="center"/>
      <protection hidden="1"/>
    </xf>
    <xf numFmtId="165" fontId="17" fillId="0" borderId="59" xfId="0" applyNumberFormat="1" applyFont="1" applyBorder="1" applyAlignment="1" applyProtection="1">
      <alignment horizontal="center"/>
      <protection hidden="1"/>
    </xf>
    <xf numFmtId="0" fontId="17" fillId="0" borderId="0" xfId="0" applyFont="1" applyAlignment="1" applyProtection="1">
      <alignment horizontal="center" vertical="center"/>
      <protection hidden="1"/>
    </xf>
    <xf numFmtId="0" fontId="17" fillId="0" borderId="143" xfId="0" applyFont="1" applyBorder="1" applyProtection="1">
      <protection hidden="1"/>
    </xf>
    <xf numFmtId="0" fontId="17" fillId="0" borderId="121" xfId="0" applyFont="1" applyBorder="1" applyProtection="1">
      <protection hidden="1"/>
    </xf>
    <xf numFmtId="0" fontId="19" fillId="0" borderId="121" xfId="0" applyFont="1" applyBorder="1" applyAlignment="1" applyProtection="1">
      <alignment horizontal="center"/>
      <protection hidden="1"/>
    </xf>
    <xf numFmtId="165" fontId="19" fillId="0" borderId="121" xfId="0" applyNumberFormat="1" applyFont="1" applyBorder="1" applyAlignment="1" applyProtection="1">
      <alignment horizontal="center"/>
      <protection hidden="1"/>
    </xf>
    <xf numFmtId="165" fontId="19" fillId="0" borderId="121" xfId="0" applyNumberFormat="1" applyFont="1" applyBorder="1" applyAlignment="1" applyProtection="1">
      <alignment horizontal="left"/>
      <protection hidden="1"/>
    </xf>
    <xf numFmtId="0" fontId="17" fillId="0" borderId="145" xfId="0" applyFont="1" applyBorder="1" applyAlignment="1" applyProtection="1">
      <alignment vertical="center"/>
      <protection hidden="1"/>
    </xf>
    <xf numFmtId="0" fontId="17" fillId="0" borderId="0" xfId="0" applyFont="1" applyAlignment="1" applyProtection="1">
      <alignment vertical="center"/>
      <protection hidden="1"/>
    </xf>
    <xf numFmtId="0" fontId="19" fillId="0" borderId="11" xfId="0" applyFont="1" applyBorder="1" applyAlignment="1" applyProtection="1">
      <alignment horizontal="left"/>
      <protection hidden="1"/>
    </xf>
    <xf numFmtId="165" fontId="19" fillId="0" borderId="11" xfId="0" applyNumberFormat="1" applyFont="1" applyBorder="1" applyAlignment="1" applyProtection="1">
      <alignment horizontal="left"/>
      <protection hidden="1"/>
    </xf>
    <xf numFmtId="0" fontId="17" fillId="0" borderId="13" xfId="0" applyFont="1" applyBorder="1" applyAlignment="1" applyProtection="1">
      <alignment vertical="center"/>
      <protection hidden="1"/>
    </xf>
    <xf numFmtId="0" fontId="19" fillId="0" borderId="57" xfId="0" applyFont="1" applyBorder="1" applyProtection="1">
      <protection hidden="1"/>
    </xf>
    <xf numFmtId="0" fontId="17" fillId="0" borderId="140" xfId="0" applyFont="1" applyBorder="1" applyAlignment="1" applyProtection="1">
      <alignment horizontal="center"/>
      <protection hidden="1"/>
    </xf>
    <xf numFmtId="0" fontId="17" fillId="0" borderId="140" xfId="0" applyFont="1" applyBorder="1" applyProtection="1">
      <protection hidden="1"/>
    </xf>
    <xf numFmtId="165" fontId="19" fillId="0" borderId="11" xfId="0" applyNumberFormat="1" applyFont="1" applyBorder="1" applyAlignment="1" applyProtection="1">
      <alignment horizontal="center"/>
      <protection hidden="1"/>
    </xf>
    <xf numFmtId="0" fontId="17" fillId="0" borderId="166" xfId="0" applyFont="1" applyBorder="1" applyAlignment="1" applyProtection="1">
      <alignment horizontal="center"/>
      <protection hidden="1"/>
    </xf>
    <xf numFmtId="165" fontId="17" fillId="0" borderId="166" xfId="0" applyNumberFormat="1" applyFont="1" applyBorder="1" applyAlignment="1" applyProtection="1">
      <alignment horizontal="center"/>
      <protection hidden="1"/>
    </xf>
    <xf numFmtId="0" fontId="17" fillId="0" borderId="138" xfId="0" applyFont="1" applyBorder="1" applyAlignment="1" applyProtection="1">
      <alignment horizontal="center"/>
      <protection hidden="1"/>
    </xf>
    <xf numFmtId="0" fontId="17" fillId="6" borderId="8" xfId="0" applyFont="1" applyFill="1" applyBorder="1" applyAlignment="1" applyProtection="1">
      <alignment horizontal="left"/>
      <protection locked="0"/>
    </xf>
    <xf numFmtId="0" fontId="17" fillId="6" borderId="0" xfId="0" applyFont="1" applyFill="1" applyAlignment="1" applyProtection="1">
      <alignment horizontal="left" vertical="top"/>
      <protection locked="0"/>
    </xf>
    <xf numFmtId="0" fontId="43" fillId="0" borderId="0" xfId="0" applyFont="1"/>
    <xf numFmtId="0" fontId="19" fillId="0" borderId="0" xfId="0" applyFont="1" applyAlignment="1" applyProtection="1">
      <alignment horizontal="right" vertical="center" wrapText="1"/>
      <protection hidden="1"/>
    </xf>
    <xf numFmtId="0" fontId="26" fillId="0" borderId="0" xfId="0" applyFont="1"/>
    <xf numFmtId="0" fontId="61" fillId="0" borderId="0" xfId="0" applyFont="1" applyAlignment="1" applyProtection="1">
      <alignment horizontal="center"/>
      <protection hidden="1"/>
    </xf>
    <xf numFmtId="0" fontId="26" fillId="0" borderId="0" xfId="0" applyFont="1" applyAlignment="1" applyProtection="1">
      <alignment horizontal="left"/>
      <protection hidden="1"/>
    </xf>
    <xf numFmtId="0" fontId="26" fillId="0" borderId="0" xfId="0" applyFont="1" applyProtection="1">
      <protection hidden="1"/>
    </xf>
    <xf numFmtId="0" fontId="19" fillId="0" borderId="0" xfId="0" applyFont="1" applyAlignment="1">
      <alignment horizontal="centerContinuous" wrapText="1"/>
    </xf>
    <xf numFmtId="0" fontId="26" fillId="0" borderId="0" xfId="0" applyFont="1" applyAlignment="1">
      <alignment horizontal="centerContinuous"/>
    </xf>
    <xf numFmtId="0" fontId="20" fillId="0" borderId="0" xfId="0" applyFont="1"/>
    <xf numFmtId="0" fontId="48" fillId="0" borderId="0" xfId="0" applyFont="1" applyAlignment="1" applyProtection="1">
      <alignment horizontal="center" wrapText="1"/>
      <protection hidden="1"/>
    </xf>
    <xf numFmtId="0" fontId="17" fillId="0" borderId="0" xfId="0" applyFont="1" applyAlignment="1">
      <alignment horizontal="centerContinuous"/>
    </xf>
    <xf numFmtId="0" fontId="63" fillId="0" borderId="0" xfId="0" applyFont="1" applyAlignment="1" applyProtection="1">
      <alignment horizontal="centerContinuous" wrapText="1"/>
      <protection hidden="1"/>
    </xf>
    <xf numFmtId="0" fontId="17" fillId="0" borderId="121" xfId="0" applyFont="1" applyBorder="1" applyAlignment="1" applyProtection="1">
      <alignment horizontal="right"/>
      <protection hidden="1"/>
    </xf>
    <xf numFmtId="0" fontId="17" fillId="0" borderId="145" xfId="0" applyFont="1" applyBorder="1" applyAlignment="1" applyProtection="1">
      <alignment horizontal="center"/>
      <protection hidden="1"/>
    </xf>
    <xf numFmtId="0" fontId="0" fillId="3" borderId="0" xfId="0" applyFill="1" applyAlignment="1" applyProtection="1">
      <alignment vertical="top" wrapText="1"/>
      <protection hidden="1"/>
    </xf>
    <xf numFmtId="0" fontId="17" fillId="0" borderId="27" xfId="0" applyFont="1" applyBorder="1" applyAlignment="1" applyProtection="1">
      <alignment horizontal="center"/>
      <protection hidden="1"/>
    </xf>
    <xf numFmtId="0" fontId="17" fillId="0" borderId="11" xfId="0" applyFont="1" applyBorder="1" applyAlignment="1" applyProtection="1">
      <alignment horizontal="center"/>
      <protection hidden="1"/>
    </xf>
    <xf numFmtId="0" fontId="3" fillId="2" borderId="0" xfId="0" applyFont="1" applyFill="1" applyAlignment="1">
      <alignment horizontal="center"/>
    </xf>
    <xf numFmtId="165" fontId="3" fillId="2" borderId="0" xfId="0" applyNumberFormat="1" applyFont="1" applyFill="1" applyAlignment="1" applyProtection="1">
      <alignment horizontal="center"/>
      <protection hidden="1"/>
    </xf>
    <xf numFmtId="165" fontId="3" fillId="8" borderId="0" xfId="0" applyNumberFormat="1" applyFont="1" applyFill="1" applyAlignment="1" applyProtection="1">
      <alignment horizontal="center"/>
      <protection hidden="1"/>
    </xf>
    <xf numFmtId="0" fontId="17" fillId="9" borderId="9" xfId="0" applyFont="1" applyFill="1" applyBorder="1" applyProtection="1">
      <protection hidden="1"/>
    </xf>
    <xf numFmtId="0" fontId="17" fillId="9" borderId="0" xfId="0" applyFont="1" applyFill="1" applyProtection="1">
      <protection hidden="1"/>
    </xf>
    <xf numFmtId="0" fontId="17" fillId="9" borderId="12" xfId="0" applyFont="1" applyFill="1" applyBorder="1" applyProtection="1">
      <protection hidden="1"/>
    </xf>
    <xf numFmtId="0" fontId="26" fillId="0" borderId="0" xfId="0" applyFont="1" applyAlignment="1" applyProtection="1">
      <alignment horizontal="center" vertical="top"/>
      <protection hidden="1"/>
    </xf>
    <xf numFmtId="0" fontId="55" fillId="0" borderId="20" xfId="0" applyFont="1" applyBorder="1" applyAlignment="1" applyProtection="1">
      <alignment horizontal="center" wrapText="1"/>
      <protection hidden="1"/>
    </xf>
    <xf numFmtId="0" fontId="26" fillId="0" borderId="0" xfId="0" applyFont="1" applyAlignment="1" applyProtection="1">
      <alignment vertical="top"/>
      <protection hidden="1"/>
    </xf>
    <xf numFmtId="0" fontId="55" fillId="0" borderId="104" xfId="0" applyFont="1" applyBorder="1" applyAlignment="1" applyProtection="1">
      <alignment horizontal="center" vertical="center" wrapText="1"/>
      <protection hidden="1"/>
    </xf>
    <xf numFmtId="0" fontId="30" fillId="0" borderId="0" xfId="0" applyFont="1" applyProtection="1">
      <protection hidden="1"/>
    </xf>
    <xf numFmtId="0" fontId="2" fillId="0" borderId="11" xfId="0" applyFont="1" applyBorder="1"/>
    <xf numFmtId="0" fontId="4" fillId="0" borderId="0" xfId="0" applyFont="1" applyAlignment="1" applyProtection="1">
      <alignment horizontal="center"/>
      <protection hidden="1"/>
    </xf>
    <xf numFmtId="0" fontId="0" fillId="4" borderId="0" xfId="0" applyFill="1" applyProtection="1">
      <protection hidden="1"/>
    </xf>
    <xf numFmtId="0" fontId="0" fillId="4" borderId="9" xfId="0" applyFill="1" applyBorder="1" applyProtection="1">
      <protection hidden="1"/>
    </xf>
    <xf numFmtId="0" fontId="24" fillId="4" borderId="0" xfId="0" applyFont="1" applyFill="1" applyAlignment="1" applyProtection="1">
      <alignment horizontal="center" vertical="top" wrapText="1"/>
      <protection hidden="1"/>
    </xf>
    <xf numFmtId="0" fontId="20" fillId="0" borderId="0" xfId="0" applyFont="1" applyAlignment="1" applyProtection="1">
      <alignment horizontal="centerContinuous" vertical="center" wrapText="1"/>
      <protection hidden="1"/>
    </xf>
    <xf numFmtId="165" fontId="39" fillId="9" borderId="0" xfId="0" applyNumberFormat="1" applyFont="1" applyFill="1" applyAlignment="1" applyProtection="1">
      <alignment horizontal="left" vertical="center"/>
      <protection hidden="1"/>
    </xf>
    <xf numFmtId="0" fontId="23" fillId="0" borderId="9" xfId="0" applyFont="1" applyBorder="1" applyProtection="1">
      <protection hidden="1"/>
    </xf>
    <xf numFmtId="0" fontId="23" fillId="0" borderId="0" xfId="0" applyFont="1" applyProtection="1">
      <protection hidden="1"/>
    </xf>
    <xf numFmtId="0" fontId="26" fillId="0" borderId="0" xfId="0" applyFont="1" applyAlignment="1">
      <alignment vertical="center"/>
    </xf>
    <xf numFmtId="11" fontId="3" fillId="8" borderId="0" xfId="0" applyNumberFormat="1" applyFont="1" applyFill="1" applyAlignment="1">
      <alignment horizontal="center"/>
    </xf>
    <xf numFmtId="166" fontId="3" fillId="0" borderId="0" xfId="0" applyNumberFormat="1" applyFont="1" applyAlignment="1" applyProtection="1">
      <alignment horizontal="center"/>
      <protection hidden="1"/>
    </xf>
    <xf numFmtId="166" fontId="50" fillId="0" borderId="0" xfId="0" applyNumberFormat="1" applyFont="1" applyAlignment="1" applyProtection="1">
      <alignment horizontal="left"/>
      <protection hidden="1"/>
    </xf>
    <xf numFmtId="166" fontId="13" fillId="0" borderId="0" xfId="0" applyNumberFormat="1" applyFont="1" applyAlignment="1">
      <alignment horizontal="left"/>
    </xf>
    <xf numFmtId="166" fontId="13" fillId="0" borderId="0" xfId="0" applyNumberFormat="1" applyFont="1" applyProtection="1">
      <protection hidden="1"/>
    </xf>
    <xf numFmtId="166" fontId="17" fillId="0" borderId="0" xfId="0" applyNumberFormat="1" applyFont="1" applyProtection="1">
      <protection hidden="1"/>
    </xf>
    <xf numFmtId="166" fontId="3" fillId="8" borderId="0" xfId="0" applyNumberFormat="1" applyFont="1" applyFill="1" applyAlignment="1" applyProtection="1">
      <alignment horizontal="center"/>
      <protection hidden="1"/>
    </xf>
    <xf numFmtId="166" fontId="4" fillId="0" borderId="0" xfId="0" applyNumberFormat="1" applyFont="1" applyAlignment="1" applyProtection="1">
      <alignment horizontal="left"/>
      <protection hidden="1"/>
    </xf>
    <xf numFmtId="166" fontId="3" fillId="0" borderId="0" xfId="0" applyNumberFormat="1" applyFont="1" applyProtection="1">
      <protection hidden="1"/>
    </xf>
    <xf numFmtId="166" fontId="3" fillId="0" borderId="0" xfId="0" applyNumberFormat="1" applyFont="1" applyAlignment="1" applyProtection="1">
      <alignment horizontal="left"/>
      <protection hidden="1"/>
    </xf>
    <xf numFmtId="0" fontId="2" fillId="0" borderId="0" xfId="0" applyFont="1" applyAlignment="1" applyProtection="1">
      <alignment horizontal="left"/>
      <protection hidden="1"/>
    </xf>
    <xf numFmtId="49" fontId="2" fillId="0" borderId="0" xfId="0" applyNumberFormat="1" applyFont="1" applyAlignment="1" applyProtection="1">
      <alignment horizontal="left"/>
      <protection hidden="1"/>
    </xf>
    <xf numFmtId="165" fontId="19" fillId="13" borderId="118" xfId="0" applyNumberFormat="1" applyFont="1" applyFill="1" applyBorder="1" applyAlignment="1" applyProtection="1">
      <alignment horizontal="left" vertical="center" wrapText="1"/>
      <protection hidden="1"/>
    </xf>
    <xf numFmtId="0" fontId="13" fillId="0" borderId="0" xfId="0" applyFont="1" applyAlignment="1" applyProtection="1">
      <alignment horizontal="center" wrapText="1"/>
      <protection hidden="1"/>
    </xf>
    <xf numFmtId="0" fontId="2" fillId="0" borderId="0" xfId="0" applyFont="1"/>
    <xf numFmtId="0" fontId="2" fillId="0" borderId="0" xfId="0" applyFont="1" applyProtection="1">
      <protection hidden="1"/>
    </xf>
    <xf numFmtId="0" fontId="74" fillId="0" borderId="196" xfId="0" applyFont="1" applyBorder="1" applyAlignment="1">
      <alignment vertical="center" wrapText="1"/>
    </xf>
    <xf numFmtId="0" fontId="23" fillId="12" borderId="8" xfId="0" applyFont="1" applyFill="1" applyBorder="1" applyAlignment="1" applyProtection="1">
      <alignment wrapText="1"/>
      <protection hidden="1"/>
    </xf>
    <xf numFmtId="0" fontId="23" fillId="12" borderId="12" xfId="0" applyFont="1" applyFill="1" applyBorder="1" applyAlignment="1" applyProtection="1">
      <alignment wrapText="1"/>
      <protection hidden="1"/>
    </xf>
    <xf numFmtId="0" fontId="23" fillId="12" borderId="0" xfId="0" applyFont="1" applyFill="1" applyAlignment="1" applyProtection="1">
      <alignment wrapText="1"/>
      <protection hidden="1"/>
    </xf>
    <xf numFmtId="0" fontId="23" fillId="12" borderId="9" xfId="0" applyFont="1" applyFill="1" applyBorder="1" applyAlignment="1" applyProtection="1">
      <alignment wrapText="1"/>
      <protection hidden="1"/>
    </xf>
    <xf numFmtId="0" fontId="5" fillId="0" borderId="0" xfId="0" applyFont="1" applyProtection="1">
      <protection hidden="1"/>
    </xf>
    <xf numFmtId="165" fontId="31" fillId="0" borderId="0" xfId="0" applyNumberFormat="1" applyFont="1" applyAlignment="1">
      <alignment horizontal="left" vertical="center"/>
    </xf>
    <xf numFmtId="0" fontId="31" fillId="0" borderId="0" xfId="0" applyFont="1" applyAlignment="1" applyProtection="1">
      <alignment horizontal="left"/>
      <protection hidden="1"/>
    </xf>
    <xf numFmtId="165" fontId="31" fillId="0" borderId="0" xfId="0" applyNumberFormat="1" applyFont="1" applyAlignment="1">
      <alignment horizontal="left"/>
    </xf>
    <xf numFmtId="0" fontId="2" fillId="0" borderId="0" xfId="0" applyFont="1" applyAlignment="1" applyProtection="1">
      <alignment horizontal="center" wrapText="1"/>
      <protection hidden="1"/>
    </xf>
    <xf numFmtId="0" fontId="2" fillId="12" borderId="0" xfId="0" applyFont="1" applyFill="1" applyAlignment="1" applyProtection="1">
      <alignment horizontal="center" wrapText="1"/>
      <protection hidden="1"/>
    </xf>
    <xf numFmtId="0" fontId="13" fillId="14" borderId="0" xfId="0" applyFont="1" applyFill="1" applyAlignment="1">
      <alignment wrapText="1"/>
    </xf>
    <xf numFmtId="0" fontId="13" fillId="13" borderId="0" xfId="0" applyFont="1" applyFill="1" applyAlignment="1">
      <alignment wrapText="1"/>
    </xf>
    <xf numFmtId="0" fontId="19" fillId="13" borderId="0" xfId="0" applyFont="1" applyFill="1" applyAlignment="1" applyProtection="1">
      <alignment horizontal="centerContinuous"/>
      <protection hidden="1"/>
    </xf>
    <xf numFmtId="1" fontId="3" fillId="10" borderId="0" xfId="0" applyNumberFormat="1" applyFont="1" applyFill="1" applyAlignment="1" applyProtection="1">
      <alignment horizontal="center"/>
      <protection hidden="1"/>
    </xf>
    <xf numFmtId="49" fontId="2" fillId="0" borderId="0" xfId="0" applyNumberFormat="1" applyFont="1"/>
    <xf numFmtId="0" fontId="2" fillId="0" borderId="0" xfId="0" applyFont="1" applyAlignment="1">
      <alignment horizontal="center"/>
    </xf>
    <xf numFmtId="49" fontId="0" fillId="14" borderId="0" xfId="0" applyNumberFormat="1" applyFill="1" applyAlignment="1">
      <alignment horizontal="left" vertical="center" wrapText="1"/>
    </xf>
    <xf numFmtId="49" fontId="2" fillId="0" borderId="0" xfId="0" applyNumberFormat="1" applyFont="1" applyAlignment="1">
      <alignment horizontal="center" wrapText="1"/>
    </xf>
    <xf numFmtId="0" fontId="81" fillId="11" borderId="0" xfId="0" applyFont="1" applyFill="1" applyAlignment="1">
      <alignment horizontal="center" vertical="center" wrapText="1"/>
    </xf>
    <xf numFmtId="0" fontId="3" fillId="0" borderId="0" xfId="0" applyFont="1" applyAlignment="1">
      <alignment horizontal="center" wrapText="1"/>
    </xf>
    <xf numFmtId="0" fontId="84" fillId="0" borderId="0" xfId="0" applyFont="1" applyAlignment="1">
      <alignment horizontal="center" vertical="top" wrapText="1"/>
    </xf>
    <xf numFmtId="0" fontId="3" fillId="0" borderId="0" xfId="0" applyFont="1" applyAlignment="1" applyProtection="1">
      <alignment horizontal="center" wrapText="1"/>
      <protection hidden="1"/>
    </xf>
    <xf numFmtId="0" fontId="50" fillId="0" borderId="0" xfId="0" applyFont="1" applyAlignment="1" applyProtection="1">
      <alignment horizontal="left" wrapText="1"/>
      <protection hidden="1"/>
    </xf>
    <xf numFmtId="0" fontId="13" fillId="0" borderId="0" xfId="0" applyFont="1" applyAlignment="1" applyProtection="1">
      <alignment wrapText="1"/>
      <protection hidden="1"/>
    </xf>
    <xf numFmtId="0" fontId="19" fillId="0" borderId="0" xfId="0" applyFont="1" applyAlignment="1" applyProtection="1">
      <alignment horizontal="left" wrapText="1"/>
      <protection hidden="1"/>
    </xf>
    <xf numFmtId="0" fontId="2" fillId="11" borderId="0" xfId="0" applyFont="1" applyFill="1" applyAlignment="1" applyProtection="1">
      <alignment horizontal="left" wrapText="1"/>
      <protection hidden="1"/>
    </xf>
    <xf numFmtId="49" fontId="3" fillId="0" borderId="0" xfId="0" applyNumberFormat="1" applyFont="1" applyAlignment="1" applyProtection="1">
      <alignment wrapText="1"/>
      <protection hidden="1"/>
    </xf>
    <xf numFmtId="0" fontId="3" fillId="0" borderId="0" xfId="0" applyFont="1" applyAlignment="1" applyProtection="1">
      <alignment horizontal="left" wrapText="1"/>
      <protection hidden="1"/>
    </xf>
    <xf numFmtId="49" fontId="3" fillId="0" borderId="0" xfId="0" applyNumberFormat="1" applyFont="1" applyAlignment="1" applyProtection="1">
      <alignment horizontal="left" wrapText="1"/>
      <protection hidden="1"/>
    </xf>
    <xf numFmtId="49" fontId="4" fillId="0" borderId="0" xfId="0" applyNumberFormat="1" applyFont="1" applyAlignment="1" applyProtection="1">
      <alignment horizontal="left" wrapText="1"/>
      <protection hidden="1"/>
    </xf>
    <xf numFmtId="0" fontId="3" fillId="0" borderId="0" xfId="0" applyFont="1" applyAlignment="1" applyProtection="1">
      <alignment wrapText="1"/>
      <protection hidden="1"/>
    </xf>
    <xf numFmtId="0" fontId="93" fillId="0" borderId="0" xfId="0" applyFont="1" applyAlignment="1">
      <alignment horizontal="center" wrapText="1"/>
    </xf>
    <xf numFmtId="166" fontId="95" fillId="0" borderId="0" xfId="0" applyNumberFormat="1" applyFont="1" applyProtection="1">
      <protection hidden="1"/>
    </xf>
    <xf numFmtId="0" fontId="19" fillId="0" borderId="20" xfId="0" applyFont="1" applyBorder="1" applyAlignment="1" applyProtection="1">
      <alignment horizontal="center" wrapText="1"/>
      <protection hidden="1"/>
    </xf>
    <xf numFmtId="0" fontId="65" fillId="0" borderId="0" xfId="0" applyFont="1" applyAlignment="1" applyProtection="1">
      <alignment horizontal="center" vertical="center" wrapText="1"/>
      <protection hidden="1"/>
    </xf>
    <xf numFmtId="0" fontId="2" fillId="0" borderId="123" xfId="0" applyFont="1" applyBorder="1" applyProtection="1">
      <protection hidden="1"/>
    </xf>
    <xf numFmtId="0" fontId="2" fillId="0" borderId="73" xfId="0" applyFont="1" applyBorder="1" applyAlignment="1" applyProtection="1">
      <alignment horizontal="center"/>
      <protection hidden="1"/>
    </xf>
    <xf numFmtId="0" fontId="84" fillId="0" borderId="75" xfId="0" applyFont="1" applyBorder="1" applyAlignment="1">
      <alignment horizontal="center" wrapText="1"/>
    </xf>
    <xf numFmtId="0" fontId="84" fillId="0" borderId="80" xfId="0" applyFont="1" applyBorder="1" applyAlignment="1">
      <alignment horizontal="center" wrapText="1"/>
    </xf>
    <xf numFmtId="0" fontId="85" fillId="0" borderId="54" xfId="0" applyFont="1" applyBorder="1" applyAlignment="1">
      <alignment horizontal="center" wrapText="1"/>
    </xf>
    <xf numFmtId="0" fontId="85" fillId="0" borderId="102" xfId="0" applyFont="1" applyBorder="1" applyAlignment="1">
      <alignment horizontal="center" vertical="top" wrapText="1"/>
    </xf>
    <xf numFmtId="0" fontId="85" fillId="0" borderId="114" xfId="0" applyFont="1" applyBorder="1" applyAlignment="1">
      <alignment horizontal="center" vertical="top" wrapText="1"/>
    </xf>
    <xf numFmtId="0" fontId="84" fillId="0" borderId="63" xfId="0" applyFont="1" applyBorder="1" applyAlignment="1">
      <alignment horizontal="center"/>
    </xf>
    <xf numFmtId="49" fontId="2" fillId="0" borderId="131" xfId="0" applyNumberFormat="1" applyFont="1" applyBorder="1"/>
    <xf numFmtId="0" fontId="78" fillId="0" borderId="134" xfId="0" applyFont="1" applyBorder="1" applyAlignment="1">
      <alignment horizontal="center" vertical="center" wrapText="1"/>
    </xf>
    <xf numFmtId="49" fontId="2" fillId="0" borderId="133" xfId="0" applyNumberFormat="1" applyFont="1" applyBorder="1" applyAlignment="1">
      <alignment horizontal="center"/>
    </xf>
    <xf numFmtId="49" fontId="2" fillId="0" borderId="114" xfId="0" applyNumberFormat="1" applyFont="1" applyBorder="1" applyAlignment="1">
      <alignment horizontal="center"/>
    </xf>
    <xf numFmtId="49" fontId="2" fillId="0" borderId="119" xfId="0" applyNumberFormat="1" applyFont="1" applyBorder="1"/>
    <xf numFmtId="49" fontId="2" fillId="0" borderId="128" xfId="0" applyNumberFormat="1" applyFont="1" applyBorder="1"/>
    <xf numFmtId="0" fontId="78" fillId="0" borderId="59" xfId="0" applyFont="1" applyBorder="1" applyAlignment="1">
      <alignment horizontal="center" vertical="center" wrapText="1"/>
    </xf>
    <xf numFmtId="49" fontId="2" fillId="0" borderId="65" xfId="0" applyNumberFormat="1" applyFont="1" applyBorder="1" applyAlignment="1">
      <alignment horizontal="center"/>
    </xf>
    <xf numFmtId="49" fontId="2" fillId="0" borderId="37" xfId="0" applyNumberFormat="1" applyFont="1" applyBorder="1"/>
    <xf numFmtId="49" fontId="2" fillId="0" borderId="144" xfId="0" applyNumberFormat="1" applyFont="1" applyBorder="1"/>
    <xf numFmtId="0" fontId="78" fillId="0" borderId="193" xfId="0" applyFont="1" applyBorder="1" applyAlignment="1">
      <alignment horizontal="center" vertical="center" wrapText="1"/>
    </xf>
    <xf numFmtId="49" fontId="2" fillId="0" borderId="136" xfId="0" applyNumberFormat="1" applyFont="1" applyBorder="1" applyAlignment="1">
      <alignment horizontal="center"/>
    </xf>
    <xf numFmtId="49" fontId="2" fillId="0" borderId="122" xfId="0" applyNumberFormat="1" applyFont="1" applyBorder="1"/>
    <xf numFmtId="49" fontId="2" fillId="0" borderId="146" xfId="0" applyNumberFormat="1" applyFont="1" applyBorder="1"/>
    <xf numFmtId="0" fontId="78" fillId="0" borderId="148" xfId="0" applyFont="1" applyBorder="1" applyAlignment="1">
      <alignment horizontal="center" vertical="center" wrapText="1"/>
    </xf>
    <xf numFmtId="49" fontId="2" fillId="0" borderId="96" xfId="0" applyNumberFormat="1" applyFont="1" applyBorder="1" applyAlignment="1">
      <alignment horizontal="center"/>
    </xf>
    <xf numFmtId="49" fontId="2" fillId="0" borderId="158" xfId="0" applyNumberFormat="1" applyFont="1" applyBorder="1"/>
    <xf numFmtId="49" fontId="2" fillId="0" borderId="128" xfId="0" applyNumberFormat="1" applyFont="1" applyBorder="1" applyAlignment="1">
      <alignment vertical="center"/>
    </xf>
    <xf numFmtId="49" fontId="2" fillId="0" borderId="65" xfId="0" applyNumberFormat="1" applyFont="1" applyBorder="1" applyAlignment="1">
      <alignment horizontal="center" vertical="center"/>
    </xf>
    <xf numFmtId="49" fontId="2" fillId="0" borderId="114" xfId="0" applyNumberFormat="1" applyFont="1" applyBorder="1" applyAlignment="1">
      <alignment horizontal="center" vertical="center"/>
    </xf>
    <xf numFmtId="0" fontId="2" fillId="0" borderId="135" xfId="0" applyFont="1" applyBorder="1" applyAlignment="1">
      <alignment horizontal="left"/>
    </xf>
    <xf numFmtId="0" fontId="2" fillId="0" borderId="59" xfId="0" applyFont="1" applyBorder="1" applyAlignment="1">
      <alignment horizontal="center"/>
    </xf>
    <xf numFmtId="0" fontId="3" fillId="0" borderId="114" xfId="0" applyFont="1" applyBorder="1" applyAlignment="1">
      <alignment horizontal="center" wrapText="1"/>
    </xf>
    <xf numFmtId="0" fontId="2" fillId="0" borderId="128" xfId="0" applyFont="1" applyBorder="1" applyAlignment="1">
      <alignment horizontal="left"/>
    </xf>
    <xf numFmtId="49" fontId="2" fillId="0" borderId="128" xfId="0" applyNumberFormat="1" applyFont="1" applyBorder="1" applyAlignment="1">
      <alignment horizontal="left" vertical="center" wrapText="1"/>
    </xf>
    <xf numFmtId="0" fontId="74" fillId="0" borderId="59" xfId="0" applyFont="1" applyBorder="1" applyAlignment="1">
      <alignment horizontal="center" vertical="center" wrapText="1"/>
    </xf>
    <xf numFmtId="0" fontId="2" fillId="0" borderId="65" xfId="0" applyFont="1" applyBorder="1" applyAlignment="1">
      <alignment horizontal="center"/>
    </xf>
    <xf numFmtId="49" fontId="2" fillId="0" borderId="135" xfId="0" applyNumberFormat="1" applyFont="1" applyBorder="1" applyAlignment="1">
      <alignment horizontal="left" vertical="center" wrapText="1"/>
    </xf>
    <xf numFmtId="49" fontId="2" fillId="0" borderId="129" xfId="0" applyNumberFormat="1" applyFont="1" applyBorder="1" applyAlignment="1">
      <alignment horizontal="left" vertical="center" wrapText="1"/>
    </xf>
    <xf numFmtId="0" fontId="2" fillId="0" borderId="61" xfId="0" applyFont="1" applyBorder="1" applyAlignment="1">
      <alignment horizontal="center" vertical="center" wrapText="1"/>
    </xf>
    <xf numFmtId="0" fontId="2" fillId="0" borderId="81" xfId="0" applyFont="1" applyBorder="1" applyAlignment="1">
      <alignment horizontal="center" vertical="center"/>
    </xf>
    <xf numFmtId="0" fontId="3" fillId="0" borderId="114" xfId="0" applyFont="1" applyBorder="1" applyAlignment="1">
      <alignment horizontal="center" vertical="center" wrapText="1"/>
    </xf>
    <xf numFmtId="49" fontId="2" fillId="0" borderId="201" xfId="0" applyNumberFormat="1" applyFont="1" applyBorder="1" applyAlignment="1">
      <alignment horizontal="left" vertical="center" wrapText="1"/>
    </xf>
    <xf numFmtId="0" fontId="74" fillId="0" borderId="61" xfId="0" applyFont="1" applyBorder="1" applyAlignment="1">
      <alignment horizontal="center" vertical="center" wrapText="1"/>
    </xf>
    <xf numFmtId="0" fontId="5" fillId="0" borderId="0" xfId="0" applyFont="1" applyAlignment="1" applyProtection="1">
      <alignment horizontal="center" wrapText="1"/>
      <protection hidden="1"/>
    </xf>
    <xf numFmtId="0" fontId="2" fillId="0" borderId="0" xfId="0" applyFont="1" applyAlignment="1">
      <alignment horizontal="center" vertical="top"/>
    </xf>
    <xf numFmtId="166" fontId="2" fillId="0" borderId="0" xfId="0" applyNumberFormat="1" applyFont="1" applyAlignment="1">
      <alignment horizontal="left"/>
    </xf>
    <xf numFmtId="49" fontId="2" fillId="0" borderId="0" xfId="0" applyNumberFormat="1" applyFont="1" applyAlignment="1" applyProtection="1">
      <alignment wrapText="1"/>
      <protection hidden="1"/>
    </xf>
    <xf numFmtId="49" fontId="2" fillId="0" borderId="0" xfId="0" applyNumberFormat="1" applyFont="1" applyProtection="1">
      <protection hidden="1"/>
    </xf>
    <xf numFmtId="0" fontId="2" fillId="0" borderId="0" xfId="0" applyFont="1" applyAlignment="1">
      <alignment horizontal="left"/>
    </xf>
    <xf numFmtId="0" fontId="2" fillId="3" borderId="11" xfId="0" applyFont="1" applyFill="1" applyBorder="1" applyAlignment="1" applyProtection="1">
      <alignment horizontal="right" vertical="top" wrapText="1"/>
      <protection hidden="1"/>
    </xf>
    <xf numFmtId="0" fontId="2" fillId="3" borderId="11" xfId="0" applyFont="1" applyFill="1" applyBorder="1" applyAlignment="1" applyProtection="1">
      <alignment vertical="top" wrapText="1"/>
      <protection hidden="1"/>
    </xf>
    <xf numFmtId="166" fontId="2" fillId="0" borderId="0" xfId="0" applyNumberFormat="1" applyFont="1" applyAlignment="1" applyProtection="1">
      <alignment wrapText="1"/>
      <protection hidden="1"/>
    </xf>
    <xf numFmtId="0" fontId="2" fillId="11" borderId="0" xfId="0" applyFont="1" applyFill="1" applyAlignment="1" applyProtection="1">
      <alignment horizontal="center"/>
      <protection hidden="1"/>
    </xf>
    <xf numFmtId="0" fontId="2" fillId="11" borderId="0" xfId="0" applyFont="1" applyFill="1" applyAlignment="1" applyProtection="1">
      <alignment wrapText="1"/>
      <protection hidden="1"/>
    </xf>
    <xf numFmtId="166" fontId="2" fillId="0" borderId="0" xfId="0" applyNumberFormat="1" applyFont="1" applyProtection="1">
      <protection hidden="1"/>
    </xf>
    <xf numFmtId="11" fontId="2" fillId="0" borderId="0" xfId="0" applyNumberFormat="1" applyFont="1" applyAlignment="1" applyProtection="1">
      <alignment horizontal="center" vertical="center"/>
      <protection hidden="1"/>
    </xf>
    <xf numFmtId="0" fontId="2" fillId="0" borderId="0" xfId="0" applyFont="1" applyAlignment="1" applyProtection="1">
      <alignment horizontal="center"/>
      <protection hidden="1"/>
    </xf>
    <xf numFmtId="0" fontId="2" fillId="0" borderId="77" xfId="0" applyFont="1" applyBorder="1" applyAlignment="1" applyProtection="1">
      <alignment horizontal="center"/>
      <protection hidden="1"/>
    </xf>
    <xf numFmtId="0" fontId="2" fillId="0" borderId="29" xfId="0" applyFont="1" applyBorder="1" applyAlignment="1">
      <alignment horizontal="center" wrapText="1"/>
    </xf>
    <xf numFmtId="0" fontId="2" fillId="0" borderId="9" xfId="0" applyFont="1" applyBorder="1" applyAlignment="1">
      <alignment horizontal="right"/>
    </xf>
    <xf numFmtId="2" fontId="2" fillId="0" borderId="12" xfId="0" applyNumberFormat="1" applyFont="1" applyBorder="1" applyAlignment="1">
      <alignment horizontal="center" wrapText="1"/>
    </xf>
    <xf numFmtId="0" fontId="2" fillId="0" borderId="12" xfId="0" applyFont="1" applyBorder="1" applyAlignment="1">
      <alignment horizontal="center" wrapText="1"/>
    </xf>
    <xf numFmtId="0" fontId="2" fillId="0" borderId="10" xfId="0" applyFont="1" applyBorder="1" applyAlignment="1">
      <alignment horizontal="right" wrapText="1"/>
    </xf>
    <xf numFmtId="0" fontId="2" fillId="0" borderId="13" xfId="0" applyFont="1" applyBorder="1" applyAlignment="1">
      <alignment horizontal="center" vertical="center" wrapText="1"/>
    </xf>
    <xf numFmtId="0" fontId="2" fillId="0" borderId="2" xfId="0" applyFont="1" applyBorder="1" applyAlignment="1">
      <alignment horizontal="right" wrapText="1"/>
    </xf>
    <xf numFmtId="0" fontId="2" fillId="0" borderId="9" xfId="0" applyFont="1" applyBorder="1" applyAlignment="1">
      <alignment horizontal="right" wrapText="1"/>
    </xf>
    <xf numFmtId="0" fontId="2" fillId="0" borderId="13" xfId="0" applyFont="1" applyBorder="1" applyAlignment="1">
      <alignment horizontal="center" wrapText="1"/>
    </xf>
    <xf numFmtId="0" fontId="2" fillId="0" borderId="0" xfId="0" applyFont="1" applyAlignment="1">
      <alignment horizontal="right" wrapText="1"/>
    </xf>
    <xf numFmtId="165" fontId="2" fillId="0" borderId="0" xfId="0" applyNumberFormat="1" applyFont="1" applyAlignment="1" applyProtection="1">
      <alignment horizontal="center" wrapText="1"/>
      <protection hidden="1"/>
    </xf>
    <xf numFmtId="165" fontId="2" fillId="0" borderId="0" xfId="0" applyNumberFormat="1" applyFont="1" applyAlignment="1">
      <alignment horizontal="center" wrapText="1"/>
    </xf>
    <xf numFmtId="0" fontId="2" fillId="0" borderId="9" xfId="0" applyFont="1" applyBorder="1"/>
    <xf numFmtId="165" fontId="2" fillId="0" borderId="11" xfId="0" applyNumberFormat="1" applyFont="1" applyBorder="1" applyAlignment="1">
      <alignment horizontal="center" wrapText="1"/>
    </xf>
    <xf numFmtId="0" fontId="2" fillId="0" borderId="0" xfId="0" applyFont="1" applyAlignment="1">
      <alignment horizontal="right"/>
    </xf>
    <xf numFmtId="165" fontId="2" fillId="0" borderId="12" xfId="0" applyNumberFormat="1" applyFont="1" applyBorder="1" applyAlignment="1">
      <alignment horizontal="center" wrapText="1"/>
    </xf>
    <xf numFmtId="165" fontId="2" fillId="0" borderId="13" xfId="0" applyNumberFormat="1" applyFont="1" applyBorder="1" applyAlignment="1">
      <alignment horizontal="center" wrapText="1"/>
    </xf>
    <xf numFmtId="0" fontId="2" fillId="0" borderId="8" xfId="0" applyFont="1" applyBorder="1" applyAlignment="1" applyProtection="1">
      <alignment horizontal="center" wrapText="1"/>
      <protection hidden="1"/>
    </xf>
    <xf numFmtId="0" fontId="2" fillId="0" borderId="9" xfId="0" applyFont="1" applyBorder="1" applyAlignment="1" applyProtection="1">
      <alignment horizontal="right"/>
      <protection hidden="1"/>
    </xf>
    <xf numFmtId="165" fontId="2" fillId="0" borderId="12" xfId="0" applyNumberFormat="1" applyFont="1" applyBorder="1" applyAlignment="1" applyProtection="1">
      <alignment horizontal="center" wrapText="1"/>
      <protection hidden="1"/>
    </xf>
    <xf numFmtId="0" fontId="2" fillId="0" borderId="12" xfId="0" applyFont="1" applyBorder="1" applyAlignment="1" applyProtection="1">
      <alignment horizontal="center" wrapText="1"/>
      <protection hidden="1"/>
    </xf>
    <xf numFmtId="165" fontId="2" fillId="0" borderId="8" xfId="0" applyNumberFormat="1" applyFont="1" applyBorder="1" applyAlignment="1" applyProtection="1">
      <alignment horizontal="center" wrapText="1"/>
      <protection hidden="1"/>
    </xf>
    <xf numFmtId="0" fontId="2" fillId="0" borderId="29" xfId="0" applyFont="1" applyBorder="1" applyAlignment="1" applyProtection="1">
      <alignment horizontal="center" wrapText="1"/>
      <protection hidden="1"/>
    </xf>
    <xf numFmtId="0" fontId="2" fillId="0" borderId="9" xfId="0" applyFont="1" applyBorder="1" applyAlignment="1" applyProtection="1">
      <alignment horizontal="center" wrapText="1"/>
      <protection hidden="1"/>
    </xf>
    <xf numFmtId="165" fontId="2" fillId="0" borderId="9" xfId="0" applyNumberFormat="1" applyFont="1" applyBorder="1" applyAlignment="1" applyProtection="1">
      <alignment horizontal="center" wrapText="1"/>
      <protection hidden="1"/>
    </xf>
    <xf numFmtId="0" fontId="2" fillId="0" borderId="0" xfId="0" applyFont="1" applyAlignment="1" applyProtection="1">
      <alignment horizontal="right"/>
      <protection hidden="1"/>
    </xf>
    <xf numFmtId="165" fontId="2" fillId="0" borderId="88" xfId="0" applyNumberFormat="1" applyFont="1" applyBorder="1" applyAlignment="1" applyProtection="1">
      <alignment horizontal="center" wrapText="1"/>
      <protection hidden="1"/>
    </xf>
    <xf numFmtId="165" fontId="2" fillId="0" borderId="175" xfId="0" applyNumberFormat="1" applyFont="1" applyBorder="1" applyAlignment="1" applyProtection="1">
      <alignment horizontal="center" wrapText="1"/>
      <protection hidden="1"/>
    </xf>
    <xf numFmtId="165" fontId="2" fillId="0" borderId="15" xfId="0" applyNumberFormat="1" applyFont="1" applyBorder="1" applyAlignment="1" applyProtection="1">
      <alignment horizontal="center" wrapText="1"/>
      <protection hidden="1"/>
    </xf>
    <xf numFmtId="0" fontId="19" fillId="0" borderId="0" xfId="0" applyFont="1"/>
    <xf numFmtId="0" fontId="0" fillId="0" borderId="0" xfId="0" applyAlignment="1">
      <alignment wrapText="1"/>
    </xf>
    <xf numFmtId="0" fontId="0" fillId="0" borderId="0" xfId="0" applyAlignment="1">
      <alignment horizontal="center" wrapText="1"/>
    </xf>
    <xf numFmtId="0" fontId="2" fillId="0" borderId="0" xfId="0" applyFont="1" applyAlignment="1">
      <alignment wrapText="1"/>
    </xf>
    <xf numFmtId="0" fontId="13" fillId="0" borderId="0" xfId="0" applyFont="1" applyAlignment="1">
      <alignment wrapText="1"/>
    </xf>
    <xf numFmtId="0" fontId="17" fillId="0" borderId="0" xfId="0" applyFont="1" applyAlignment="1" applyProtection="1">
      <alignment wrapText="1"/>
      <protection hidden="1"/>
    </xf>
    <xf numFmtId="0" fontId="17"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9" fillId="0" borderId="0" xfId="0" applyFont="1" applyAlignment="1" applyProtection="1">
      <alignment wrapText="1"/>
      <protection hidden="1"/>
    </xf>
    <xf numFmtId="0" fontId="24" fillId="6" borderId="116" xfId="0" applyFont="1" applyFill="1" applyBorder="1" applyAlignment="1" applyProtection="1">
      <alignment horizontal="center" vertical="center" wrapText="1"/>
      <protection locked="0" hidden="1"/>
    </xf>
    <xf numFmtId="0" fontId="0" fillId="0" borderId="0" xfId="0"/>
    <xf numFmtId="0" fontId="0" fillId="0" borderId="11" xfId="0" applyBorder="1"/>
    <xf numFmtId="0" fontId="0" fillId="0" borderId="12" xfId="0" applyBorder="1" applyProtection="1">
      <protection hidden="1"/>
    </xf>
    <xf numFmtId="0" fontId="0" fillId="0" borderId="9" xfId="0" applyBorder="1"/>
    <xf numFmtId="0" fontId="13" fillId="0" borderId="0" xfId="0" applyFont="1" applyAlignment="1">
      <alignment horizontal="center" wrapText="1"/>
    </xf>
    <xf numFmtId="0" fontId="19" fillId="0" borderId="0" xfId="0" applyFont="1" applyAlignment="1" applyProtection="1">
      <alignment horizontal="center" wrapText="1"/>
      <protection hidden="1"/>
    </xf>
    <xf numFmtId="166" fontId="19" fillId="0" borderId="0" xfId="0" applyNumberFormat="1" applyFont="1" applyAlignment="1" applyProtection="1">
      <alignment horizontal="center" wrapText="1"/>
      <protection hidden="1"/>
    </xf>
    <xf numFmtId="0" fontId="0" fillId="0" borderId="0" xfId="0" applyAlignment="1" applyProtection="1">
      <alignment vertical="center" wrapText="1"/>
      <protection hidden="1"/>
    </xf>
    <xf numFmtId="0" fontId="19" fillId="3" borderId="0" xfId="0" applyFont="1" applyFill="1" applyAlignment="1" applyProtection="1">
      <alignment horizontal="center" wrapText="1"/>
      <protection hidden="1"/>
    </xf>
    <xf numFmtId="0" fontId="0" fillId="0" borderId="0" xfId="0" applyProtection="1">
      <protection hidden="1"/>
    </xf>
    <xf numFmtId="0" fontId="30" fillId="5" borderId="116" xfId="0" applyFont="1" applyFill="1" applyBorder="1" applyAlignment="1" applyProtection="1">
      <alignment horizontal="center" vertical="center" wrapText="1"/>
      <protection hidden="1"/>
    </xf>
    <xf numFmtId="0" fontId="23" fillId="0" borderId="0" xfId="0" applyFont="1" applyAlignment="1" applyProtection="1">
      <alignment wrapText="1"/>
      <protection hidden="1"/>
    </xf>
    <xf numFmtId="0" fontId="0" fillId="0" borderId="0" xfId="0" applyAlignment="1" applyProtection="1">
      <alignment horizontal="center" wrapText="1"/>
      <protection hidden="1"/>
    </xf>
    <xf numFmtId="0" fontId="2" fillId="0" borderId="0" xfId="0" applyFont="1" applyAlignment="1" applyProtection="1">
      <alignment wrapText="1"/>
      <protection hidden="1"/>
    </xf>
    <xf numFmtId="0" fontId="13" fillId="0" borderId="121" xfId="0" applyFont="1" applyBorder="1" applyAlignment="1" applyProtection="1">
      <alignment horizontal="center"/>
      <protection hidden="1"/>
    </xf>
    <xf numFmtId="0" fontId="0" fillId="0" borderId="0" xfId="0" applyAlignment="1" applyProtection="1">
      <alignment horizontal="center"/>
      <protection hidden="1"/>
    </xf>
    <xf numFmtId="0" fontId="21" fillId="0" borderId="0" xfId="0" applyFont="1" applyAlignment="1">
      <alignment horizontal="center"/>
    </xf>
    <xf numFmtId="0" fontId="2" fillId="0" borderId="0" xfId="0" applyFont="1" applyAlignment="1">
      <alignment horizontal="center" wrapText="1"/>
    </xf>
    <xf numFmtId="0" fontId="4" fillId="0" borderId="0" xfId="0" applyFont="1" applyAlignment="1">
      <alignment horizontal="center"/>
    </xf>
    <xf numFmtId="0" fontId="2" fillId="0" borderId="0" xfId="0" applyFont="1"/>
    <xf numFmtId="0" fontId="5" fillId="0" borderId="0" xfId="0" applyFont="1" applyAlignment="1">
      <alignment horizontal="left"/>
    </xf>
    <xf numFmtId="165" fontId="4" fillId="0" borderId="0" xfId="0" applyNumberFormat="1" applyFont="1" applyFill="1" applyAlignment="1">
      <alignment horizontal="centerContinuous"/>
    </xf>
    <xf numFmtId="0" fontId="2" fillId="0" borderId="0" xfId="0" applyFont="1" applyFill="1"/>
    <xf numFmtId="0" fontId="3" fillId="0" borderId="0" xfId="0" applyFont="1" applyFill="1"/>
    <xf numFmtId="0" fontId="5" fillId="0" borderId="0" xfId="0" applyFont="1" applyFill="1" applyAlignment="1">
      <alignment horizontal="centerContinuous" wrapText="1"/>
    </xf>
    <xf numFmtId="165" fontId="3" fillId="0" borderId="0" xfId="0" applyNumberFormat="1" applyFont="1" applyFill="1" applyAlignment="1">
      <alignment horizontal="centerContinuous"/>
    </xf>
    <xf numFmtId="0" fontId="4" fillId="0" borderId="0" xfId="0" applyFont="1" applyFill="1" applyAlignment="1">
      <alignment horizontal="centerContinuous"/>
    </xf>
    <xf numFmtId="1" fontId="2" fillId="0" borderId="0" xfId="0" applyNumberFormat="1" applyFont="1" applyFill="1" applyAlignment="1">
      <alignment horizontal="center"/>
    </xf>
    <xf numFmtId="0" fontId="3" fillId="0" borderId="13" xfId="0" applyFont="1" applyFill="1" applyBorder="1"/>
    <xf numFmtId="165" fontId="4" fillId="0" borderId="169" xfId="0" applyNumberFormat="1" applyFont="1" applyFill="1" applyBorder="1" applyAlignment="1">
      <alignment horizontal="center"/>
    </xf>
    <xf numFmtId="165" fontId="4" fillId="0" borderId="170" xfId="0" applyNumberFormat="1" applyFont="1" applyFill="1" applyBorder="1" applyAlignment="1">
      <alignment horizontal="centerContinuous" vertical="center"/>
    </xf>
    <xf numFmtId="165" fontId="4" fillId="0" borderId="171" xfId="0" applyNumberFormat="1" applyFont="1" applyFill="1" applyBorder="1" applyAlignment="1">
      <alignment horizontal="center" wrapText="1"/>
    </xf>
    <xf numFmtId="165" fontId="4" fillId="0" borderId="39" xfId="0" applyNumberFormat="1" applyFont="1" applyFill="1" applyBorder="1"/>
    <xf numFmtId="165" fontId="4" fillId="0" borderId="149" xfId="0" applyNumberFormat="1" applyFont="1" applyFill="1" applyBorder="1" applyAlignment="1">
      <alignment horizontal="center" wrapText="1"/>
    </xf>
    <xf numFmtId="165" fontId="4" fillId="0" borderId="40" xfId="0" applyNumberFormat="1" applyFont="1" applyFill="1" applyBorder="1" applyAlignment="1">
      <alignment horizontal="center" wrapText="1"/>
    </xf>
    <xf numFmtId="165" fontId="4" fillId="0" borderId="153" xfId="0" applyNumberFormat="1" applyFont="1" applyFill="1" applyBorder="1" applyAlignment="1">
      <alignment horizontal="center" wrapText="1"/>
    </xf>
    <xf numFmtId="165" fontId="4" fillId="0" borderId="170" xfId="0" applyNumberFormat="1" applyFont="1" applyFill="1" applyBorder="1"/>
    <xf numFmtId="165" fontId="4" fillId="0" borderId="172" xfId="0" applyNumberFormat="1" applyFont="1" applyFill="1" applyBorder="1" applyAlignment="1">
      <alignment horizontal="center"/>
    </xf>
    <xf numFmtId="0" fontId="4" fillId="0" borderId="99" xfId="0" applyFont="1" applyFill="1" applyBorder="1" applyAlignment="1">
      <alignment horizontal="center"/>
    </xf>
    <xf numFmtId="0" fontId="4" fillId="0" borderId="99" xfId="0" applyFont="1" applyFill="1" applyBorder="1" applyAlignment="1">
      <alignment horizontal="center" wrapText="1"/>
    </xf>
    <xf numFmtId="165" fontId="4" fillId="0" borderId="85" xfId="0" applyNumberFormat="1" applyFont="1" applyFill="1" applyBorder="1" applyAlignment="1">
      <alignment horizontal="center"/>
    </xf>
    <xf numFmtId="165" fontId="4" fillId="0" borderId="76" xfId="0" applyNumberFormat="1" applyFont="1" applyFill="1" applyBorder="1" applyAlignment="1">
      <alignment horizontal="center"/>
    </xf>
    <xf numFmtId="165" fontId="4" fillId="0" borderId="5" xfId="0" applyNumberFormat="1" applyFont="1" applyFill="1" applyBorder="1" applyAlignment="1">
      <alignment horizontal="center" vertical="center" wrapText="1"/>
    </xf>
    <xf numFmtId="49" fontId="27" fillId="0" borderId="109" xfId="0" applyNumberFormat="1" applyFont="1" applyFill="1" applyBorder="1" applyAlignment="1">
      <alignment horizontal="left" vertical="center" wrapText="1" indent="1"/>
    </xf>
    <xf numFmtId="165" fontId="3" fillId="0" borderId="155" xfId="0" applyNumberFormat="1" applyFont="1" applyFill="1" applyBorder="1" applyAlignment="1">
      <alignment horizontal="center"/>
    </xf>
    <xf numFmtId="165" fontId="3" fillId="0" borderId="155" xfId="0" applyNumberFormat="1" applyFont="1" applyFill="1" applyBorder="1" applyAlignment="1">
      <alignment horizontal="left"/>
    </xf>
    <xf numFmtId="165" fontId="3" fillId="0" borderId="154" xfId="0" applyNumberFormat="1" applyFont="1" applyFill="1" applyBorder="1" applyAlignment="1">
      <alignment horizontal="center"/>
    </xf>
    <xf numFmtId="165" fontId="3" fillId="0" borderId="95" xfId="0" applyNumberFormat="1" applyFont="1" applyFill="1" applyBorder="1" applyAlignment="1">
      <alignment horizontal="center"/>
    </xf>
    <xf numFmtId="165" fontId="3" fillId="0" borderId="147" xfId="0" applyNumberFormat="1" applyFont="1" applyFill="1" applyBorder="1" applyAlignment="1">
      <alignment horizontal="center"/>
    </xf>
    <xf numFmtId="165" fontId="3" fillId="0" borderId="153" xfId="0" applyNumberFormat="1" applyFont="1" applyFill="1" applyBorder="1" applyAlignment="1">
      <alignment horizontal="center"/>
    </xf>
    <xf numFmtId="49" fontId="27" fillId="0" borderId="92" xfId="0" applyNumberFormat="1" applyFont="1" applyFill="1" applyBorder="1" applyAlignment="1">
      <alignment horizontal="left" vertical="center" wrapText="1" indent="1"/>
    </xf>
    <xf numFmtId="165" fontId="3" fillId="0" borderId="17" xfId="0" applyNumberFormat="1" applyFont="1" applyFill="1" applyBorder="1" applyAlignment="1">
      <alignment horizontal="center"/>
    </xf>
    <xf numFmtId="165" fontId="3" fillId="0" borderId="17" xfId="0" applyNumberFormat="1" applyFont="1" applyFill="1" applyBorder="1" applyAlignment="1">
      <alignment horizontal="left"/>
    </xf>
    <xf numFmtId="165" fontId="3" fillId="0" borderId="130" xfId="0" applyNumberFormat="1" applyFont="1" applyFill="1" applyBorder="1" applyAlignment="1">
      <alignment horizontal="center"/>
    </xf>
    <xf numFmtId="165" fontId="3" fillId="0" borderId="37" xfId="0" applyNumberFormat="1" applyFont="1" applyFill="1" applyBorder="1" applyAlignment="1">
      <alignment horizontal="center"/>
    </xf>
    <xf numFmtId="165" fontId="3" fillId="0" borderId="49" xfId="0" applyNumberFormat="1" applyFont="1" applyFill="1" applyBorder="1" applyAlignment="1">
      <alignment horizontal="center"/>
    </xf>
    <xf numFmtId="165" fontId="3" fillId="0" borderId="74" xfId="0" applyNumberFormat="1" applyFont="1" applyFill="1" applyBorder="1" applyAlignment="1">
      <alignment horizontal="center"/>
    </xf>
    <xf numFmtId="0" fontId="3" fillId="0" borderId="0" xfId="0" applyFont="1" applyFill="1" applyAlignment="1">
      <alignment horizontal="center"/>
    </xf>
    <xf numFmtId="165" fontId="3" fillId="0" borderId="0" xfId="0" applyNumberFormat="1" applyFont="1" applyFill="1"/>
    <xf numFmtId="0" fontId="3" fillId="0" borderId="0" xfId="0" applyFont="1" applyFill="1" applyAlignment="1">
      <alignment horizontal="left" vertical="center"/>
    </xf>
    <xf numFmtId="49" fontId="27" fillId="0" borderId="6" xfId="0" applyNumberFormat="1" applyFont="1" applyFill="1" applyBorder="1" applyAlignment="1">
      <alignment horizontal="left" vertical="center" wrapText="1" indent="1"/>
    </xf>
    <xf numFmtId="165" fontId="3" fillId="0" borderId="18" xfId="0" applyNumberFormat="1" applyFont="1" applyFill="1" applyBorder="1" applyAlignment="1">
      <alignment horizontal="center"/>
    </xf>
    <xf numFmtId="165" fontId="3" fillId="0" borderId="18" xfId="0" applyNumberFormat="1" applyFont="1" applyFill="1" applyBorder="1" applyAlignment="1">
      <alignment horizontal="left"/>
    </xf>
    <xf numFmtId="165" fontId="3" fillId="0" borderId="113" xfId="0" applyNumberFormat="1" applyFont="1" applyFill="1" applyBorder="1" applyAlignment="1">
      <alignment horizontal="center"/>
    </xf>
    <xf numFmtId="165" fontId="3" fillId="0" borderId="112" xfId="0" applyNumberFormat="1" applyFont="1" applyFill="1" applyBorder="1" applyAlignment="1">
      <alignment horizontal="center"/>
    </xf>
    <xf numFmtId="165" fontId="3" fillId="0" borderId="52" xfId="0" applyNumberFormat="1" applyFont="1" applyFill="1" applyBorder="1" applyAlignment="1">
      <alignment horizontal="center"/>
    </xf>
    <xf numFmtId="165" fontId="3" fillId="0" borderId="107" xfId="0" applyNumberFormat="1" applyFont="1" applyFill="1" applyBorder="1" applyAlignment="1">
      <alignment horizontal="center"/>
    </xf>
    <xf numFmtId="49" fontId="4" fillId="0" borderId="9" xfId="0" applyNumberFormat="1" applyFont="1" applyFill="1" applyBorder="1"/>
    <xf numFmtId="165" fontId="3" fillId="0" borderId="0" xfId="0" applyNumberFormat="1" applyFont="1" applyFill="1" applyAlignment="1">
      <alignment horizontal="center"/>
    </xf>
    <xf numFmtId="165" fontId="4" fillId="0" borderId="12" xfId="0" applyNumberFormat="1" applyFont="1" applyFill="1" applyBorder="1" applyAlignment="1">
      <alignment horizontal="center"/>
    </xf>
    <xf numFmtId="49" fontId="3" fillId="0" borderId="0" xfId="0" applyNumberFormat="1" applyFont="1" applyFill="1"/>
    <xf numFmtId="0" fontId="3" fillId="0" borderId="9" xfId="0" applyFont="1" applyFill="1" applyBorder="1"/>
    <xf numFmtId="0" fontId="0" fillId="0" borderId="0" xfId="0" applyFill="1"/>
    <xf numFmtId="0" fontId="0" fillId="0" borderId="12" xfId="0" applyFill="1" applyBorder="1"/>
    <xf numFmtId="49" fontId="3" fillId="0" borderId="9" xfId="0" applyNumberFormat="1" applyFont="1" applyFill="1" applyBorder="1"/>
    <xf numFmtId="165" fontId="3" fillId="0" borderId="12" xfId="0" applyNumberFormat="1" applyFont="1" applyFill="1" applyBorder="1" applyAlignment="1">
      <alignment horizontal="center"/>
    </xf>
    <xf numFmtId="0" fontId="3" fillId="0" borderId="10" xfId="0" applyFont="1" applyFill="1" applyBorder="1"/>
    <xf numFmtId="165" fontId="3" fillId="0" borderId="11" xfId="0" applyNumberFormat="1" applyFont="1" applyFill="1" applyBorder="1" applyAlignment="1">
      <alignment horizontal="left"/>
    </xf>
    <xf numFmtId="0" fontId="3" fillId="0" borderId="11" xfId="0" applyFont="1" applyFill="1" applyBorder="1" applyAlignment="1">
      <alignment horizontal="left"/>
    </xf>
    <xf numFmtId="165" fontId="3" fillId="0" borderId="13" xfId="0" applyNumberFormat="1" applyFont="1" applyFill="1" applyBorder="1" applyAlignment="1">
      <alignment horizontal="left"/>
    </xf>
    <xf numFmtId="0" fontId="3" fillId="0" borderId="0" xfId="0" applyFont="1" applyFill="1" applyAlignment="1">
      <alignment horizontal="right"/>
    </xf>
    <xf numFmtId="165" fontId="3" fillId="0" borderId="0" xfId="0" applyNumberFormat="1" applyFont="1" applyFill="1" applyAlignment="1">
      <alignment horizontal="right"/>
    </xf>
    <xf numFmtId="1" fontId="7" fillId="0" borderId="0" xfId="0" applyNumberFormat="1" applyFont="1" applyFill="1" applyAlignment="1">
      <alignment horizontal="center"/>
    </xf>
    <xf numFmtId="0" fontId="15" fillId="0" borderId="0" xfId="0" applyFont="1" applyFill="1" applyAlignment="1">
      <alignment horizontal="centerContinuous" wrapText="1"/>
    </xf>
    <xf numFmtId="0" fontId="3" fillId="0" borderId="0" xfId="0" applyFont="1" applyFill="1" applyAlignment="1">
      <alignment horizontal="centerContinuous"/>
    </xf>
    <xf numFmtId="165" fontId="4" fillId="0" borderId="110" xfId="0" applyNumberFormat="1" applyFont="1" applyFill="1" applyBorder="1" applyAlignment="1">
      <alignment horizontal="centerContinuous"/>
    </xf>
    <xf numFmtId="165" fontId="4" fillId="0" borderId="64" xfId="0" applyNumberFormat="1" applyFont="1" applyFill="1" applyBorder="1" applyAlignment="1">
      <alignment horizontal="centerContinuous"/>
    </xf>
    <xf numFmtId="165" fontId="57" fillId="0" borderId="75" xfId="0" applyNumberFormat="1" applyFont="1" applyFill="1" applyBorder="1" applyAlignment="1">
      <alignment horizontal="centerContinuous"/>
    </xf>
    <xf numFmtId="165" fontId="4" fillId="0" borderId="102" xfId="0" applyNumberFormat="1" applyFont="1" applyFill="1" applyBorder="1" applyAlignment="1">
      <alignment horizontal="centerContinuous"/>
    </xf>
    <xf numFmtId="0" fontId="4" fillId="0" borderId="75" xfId="0" applyFont="1" applyFill="1" applyBorder="1"/>
    <xf numFmtId="165" fontId="8" fillId="0" borderId="80" xfId="0" applyNumberFormat="1" applyFont="1" applyFill="1" applyBorder="1" applyAlignment="1">
      <alignment horizontal="center" wrapText="1"/>
    </xf>
    <xf numFmtId="165" fontId="8" fillId="0" borderId="159" xfId="0" applyNumberFormat="1" applyFont="1" applyFill="1" applyBorder="1" applyAlignment="1">
      <alignment horizontal="center" wrapText="1"/>
    </xf>
    <xf numFmtId="165" fontId="8" fillId="0" borderId="110" xfId="0" applyNumberFormat="1" applyFont="1" applyFill="1" applyBorder="1" applyAlignment="1">
      <alignment horizontal="center" wrapText="1"/>
    </xf>
    <xf numFmtId="165" fontId="8" fillId="0" borderId="64" xfId="0" applyNumberFormat="1" applyFont="1" applyFill="1" applyBorder="1" applyAlignment="1">
      <alignment horizontal="center" wrapText="1"/>
    </xf>
    <xf numFmtId="49" fontId="27" fillId="0" borderId="25" xfId="0" applyNumberFormat="1" applyFont="1" applyFill="1" applyBorder="1" applyAlignment="1">
      <alignment horizontal="left" vertical="center" wrapText="1" indent="1"/>
    </xf>
    <xf numFmtId="165" fontId="3" fillId="0" borderId="146" xfId="0" applyNumberFormat="1" applyFont="1" applyFill="1" applyBorder="1" applyAlignment="1">
      <alignment horizontal="center"/>
    </xf>
    <xf numFmtId="165" fontId="3" fillId="0" borderId="151" xfId="0" applyNumberFormat="1" applyFont="1" applyFill="1" applyBorder="1" applyAlignment="1">
      <alignment horizontal="center"/>
    </xf>
    <xf numFmtId="165" fontId="3" fillId="0" borderId="158" xfId="0" applyNumberFormat="1" applyFont="1" applyFill="1" applyBorder="1" applyAlignment="1">
      <alignment horizontal="center"/>
    </xf>
    <xf numFmtId="165" fontId="3" fillId="0" borderId="96" xfId="0" applyNumberFormat="1" applyFont="1" applyFill="1" applyBorder="1" applyAlignment="1">
      <alignment horizontal="center"/>
    </xf>
    <xf numFmtId="49" fontId="27" fillId="0" borderId="1" xfId="0" applyNumberFormat="1" applyFont="1" applyFill="1" applyBorder="1" applyAlignment="1">
      <alignment horizontal="left" vertical="center" wrapText="1" indent="1"/>
    </xf>
    <xf numFmtId="165" fontId="3" fillId="0" borderId="128" xfId="0" applyNumberFormat="1" applyFont="1" applyFill="1" applyBorder="1" applyAlignment="1">
      <alignment horizontal="center"/>
    </xf>
    <xf numFmtId="165" fontId="3" fillId="0" borderId="87" xfId="0" applyNumberFormat="1" applyFont="1" applyFill="1" applyBorder="1" applyAlignment="1">
      <alignment horizontal="center"/>
    </xf>
    <xf numFmtId="165" fontId="3" fillId="0" borderId="135" xfId="0" applyNumberFormat="1" applyFont="1" applyFill="1" applyBorder="1" applyAlignment="1">
      <alignment horizontal="center"/>
    </xf>
    <xf numFmtId="165" fontId="3" fillId="0" borderId="65" xfId="0" applyNumberFormat="1" applyFont="1" applyFill="1" applyBorder="1" applyAlignment="1">
      <alignment horizontal="center"/>
    </xf>
    <xf numFmtId="0" fontId="3" fillId="0" borderId="0" xfId="0" applyFont="1" applyFill="1" applyAlignment="1">
      <alignment vertical="center"/>
    </xf>
    <xf numFmtId="49" fontId="27" fillId="0" borderId="16" xfId="0" applyNumberFormat="1" applyFont="1" applyFill="1" applyBorder="1" applyAlignment="1">
      <alignment horizontal="left" vertical="center" wrapText="1" indent="1"/>
    </xf>
    <xf numFmtId="165" fontId="3" fillId="0" borderId="129" xfId="0" applyNumberFormat="1" applyFont="1" applyFill="1" applyBorder="1" applyAlignment="1">
      <alignment horizontal="center"/>
    </xf>
    <xf numFmtId="165" fontId="3" fillId="0" borderId="200" xfId="0" applyNumberFormat="1" applyFont="1" applyFill="1" applyBorder="1" applyAlignment="1">
      <alignment horizontal="center"/>
    </xf>
    <xf numFmtId="165" fontId="3" fillId="0" borderId="201" xfId="0" applyNumberFormat="1" applyFont="1" applyFill="1" applyBorder="1" applyAlignment="1">
      <alignment horizontal="center"/>
    </xf>
    <xf numFmtId="165" fontId="3" fillId="0" borderId="81" xfId="0" applyNumberFormat="1" applyFont="1" applyFill="1" applyBorder="1" applyAlignment="1">
      <alignment horizontal="center"/>
    </xf>
    <xf numFmtId="49" fontId="3" fillId="0" borderId="2" xfId="0" applyNumberFormat="1" applyFont="1" applyFill="1" applyBorder="1"/>
    <xf numFmtId="0" fontId="3" fillId="0" borderId="8" xfId="0" applyFont="1" applyFill="1" applyBorder="1"/>
    <xf numFmtId="165" fontId="3" fillId="0" borderId="8" xfId="0" applyNumberFormat="1" applyFont="1" applyFill="1" applyBorder="1" applyAlignment="1">
      <alignment horizontal="center"/>
    </xf>
    <xf numFmtId="165" fontId="3" fillId="0" borderId="29" xfId="0" applyNumberFormat="1" applyFont="1" applyFill="1" applyBorder="1" applyAlignment="1">
      <alignment horizontal="center"/>
    </xf>
    <xf numFmtId="49" fontId="3" fillId="0" borderId="12" xfId="0" applyNumberFormat="1" applyFont="1" applyFill="1" applyBorder="1"/>
    <xf numFmtId="49" fontId="5" fillId="0" borderId="0" xfId="0" applyNumberFormat="1" applyFont="1" applyFill="1" applyAlignment="1">
      <alignment horizontal="centerContinuous" vertical="center" wrapText="1"/>
    </xf>
    <xf numFmtId="0" fontId="3" fillId="0" borderId="0" xfId="0" applyFont="1" applyFill="1" applyAlignment="1">
      <alignment horizontal="centerContinuous" vertical="center"/>
    </xf>
    <xf numFmtId="165" fontId="3" fillId="0" borderId="0" xfId="0" applyNumberFormat="1" applyFont="1" applyFill="1" applyAlignment="1">
      <alignment horizontal="centerContinuous" vertical="center"/>
    </xf>
    <xf numFmtId="0" fontId="4" fillId="0" borderId="0" xfId="0" applyFont="1" applyFill="1"/>
    <xf numFmtId="49" fontId="5" fillId="0" borderId="0" xfId="0" applyNumberFormat="1" applyFont="1" applyFill="1" applyAlignment="1">
      <alignment horizontal="centerContinuous" wrapText="1"/>
    </xf>
    <xf numFmtId="0" fontId="4" fillId="0" borderId="0" xfId="0" applyFont="1" applyFill="1" applyAlignment="1">
      <alignment horizontal="center"/>
    </xf>
    <xf numFmtId="165" fontId="4" fillId="0" borderId="0" xfId="0" applyNumberFormat="1" applyFont="1" applyFill="1" applyAlignment="1">
      <alignment horizontal="center"/>
    </xf>
    <xf numFmtId="165" fontId="4" fillId="0" borderId="75" xfId="0" applyNumberFormat="1" applyFont="1" applyFill="1" applyBorder="1" applyAlignment="1">
      <alignment horizontal="centerContinuous"/>
    </xf>
    <xf numFmtId="0" fontId="13" fillId="0" borderId="15" xfId="0" applyFont="1" applyFill="1" applyBorder="1" applyAlignment="1">
      <alignment horizontal="centerContinuous"/>
    </xf>
    <xf numFmtId="165" fontId="4" fillId="0" borderId="80" xfId="0" applyNumberFormat="1" applyFont="1" applyFill="1" applyBorder="1" applyAlignment="1">
      <alignment horizontal="centerContinuous" wrapText="1"/>
    </xf>
    <xf numFmtId="0" fontId="13" fillId="0" borderId="53" xfId="0" applyFont="1" applyFill="1" applyBorder="1" applyAlignment="1">
      <alignment horizontal="centerContinuous"/>
    </xf>
    <xf numFmtId="0" fontId="13" fillId="0" borderId="64" xfId="0" applyFont="1" applyFill="1" applyBorder="1" applyAlignment="1">
      <alignment horizontal="centerContinuous"/>
    </xf>
    <xf numFmtId="165" fontId="4" fillId="0" borderId="25" xfId="0" applyNumberFormat="1" applyFont="1" applyFill="1" applyBorder="1" applyAlignment="1">
      <alignment horizontal="centerContinuous"/>
    </xf>
    <xf numFmtId="0" fontId="4" fillId="0" borderId="40" xfId="0" applyFont="1" applyFill="1" applyBorder="1" applyAlignment="1">
      <alignment horizontal="centerContinuous"/>
    </xf>
    <xf numFmtId="0" fontId="4" fillId="0" borderId="161" xfId="0" applyFont="1" applyFill="1" applyBorder="1" applyAlignment="1">
      <alignment horizontal="centerContinuous"/>
    </xf>
    <xf numFmtId="165" fontId="4" fillId="0" borderId="35" xfId="0" applyNumberFormat="1" applyFont="1" applyFill="1" applyBorder="1" applyAlignment="1">
      <alignment horizontal="centerContinuous"/>
    </xf>
    <xf numFmtId="0" fontId="4" fillId="0" borderId="88" xfId="0" applyFont="1" applyFill="1" applyBorder="1" applyAlignment="1">
      <alignment horizontal="centerContinuous"/>
    </xf>
    <xf numFmtId="0" fontId="4" fillId="0" borderId="163" xfId="0" applyFont="1" applyFill="1" applyBorder="1" applyAlignment="1">
      <alignment horizontal="centerContinuous"/>
    </xf>
    <xf numFmtId="49" fontId="4" fillId="0" borderId="168" xfId="0" applyNumberFormat="1" applyFont="1" applyFill="1" applyBorder="1" applyAlignment="1">
      <alignment horizontal="centerContinuous"/>
    </xf>
    <xf numFmtId="11" fontId="4" fillId="0" borderId="139" xfId="0" applyNumberFormat="1" applyFont="1" applyFill="1" applyBorder="1" applyAlignment="1">
      <alignment horizontal="center" wrapText="1"/>
    </xf>
    <xf numFmtId="11" fontId="11" fillId="0" borderId="19" xfId="0" applyNumberFormat="1" applyFont="1" applyFill="1" applyBorder="1" applyAlignment="1">
      <alignment horizontal="center" wrapText="1"/>
    </xf>
    <xf numFmtId="11" fontId="4" fillId="0" borderId="20" xfId="0" applyNumberFormat="1" applyFont="1" applyFill="1" applyBorder="1" applyAlignment="1">
      <alignment horizontal="center" wrapText="1"/>
    </xf>
    <xf numFmtId="0" fontId="4" fillId="0" borderId="21" xfId="0" applyFont="1" applyFill="1" applyBorder="1" applyAlignment="1">
      <alignment horizontal="center" wrapText="1"/>
    </xf>
    <xf numFmtId="165" fontId="4" fillId="0" borderId="82" xfId="0" applyNumberFormat="1" applyFont="1" applyFill="1" applyBorder="1" applyAlignment="1">
      <alignment horizontal="center" wrapText="1"/>
    </xf>
    <xf numFmtId="165" fontId="4" fillId="0" borderId="128" xfId="0" applyNumberFormat="1" applyFont="1" applyFill="1" applyBorder="1" applyAlignment="1">
      <alignment horizontal="center" wrapText="1"/>
    </xf>
    <xf numFmtId="165" fontId="4" fillId="0" borderId="59" xfId="0" applyNumberFormat="1" applyFont="1" applyFill="1" applyBorder="1" applyAlignment="1">
      <alignment horizontal="center" wrapText="1"/>
    </xf>
    <xf numFmtId="165" fontId="4" fillId="0" borderId="49" xfId="0" applyNumberFormat="1" applyFont="1" applyFill="1" applyBorder="1" applyAlignment="1">
      <alignment horizontal="center" wrapText="1"/>
    </xf>
    <xf numFmtId="165" fontId="4" fillId="0" borderId="36" xfId="0" applyNumberFormat="1" applyFont="1" applyFill="1" applyBorder="1" applyAlignment="1">
      <alignment horizontal="center" wrapText="1"/>
    </xf>
    <xf numFmtId="165" fontId="4" fillId="0" borderId="60" xfId="0" applyNumberFormat="1" applyFont="1" applyFill="1" applyBorder="1" applyAlignment="1">
      <alignment horizontal="center" wrapText="1"/>
    </xf>
    <xf numFmtId="49" fontId="4" fillId="0" borderId="165" xfId="0" applyNumberFormat="1" applyFont="1" applyFill="1" applyBorder="1"/>
    <xf numFmtId="11" fontId="4" fillId="0" borderId="85" xfId="0" applyNumberFormat="1" applyFont="1" applyFill="1" applyBorder="1" applyAlignment="1">
      <alignment horizontal="center"/>
    </xf>
    <xf numFmtId="11" fontId="11" fillId="0" borderId="105" xfId="0" applyNumberFormat="1" applyFont="1" applyFill="1" applyBorder="1" applyAlignment="1">
      <alignment horizontal="center"/>
    </xf>
    <xf numFmtId="11" fontId="4" fillId="0" borderId="24" xfId="0" applyNumberFormat="1" applyFont="1" applyFill="1" applyBorder="1" applyAlignment="1">
      <alignment horizontal="center"/>
    </xf>
    <xf numFmtId="0" fontId="4" fillId="0" borderId="101" xfId="0" applyFont="1" applyFill="1" applyBorder="1" applyAlignment="1">
      <alignment horizontal="center"/>
    </xf>
    <xf numFmtId="165" fontId="4" fillId="0" borderId="105" xfId="0" applyNumberFormat="1" applyFont="1" applyFill="1" applyBorder="1" applyAlignment="1">
      <alignment horizontal="center"/>
    </xf>
    <xf numFmtId="165" fontId="4" fillId="0" borderId="24" xfId="0" applyNumberFormat="1" applyFont="1" applyFill="1" applyBorder="1" applyAlignment="1">
      <alignment horizontal="center"/>
    </xf>
    <xf numFmtId="165" fontId="4" fillId="0" borderId="55" xfId="0" applyNumberFormat="1" applyFont="1" applyFill="1" applyBorder="1" applyAlignment="1">
      <alignment horizontal="center"/>
    </xf>
    <xf numFmtId="165" fontId="4" fillId="0" borderId="173" xfId="0" applyNumberFormat="1" applyFont="1" applyFill="1" applyBorder="1" applyAlignment="1">
      <alignment horizontal="center"/>
    </xf>
    <xf numFmtId="0" fontId="27" fillId="0" borderId="158" xfId="0" applyFont="1" applyFill="1" applyBorder="1"/>
    <xf numFmtId="11" fontId="27" fillId="0" borderId="95" xfId="0" applyNumberFormat="1" applyFont="1" applyFill="1" applyBorder="1" applyAlignment="1">
      <alignment horizontal="center"/>
    </xf>
    <xf numFmtId="11" fontId="27" fillId="0" borderId="148" xfId="0" applyNumberFormat="1" applyFont="1" applyFill="1" applyBorder="1" applyAlignment="1">
      <alignment horizontal="center"/>
    </xf>
    <xf numFmtId="11" fontId="27" fillId="0" borderId="151" xfId="0" applyNumberFormat="1" applyFont="1" applyFill="1" applyBorder="1" applyAlignment="1">
      <alignment horizontal="center"/>
    </xf>
    <xf numFmtId="165" fontId="27" fillId="0" borderId="147" xfId="0" applyNumberFormat="1" applyFont="1" applyFill="1" applyBorder="1" applyAlignment="1">
      <alignment horizontal="center"/>
    </xf>
    <xf numFmtId="165" fontId="27" fillId="0" borderId="146" xfId="0" applyNumberFormat="1" applyFont="1" applyFill="1" applyBorder="1" applyAlignment="1">
      <alignment horizontal="center"/>
    </xf>
    <xf numFmtId="165" fontId="27" fillId="0" borderId="148" xfId="0" applyNumberFormat="1" applyFont="1" applyFill="1" applyBorder="1" applyAlignment="1">
      <alignment horizontal="center"/>
    </xf>
    <xf numFmtId="165" fontId="27" fillId="0" borderId="96" xfId="0" applyNumberFormat="1" applyFont="1" applyFill="1" applyBorder="1" applyAlignment="1">
      <alignment horizontal="center"/>
    </xf>
    <xf numFmtId="0" fontId="27" fillId="0" borderId="135" xfId="0" applyFont="1" applyFill="1" applyBorder="1"/>
    <xf numFmtId="11" fontId="27" fillId="0" borderId="37" xfId="0" applyNumberFormat="1" applyFont="1" applyFill="1" applyBorder="1" applyAlignment="1">
      <alignment horizontal="center"/>
    </xf>
    <xf numFmtId="11" fontId="27" fillId="0" borderId="59" xfId="0" applyNumberFormat="1" applyFont="1" applyFill="1" applyBorder="1" applyAlignment="1">
      <alignment horizontal="center"/>
    </xf>
    <xf numFmtId="11" fontId="27" fillId="0" borderId="87" xfId="0" applyNumberFormat="1" applyFont="1" applyFill="1" applyBorder="1" applyAlignment="1">
      <alignment horizontal="center"/>
    </xf>
    <xf numFmtId="165" fontId="27" fillId="0" borderId="49" xfId="0" applyNumberFormat="1" applyFont="1" applyFill="1" applyBorder="1" applyAlignment="1">
      <alignment horizontal="center"/>
    </xf>
    <xf numFmtId="165" fontId="27" fillId="0" borderId="128" xfId="0" applyNumberFormat="1" applyFont="1" applyFill="1" applyBorder="1" applyAlignment="1">
      <alignment horizontal="center"/>
    </xf>
    <xf numFmtId="165" fontId="27" fillId="0" borderId="59" xfId="0" applyNumberFormat="1" applyFont="1" applyFill="1" applyBorder="1" applyAlignment="1">
      <alignment horizontal="center"/>
    </xf>
    <xf numFmtId="165" fontId="27" fillId="0" borderId="65" xfId="0" applyNumberFormat="1" applyFont="1" applyFill="1" applyBorder="1" applyAlignment="1">
      <alignment horizontal="center"/>
    </xf>
    <xf numFmtId="0" fontId="27" fillId="0" borderId="201" xfId="0" applyFont="1" applyFill="1" applyBorder="1"/>
    <xf numFmtId="11" fontId="27" fillId="0" borderId="112" xfId="0" applyNumberFormat="1" applyFont="1" applyFill="1" applyBorder="1" applyAlignment="1">
      <alignment horizontal="center"/>
    </xf>
    <xf numFmtId="11" fontId="27" fillId="0" borderId="61" xfId="0" applyNumberFormat="1" applyFont="1" applyFill="1" applyBorder="1" applyAlignment="1">
      <alignment horizontal="center"/>
    </xf>
    <xf numFmtId="11" fontId="27" fillId="0" borderId="200" xfId="0" applyNumberFormat="1" applyFont="1" applyFill="1" applyBorder="1" applyAlignment="1">
      <alignment horizontal="center"/>
    </xf>
    <xf numFmtId="165" fontId="27" fillId="0" borderId="52" xfId="0" applyNumberFormat="1" applyFont="1" applyFill="1" applyBorder="1" applyAlignment="1">
      <alignment horizontal="center"/>
    </xf>
    <xf numFmtId="165" fontId="27" fillId="0" borderId="129" xfId="0" applyNumberFormat="1" applyFont="1" applyFill="1" applyBorder="1" applyAlignment="1">
      <alignment horizontal="center"/>
    </xf>
    <xf numFmtId="165" fontId="27" fillId="0" borderId="61" xfId="0" applyNumberFormat="1" applyFont="1" applyFill="1" applyBorder="1" applyAlignment="1">
      <alignment horizontal="center"/>
    </xf>
    <xf numFmtId="165" fontId="27" fillId="0" borderId="81" xfId="0" applyNumberFormat="1" applyFont="1" applyFill="1" applyBorder="1" applyAlignment="1">
      <alignment horizontal="center"/>
    </xf>
    <xf numFmtId="0" fontId="3" fillId="0" borderId="12" xfId="0" applyFont="1" applyFill="1" applyBorder="1"/>
    <xf numFmtId="0" fontId="3" fillId="0" borderId="9" xfId="0" applyFont="1" applyFill="1" applyBorder="1" applyAlignment="1">
      <alignment horizontal="left"/>
    </xf>
    <xf numFmtId="165" fontId="2" fillId="0" borderId="0" xfId="0" applyNumberFormat="1" applyFont="1" applyFill="1"/>
    <xf numFmtId="0" fontId="7" fillId="0" borderId="0" xfId="0" applyFont="1" applyFill="1"/>
    <xf numFmtId="0" fontId="5" fillId="0" borderId="0" xfId="0" applyFont="1" applyFill="1" applyAlignment="1">
      <alignment horizontal="centerContinuous"/>
    </xf>
    <xf numFmtId="1" fontId="4" fillId="0" borderId="0" xfId="0" applyNumberFormat="1" applyFont="1" applyFill="1" applyAlignment="1">
      <alignment horizontal="centerContinuous"/>
    </xf>
    <xf numFmtId="1" fontId="11" fillId="0" borderId="0" xfId="0" applyNumberFormat="1" applyFont="1" applyFill="1" applyAlignment="1">
      <alignment horizontal="centerContinuous"/>
    </xf>
    <xf numFmtId="11" fontId="4" fillId="0" borderId="0" xfId="0" applyNumberFormat="1" applyFont="1" applyFill="1" applyAlignment="1">
      <alignment horizontal="centerContinuous"/>
    </xf>
    <xf numFmtId="11" fontId="67" fillId="0" borderId="0" xfId="0" applyNumberFormat="1" applyFont="1" applyFill="1" applyAlignment="1">
      <alignment horizontal="centerContinuous"/>
    </xf>
    <xf numFmtId="11" fontId="67" fillId="0" borderId="0" xfId="0" applyNumberFormat="1" applyFont="1" applyFill="1" applyAlignment="1">
      <alignment horizontal="centerContinuous" vertical="center"/>
    </xf>
    <xf numFmtId="0" fontId="4" fillId="0" borderId="0" xfId="0" applyFont="1" applyFill="1" applyAlignment="1">
      <alignment horizontal="left"/>
    </xf>
    <xf numFmtId="1" fontId="73" fillId="0" borderId="0" xfId="0" applyNumberFormat="1" applyFont="1" applyFill="1" applyAlignment="1">
      <alignment horizontal="left"/>
    </xf>
    <xf numFmtId="1" fontId="3" fillId="0" borderId="0" xfId="0" applyNumberFormat="1" applyFont="1" applyFill="1" applyAlignment="1">
      <alignment horizontal="center"/>
    </xf>
    <xf numFmtId="11" fontId="73" fillId="0" borderId="0" xfId="0" applyNumberFormat="1" applyFont="1" applyFill="1" applyAlignment="1">
      <alignment horizontal="center"/>
    </xf>
    <xf numFmtId="11" fontId="3" fillId="0" borderId="0" xfId="0" applyNumberFormat="1" applyFont="1" applyFill="1" applyAlignment="1">
      <alignment horizontal="center"/>
    </xf>
    <xf numFmtId="11" fontId="68" fillId="0" borderId="0" xfId="0" applyNumberFormat="1" applyFont="1" applyFill="1" applyAlignment="1">
      <alignment horizontal="center"/>
    </xf>
    <xf numFmtId="11" fontId="67" fillId="0" borderId="20" xfId="0" applyNumberFormat="1" applyFont="1" applyFill="1" applyBorder="1" applyAlignment="1">
      <alignment horizontal="center" wrapText="1"/>
    </xf>
    <xf numFmtId="11" fontId="67" fillId="0" borderId="104" xfId="0" applyNumberFormat="1" applyFont="1" applyFill="1" applyBorder="1" applyAlignment="1">
      <alignment horizontal="center" wrapText="1"/>
    </xf>
    <xf numFmtId="11" fontId="67" fillId="0" borderId="59" xfId="0" applyNumberFormat="1" applyFont="1" applyFill="1" applyBorder="1" applyAlignment="1">
      <alignment horizontal="center"/>
    </xf>
    <xf numFmtId="11" fontId="67" fillId="0" borderId="65" xfId="0" applyNumberFormat="1" applyFont="1" applyFill="1" applyBorder="1" applyAlignment="1">
      <alignment horizontal="center"/>
    </xf>
    <xf numFmtId="0" fontId="67" fillId="0" borderId="24" xfId="0" applyFont="1" applyFill="1" applyBorder="1" applyAlignment="1">
      <alignment horizontal="center"/>
    </xf>
    <xf numFmtId="11" fontId="67" fillId="0" borderId="24" xfId="0" applyNumberFormat="1" applyFont="1" applyFill="1" applyBorder="1" applyAlignment="1">
      <alignment horizontal="center"/>
    </xf>
    <xf numFmtId="11" fontId="67" fillId="0" borderId="28" xfId="0" applyNumberFormat="1" applyFont="1" applyFill="1" applyBorder="1" applyAlignment="1">
      <alignment horizontal="center"/>
    </xf>
    <xf numFmtId="0" fontId="68" fillId="0" borderId="79" xfId="0" applyFont="1" applyFill="1" applyBorder="1" applyAlignment="1">
      <alignment horizontal="center" vertical="center"/>
    </xf>
    <xf numFmtId="49" fontId="68" fillId="0" borderId="134" xfId="0" applyNumberFormat="1" applyFont="1" applyFill="1" applyBorder="1" applyAlignment="1">
      <alignment horizontal="center" vertical="center"/>
    </xf>
    <xf numFmtId="1" fontId="68" fillId="0" borderId="134" xfId="0" applyNumberFormat="1" applyFont="1" applyFill="1" applyBorder="1" applyAlignment="1">
      <alignment horizontal="center" vertical="center"/>
    </xf>
    <xf numFmtId="11" fontId="66" fillId="0" borderId="134" xfId="0" applyNumberFormat="1" applyFont="1" applyFill="1" applyBorder="1" applyAlignment="1">
      <alignment horizontal="center" vertical="center"/>
    </xf>
    <xf numFmtId="11" fontId="68" fillId="0" borderId="134" xfId="0" applyNumberFormat="1" applyFont="1" applyFill="1" applyBorder="1" applyAlignment="1">
      <alignment horizontal="center" vertical="center"/>
    </xf>
    <xf numFmtId="11" fontId="68" fillId="0" borderId="123" xfId="0" applyNumberFormat="1" applyFont="1" applyFill="1" applyBorder="1" applyAlignment="1">
      <alignment horizontal="center" vertical="center"/>
    </xf>
    <xf numFmtId="165" fontId="68" fillId="0" borderId="134" xfId="0" applyNumberFormat="1" applyFont="1" applyFill="1" applyBorder="1" applyAlignment="1">
      <alignment horizontal="center" vertical="center"/>
    </xf>
    <xf numFmtId="11" fontId="68" fillId="0" borderId="133" xfId="0" applyNumberFormat="1" applyFont="1" applyFill="1" applyBorder="1" applyAlignment="1">
      <alignment horizontal="center" vertical="center"/>
    </xf>
    <xf numFmtId="165" fontId="3" fillId="0" borderId="0" xfId="0" applyNumberFormat="1" applyFont="1" applyFill="1" applyAlignment="1">
      <alignment horizontal="center" vertical="center"/>
    </xf>
    <xf numFmtId="165" fontId="3" fillId="0" borderId="0" xfId="0" applyNumberFormat="1" applyFont="1" applyFill="1" applyAlignment="1">
      <alignment vertical="center"/>
    </xf>
    <xf numFmtId="0" fontId="76" fillId="0" borderId="0" xfId="0" applyFont="1" applyFill="1" applyAlignment="1">
      <alignment horizontal="left" vertical="center"/>
    </xf>
    <xf numFmtId="0" fontId="68" fillId="0" borderId="17" xfId="0" applyFont="1" applyFill="1" applyBorder="1" applyAlignment="1">
      <alignment horizontal="center" vertical="center"/>
    </xf>
    <xf numFmtId="1" fontId="68" fillId="0" borderId="59" xfId="0" applyNumberFormat="1" applyFont="1" applyFill="1" applyBorder="1" applyAlignment="1">
      <alignment horizontal="center" vertical="center"/>
    </xf>
    <xf numFmtId="11" fontId="68" fillId="0" borderId="59" xfId="0" applyNumberFormat="1" applyFont="1" applyFill="1" applyBorder="1" applyAlignment="1">
      <alignment horizontal="center" vertical="center"/>
    </xf>
    <xf numFmtId="11" fontId="68" fillId="0" borderId="87" xfId="0" applyNumberFormat="1" applyFont="1" applyFill="1" applyBorder="1" applyAlignment="1">
      <alignment horizontal="center" vertical="center"/>
    </xf>
    <xf numFmtId="11" fontId="68" fillId="0" borderId="65" xfId="0" applyNumberFormat="1" applyFont="1" applyFill="1" applyBorder="1" applyAlignment="1">
      <alignment horizontal="center" vertical="center"/>
    </xf>
    <xf numFmtId="0" fontId="66" fillId="0" borderId="0" xfId="0" applyFont="1" applyFill="1" applyAlignment="1">
      <alignment vertical="center"/>
    </xf>
    <xf numFmtId="49" fontId="68" fillId="0" borderId="59" xfId="0" applyNumberFormat="1" applyFont="1" applyFill="1" applyBorder="1" applyAlignment="1">
      <alignment horizontal="center" vertical="center"/>
    </xf>
    <xf numFmtId="11" fontId="66" fillId="0" borderId="59" xfId="0" applyNumberFormat="1" applyFont="1" applyFill="1" applyBorder="1" applyAlignment="1">
      <alignment horizontal="center" vertical="center"/>
    </xf>
    <xf numFmtId="165" fontId="68" fillId="0" borderId="59" xfId="0" applyNumberFormat="1" applyFont="1" applyFill="1" applyBorder="1" applyAlignment="1">
      <alignment horizontal="center" vertical="center"/>
    </xf>
    <xf numFmtId="165" fontId="3" fillId="0" borderId="0" xfId="0" applyNumberFormat="1" applyFont="1" applyFill="1" applyAlignment="1">
      <alignment horizontal="left" vertical="center"/>
    </xf>
    <xf numFmtId="0" fontId="66" fillId="0" borderId="17" xfId="0" applyFont="1" applyFill="1" applyBorder="1" applyAlignment="1">
      <alignment horizontal="center" vertical="center"/>
    </xf>
    <xf numFmtId="49" fontId="66" fillId="0" borderId="134" xfId="0" applyNumberFormat="1" applyFont="1" applyFill="1" applyBorder="1" applyAlignment="1">
      <alignment horizontal="center" vertical="center"/>
    </xf>
    <xf numFmtId="1" fontId="66" fillId="0" borderId="134" xfId="0" applyNumberFormat="1" applyFont="1" applyFill="1" applyBorder="1" applyAlignment="1">
      <alignment horizontal="center" vertical="center"/>
    </xf>
    <xf numFmtId="1" fontId="66" fillId="0" borderId="59" xfId="0" applyNumberFormat="1" applyFont="1" applyFill="1" applyBorder="1" applyAlignment="1">
      <alignment horizontal="center" vertical="center"/>
    </xf>
    <xf numFmtId="11" fontId="66" fillId="0" borderId="87" xfId="0" applyNumberFormat="1" applyFont="1" applyFill="1" applyBorder="1" applyAlignment="1">
      <alignment horizontal="center" vertical="center"/>
    </xf>
    <xf numFmtId="165" fontId="66" fillId="0" borderId="134" xfId="0" applyNumberFormat="1" applyFont="1" applyFill="1" applyBorder="1" applyAlignment="1">
      <alignment horizontal="center" vertical="center"/>
    </xf>
    <xf numFmtId="11" fontId="66" fillId="0" borderId="65" xfId="0" applyNumberFormat="1" applyFont="1" applyFill="1" applyBorder="1" applyAlignment="1">
      <alignment horizontal="center" vertical="center"/>
    </xf>
    <xf numFmtId="165" fontId="66" fillId="0" borderId="0" xfId="0" applyNumberFormat="1" applyFont="1" applyFill="1" applyAlignment="1">
      <alignment horizontal="left" vertical="center"/>
    </xf>
    <xf numFmtId="0" fontId="68" fillId="0" borderId="134" xfId="0" applyFont="1" applyFill="1" applyBorder="1" applyAlignment="1">
      <alignment horizontal="center" vertical="center" wrapText="1"/>
    </xf>
    <xf numFmtId="0" fontId="68" fillId="0" borderId="134" xfId="0" applyFont="1" applyFill="1" applyBorder="1" applyAlignment="1">
      <alignment horizontal="center" vertical="center"/>
    </xf>
    <xf numFmtId="11" fontId="68" fillId="0" borderId="23" xfId="0" applyNumberFormat="1" applyFont="1" applyFill="1" applyBorder="1" applyAlignment="1">
      <alignment horizontal="center" vertical="center"/>
    </xf>
    <xf numFmtId="49" fontId="105" fillId="0" borderId="67" xfId="0" applyNumberFormat="1" applyFont="1" applyFill="1" applyBorder="1" applyAlignment="1">
      <alignment horizontal="left" vertical="center" wrapText="1"/>
    </xf>
    <xf numFmtId="0" fontId="68" fillId="0" borderId="211" xfId="0" applyFont="1" applyFill="1" applyBorder="1" applyAlignment="1">
      <alignment horizontal="center" vertical="center"/>
    </xf>
    <xf numFmtId="49" fontId="68" fillId="0" borderId="23" xfId="0" applyNumberFormat="1" applyFont="1" applyFill="1" applyBorder="1" applyAlignment="1">
      <alignment horizontal="center" vertical="center"/>
    </xf>
    <xf numFmtId="1" fontId="68" fillId="0" borderId="23" xfId="0" applyNumberFormat="1" applyFont="1" applyFill="1" applyBorder="1" applyAlignment="1">
      <alignment horizontal="center" vertical="center"/>
    </xf>
    <xf numFmtId="11" fontId="68" fillId="0" borderId="193" xfId="0" applyNumberFormat="1" applyFont="1" applyFill="1" applyBorder="1" applyAlignment="1">
      <alignment horizontal="center" vertical="center"/>
    </xf>
    <xf numFmtId="11" fontId="68" fillId="0" borderId="73" xfId="0" applyNumberFormat="1" applyFont="1" applyFill="1" applyBorder="1" applyAlignment="1">
      <alignment horizontal="center" vertical="center"/>
    </xf>
    <xf numFmtId="11" fontId="68" fillId="0" borderId="67" xfId="0" applyNumberFormat="1" applyFont="1" applyFill="1" applyBorder="1" applyAlignment="1">
      <alignment horizontal="center" vertical="center"/>
    </xf>
    <xf numFmtId="165" fontId="68" fillId="0" borderId="23" xfId="0" applyNumberFormat="1" applyFont="1" applyFill="1" applyBorder="1" applyAlignment="1">
      <alignment horizontal="center" vertical="center"/>
    </xf>
    <xf numFmtId="49" fontId="68" fillId="0" borderId="59" xfId="0" applyNumberFormat="1" applyFont="1" applyFill="1" applyBorder="1" applyAlignment="1">
      <alignment horizontal="left" vertical="center" wrapText="1"/>
    </xf>
    <xf numFmtId="165" fontId="68" fillId="0" borderId="65" xfId="0" applyNumberFormat="1" applyFont="1" applyFill="1" applyBorder="1" applyAlignment="1">
      <alignment horizontal="center" vertical="center"/>
    </xf>
    <xf numFmtId="0" fontId="68" fillId="0" borderId="87" xfId="0" applyFont="1" applyFill="1" applyBorder="1" applyAlignment="1">
      <alignment horizontal="center" vertical="center"/>
    </xf>
    <xf numFmtId="49" fontId="68" fillId="0" borderId="128" xfId="0" applyNumberFormat="1" applyFont="1" applyFill="1" applyBorder="1" applyAlignment="1">
      <alignment horizontal="center" vertical="center"/>
    </xf>
    <xf numFmtId="49" fontId="68" fillId="0" borderId="61" xfId="0" applyNumberFormat="1" applyFont="1" applyFill="1" applyBorder="1" applyAlignment="1">
      <alignment horizontal="left" vertical="center" wrapText="1"/>
    </xf>
    <xf numFmtId="0" fontId="68" fillId="0" borderId="200" xfId="0" applyFont="1" applyFill="1" applyBorder="1" applyAlignment="1">
      <alignment horizontal="center" vertical="center"/>
    </xf>
    <xf numFmtId="49" fontId="68" fillId="0" borderId="129" xfId="0" applyNumberFormat="1" applyFont="1" applyFill="1" applyBorder="1" applyAlignment="1">
      <alignment horizontal="center" vertical="center"/>
    </xf>
    <xf numFmtId="1" fontId="68" fillId="0" borderId="61" xfId="0" applyNumberFormat="1" applyFont="1" applyFill="1" applyBorder="1" applyAlignment="1">
      <alignment horizontal="center" vertical="center"/>
    </xf>
    <xf numFmtId="11" fontId="68" fillId="0" borderId="61" xfId="0" applyNumberFormat="1" applyFont="1" applyFill="1" applyBorder="1" applyAlignment="1">
      <alignment horizontal="center" vertical="center"/>
    </xf>
    <xf numFmtId="165" fontId="68" fillId="0" borderId="61" xfId="0" applyNumberFormat="1" applyFont="1" applyFill="1" applyBorder="1" applyAlignment="1">
      <alignment horizontal="center" vertical="center"/>
    </xf>
    <xf numFmtId="49" fontId="4" fillId="0" borderId="2" xfId="0" applyNumberFormat="1" applyFont="1" applyFill="1" applyBorder="1"/>
    <xf numFmtId="49" fontId="71" fillId="0" borderId="8" xfId="0" applyNumberFormat="1" applyFont="1" applyFill="1" applyBorder="1"/>
    <xf numFmtId="0" fontId="2" fillId="0" borderId="8" xfId="0" applyFont="1" applyFill="1" applyBorder="1"/>
    <xf numFmtId="1" fontId="2" fillId="0" borderId="8" xfId="0" applyNumberFormat="1" applyFont="1" applyFill="1" applyBorder="1"/>
    <xf numFmtId="11" fontId="2" fillId="0" borderId="8" xfId="0" applyNumberFormat="1" applyFont="1" applyFill="1" applyBorder="1" applyAlignment="1">
      <alignment horizontal="center"/>
    </xf>
    <xf numFmtId="11" fontId="2" fillId="0" borderId="8" xfId="0" applyNumberFormat="1" applyFont="1" applyFill="1" applyBorder="1"/>
    <xf numFmtId="11" fontId="70" fillId="0" borderId="8" xfId="0" applyNumberFormat="1" applyFont="1" applyFill="1" applyBorder="1"/>
    <xf numFmtId="11" fontId="2" fillId="0" borderId="29" xfId="0" applyNumberFormat="1" applyFont="1" applyFill="1" applyBorder="1"/>
    <xf numFmtId="165" fontId="2" fillId="0" borderId="0" xfId="0" applyNumberFormat="1" applyFont="1" applyFill="1" applyAlignment="1">
      <alignment horizontal="center"/>
    </xf>
    <xf numFmtId="49" fontId="4" fillId="0" borderId="0" xfId="0" applyNumberFormat="1" applyFont="1" applyFill="1"/>
    <xf numFmtId="11" fontId="3" fillId="0" borderId="0" xfId="0" applyNumberFormat="1" applyFont="1" applyFill="1"/>
    <xf numFmtId="11" fontId="68" fillId="0" borderId="0" xfId="0" applyNumberFormat="1" applyFont="1" applyFill="1"/>
    <xf numFmtId="0" fontId="68" fillId="0" borderId="0" xfId="0" applyFont="1" applyFill="1" applyAlignment="1">
      <alignment wrapText="1"/>
    </xf>
    <xf numFmtId="0" fontId="3" fillId="0" borderId="0" xfId="0" applyFont="1" applyFill="1" applyAlignment="1">
      <alignment horizontal="left"/>
    </xf>
    <xf numFmtId="1" fontId="3" fillId="0" borderId="0" xfId="0" applyNumberFormat="1" applyFont="1" applyFill="1"/>
    <xf numFmtId="1" fontId="51" fillId="0" borderId="0" xfId="0" applyNumberFormat="1" applyFont="1" applyFill="1"/>
    <xf numFmtId="11" fontId="3" fillId="0" borderId="12" xfId="0" applyNumberFormat="1" applyFont="1" applyFill="1" applyBorder="1"/>
    <xf numFmtId="49" fontId="67" fillId="0" borderId="9" xfId="0" applyNumberFormat="1" applyFont="1" applyFill="1" applyBorder="1"/>
    <xf numFmtId="11" fontId="2" fillId="0" borderId="0" xfId="0" applyNumberFormat="1" applyFont="1" applyFill="1" applyAlignment="1">
      <alignment horizontal="center"/>
    </xf>
    <xf numFmtId="11" fontId="2" fillId="0" borderId="0" xfId="0" applyNumberFormat="1" applyFont="1" applyFill="1"/>
    <xf numFmtId="11" fontId="70" fillId="0" borderId="0" xfId="0" applyNumberFormat="1" applyFont="1" applyFill="1"/>
    <xf numFmtId="11" fontId="2" fillId="0" borderId="12" xfId="0" applyNumberFormat="1" applyFont="1" applyFill="1" applyBorder="1"/>
    <xf numFmtId="0" fontId="2" fillId="0" borderId="10" xfId="0" applyFont="1" applyFill="1" applyBorder="1"/>
    <xf numFmtId="0" fontId="3" fillId="0" borderId="11" xfId="0" applyFont="1" applyFill="1" applyBorder="1"/>
    <xf numFmtId="1" fontId="3" fillId="0" borderId="11" xfId="0" applyNumberFormat="1" applyFont="1" applyFill="1" applyBorder="1"/>
    <xf numFmtId="1" fontId="51" fillId="0" borderId="11" xfId="0" applyNumberFormat="1" applyFont="1" applyFill="1" applyBorder="1"/>
    <xf numFmtId="11" fontId="3" fillId="0" borderId="11" xfId="0" applyNumberFormat="1" applyFont="1" applyFill="1" applyBorder="1" applyAlignment="1">
      <alignment horizontal="center"/>
    </xf>
    <xf numFmtId="11" fontId="3" fillId="0" borderId="11" xfId="0" applyNumberFormat="1" applyFont="1" applyFill="1" applyBorder="1"/>
    <xf numFmtId="11" fontId="68" fillId="0" borderId="11" xfId="0" applyNumberFormat="1" applyFont="1" applyFill="1" applyBorder="1"/>
    <xf numFmtId="11" fontId="3" fillId="0" borderId="13" xfId="0" applyNumberFormat="1" applyFont="1" applyFill="1" applyBorder="1"/>
    <xf numFmtId="0" fontId="2" fillId="0" borderId="0" xfId="0" applyFont="1" applyFill="1" applyAlignment="1">
      <alignment horizontal="center"/>
    </xf>
    <xf numFmtId="1" fontId="2" fillId="0" borderId="0" xfId="0" applyNumberFormat="1" applyFont="1" applyFill="1"/>
    <xf numFmtId="1" fontId="51" fillId="0" borderId="0" xfId="0" applyNumberFormat="1" applyFont="1" applyFill="1" applyAlignment="1">
      <alignment horizontal="center"/>
    </xf>
    <xf numFmtId="1" fontId="44" fillId="0" borderId="0" xfId="0" applyNumberFormat="1" applyFont="1" applyFill="1"/>
    <xf numFmtId="0" fontId="0" fillId="0" borderId="0" xfId="0" applyFill="1" applyAlignment="1">
      <alignment wrapText="1"/>
    </xf>
    <xf numFmtId="0" fontId="0" fillId="0" borderId="12" xfId="0" applyFill="1" applyBorder="1" applyAlignment="1">
      <alignment wrapText="1"/>
    </xf>
    <xf numFmtId="165" fontId="4" fillId="0" borderId="97" xfId="0" applyNumberFormat="1" applyFont="1" applyFill="1" applyBorder="1" applyAlignment="1">
      <alignment horizontal="center"/>
    </xf>
    <xf numFmtId="0" fontId="3" fillId="0" borderId="0" xfId="0" applyFont="1" applyFill="1" applyAlignment="1">
      <alignment wrapText="1"/>
    </xf>
    <xf numFmtId="0" fontId="3" fillId="0" borderId="12" xfId="0" applyFont="1" applyFill="1" applyBorder="1" applyAlignment="1">
      <alignment wrapText="1"/>
    </xf>
    <xf numFmtId="0" fontId="4" fillId="0" borderId="13" xfId="0" applyFont="1" applyFill="1" applyBorder="1"/>
    <xf numFmtId="165" fontId="8" fillId="0" borderId="15" xfId="0" applyNumberFormat="1" applyFont="1" applyFill="1" applyBorder="1" applyAlignment="1">
      <alignment horizontal="centerContinuous"/>
    </xf>
    <xf numFmtId="165" fontId="4" fillId="0" borderId="15" xfId="0" applyNumberFormat="1" applyFont="1" applyFill="1" applyBorder="1" applyAlignment="1">
      <alignment horizontal="centerContinuous"/>
    </xf>
    <xf numFmtId="0" fontId="4" fillId="0" borderId="15" xfId="0" applyFont="1" applyFill="1" applyBorder="1" applyAlignment="1">
      <alignment horizontal="centerContinuous"/>
    </xf>
    <xf numFmtId="165" fontId="8" fillId="0" borderId="46" xfId="0" applyNumberFormat="1" applyFont="1" applyFill="1" applyBorder="1" applyAlignment="1">
      <alignment horizontal="centerContinuous" vertical="center"/>
    </xf>
    <xf numFmtId="165" fontId="4" fillId="0" borderId="171" xfId="0" applyNumberFormat="1" applyFont="1" applyFill="1" applyBorder="1" applyAlignment="1">
      <alignment horizontal="centerContinuous" wrapText="1"/>
    </xf>
    <xf numFmtId="165" fontId="4" fillId="0" borderId="149" xfId="0" applyNumberFormat="1" applyFont="1" applyFill="1" applyBorder="1" applyAlignment="1">
      <alignment horizontal="centerContinuous" wrapText="1"/>
    </xf>
    <xf numFmtId="165" fontId="3" fillId="0" borderId="152" xfId="0" applyNumberFormat="1" applyFont="1" applyFill="1" applyBorder="1" applyAlignment="1">
      <alignment horizontal="center"/>
    </xf>
    <xf numFmtId="165" fontId="3" fillId="0" borderId="149" xfId="0" applyNumberFormat="1" applyFont="1" applyFill="1" applyBorder="1" applyAlignment="1">
      <alignment horizontal="center"/>
    </xf>
    <xf numFmtId="165" fontId="3" fillId="0" borderId="150" xfId="0" applyNumberFormat="1" applyFont="1" applyFill="1" applyBorder="1" applyAlignment="1">
      <alignment horizontal="center"/>
    </xf>
    <xf numFmtId="165" fontId="3" fillId="0" borderId="48" xfId="0" applyNumberFormat="1" applyFont="1" applyFill="1" applyBorder="1" applyAlignment="1">
      <alignment horizontal="center"/>
    </xf>
    <xf numFmtId="165" fontId="3" fillId="0" borderId="36" xfId="0" applyNumberFormat="1" applyFont="1" applyFill="1" applyBorder="1" applyAlignment="1">
      <alignment horizontal="center"/>
    </xf>
    <xf numFmtId="165" fontId="3" fillId="0" borderId="60" xfId="0" applyNumberFormat="1" applyFont="1" applyFill="1" applyBorder="1" applyAlignment="1">
      <alignment horizontal="center"/>
    </xf>
    <xf numFmtId="0" fontId="3" fillId="0" borderId="0" xfId="0" applyFont="1" applyFill="1" applyAlignment="1">
      <alignment horizontal="left" vertical="center" indent="1"/>
    </xf>
    <xf numFmtId="165" fontId="3" fillId="0" borderId="51" xfId="0" applyNumberFormat="1" applyFont="1" applyFill="1" applyBorder="1" applyAlignment="1">
      <alignment horizontal="center"/>
    </xf>
    <xf numFmtId="165" fontId="3" fillId="0" borderId="111" xfId="0" applyNumberFormat="1" applyFont="1" applyFill="1" applyBorder="1" applyAlignment="1">
      <alignment horizontal="center"/>
    </xf>
    <xf numFmtId="165" fontId="3" fillId="0" borderId="62" xfId="0" applyNumberFormat="1" applyFont="1" applyFill="1" applyBorder="1" applyAlignment="1">
      <alignment horizontal="center"/>
    </xf>
    <xf numFmtId="0" fontId="11" fillId="0" borderId="0" xfId="0" applyFont="1" applyFill="1" applyAlignment="1">
      <alignment horizontal="center"/>
    </xf>
    <xf numFmtId="0" fontId="3" fillId="0" borderId="93" xfId="0" applyFont="1" applyFill="1" applyBorder="1" applyAlignment="1">
      <alignment horizontal="center"/>
    </xf>
    <xf numFmtId="165" fontId="8" fillId="0" borderId="80" xfId="0" applyNumberFormat="1" applyFont="1" applyFill="1" applyBorder="1" applyAlignment="1">
      <alignment horizontal="centerContinuous" wrapText="1"/>
    </xf>
    <xf numFmtId="165" fontId="4" fillId="0" borderId="64" xfId="0" applyNumberFormat="1" applyFont="1" applyFill="1" applyBorder="1" applyAlignment="1">
      <alignment horizontal="centerContinuous" wrapText="1"/>
    </xf>
    <xf numFmtId="0" fontId="11" fillId="0" borderId="0" xfId="0" applyFont="1" applyFill="1" applyAlignment="1">
      <alignment horizontal="center" vertical="center"/>
    </xf>
    <xf numFmtId="0" fontId="4" fillId="0" borderId="9" xfId="0" applyFont="1" applyFill="1" applyBorder="1" applyAlignment="1">
      <alignment horizontal="left" vertical="center"/>
    </xf>
    <xf numFmtId="165" fontId="4" fillId="0" borderId="144" xfId="0" applyNumberFormat="1" applyFont="1" applyFill="1" applyBorder="1" applyAlignment="1">
      <alignment horizontal="center" vertical="center"/>
    </xf>
    <xf numFmtId="165" fontId="4" fillId="0" borderId="145" xfId="0" applyNumberFormat="1" applyFont="1" applyFill="1" applyBorder="1" applyAlignment="1">
      <alignment horizontal="center" vertical="center"/>
    </xf>
    <xf numFmtId="11" fontId="3" fillId="0" borderId="0" xfId="0" applyNumberFormat="1" applyFont="1" applyFill="1" applyAlignment="1">
      <alignment horizontal="center" vertical="center"/>
    </xf>
    <xf numFmtId="49" fontId="27" fillId="0" borderId="205" xfId="0" applyNumberFormat="1" applyFont="1" applyFill="1" applyBorder="1" applyAlignment="1">
      <alignment horizontal="left" vertical="center" wrapText="1" indent="1"/>
    </xf>
    <xf numFmtId="0" fontId="3" fillId="0" borderId="146" xfId="0" applyFont="1" applyFill="1" applyBorder="1" applyAlignment="1">
      <alignment horizontal="center"/>
    </xf>
    <xf numFmtId="49" fontId="27" fillId="0" borderId="206" xfId="0" applyNumberFormat="1" applyFont="1" applyFill="1" applyBorder="1" applyAlignment="1">
      <alignment horizontal="left" vertical="center" wrapText="1" indent="1"/>
    </xf>
    <xf numFmtId="0" fontId="3" fillId="0" borderId="128" xfId="0" applyFont="1" applyFill="1" applyBorder="1" applyAlignment="1">
      <alignment horizontal="center"/>
    </xf>
    <xf numFmtId="49" fontId="27" fillId="0" borderId="210" xfId="0" applyNumberFormat="1" applyFont="1" applyFill="1" applyBorder="1" applyAlignment="1">
      <alignment horizontal="left" vertical="center" wrapText="1" indent="1"/>
    </xf>
    <xf numFmtId="0" fontId="3" fillId="0" borderId="129" xfId="0" applyFont="1" applyFill="1" applyBorder="1" applyAlignment="1">
      <alignment horizontal="center"/>
    </xf>
    <xf numFmtId="165" fontId="2" fillId="0" borderId="12" xfId="0" applyNumberFormat="1" applyFont="1" applyFill="1" applyBorder="1"/>
    <xf numFmtId="49" fontId="3" fillId="0" borderId="9" xfId="0" applyNumberFormat="1" applyFont="1" applyFill="1" applyBorder="1" applyAlignment="1">
      <alignment horizontal="left"/>
    </xf>
    <xf numFmtId="49" fontId="3" fillId="0" borderId="0" xfId="0" applyNumberFormat="1" applyFont="1" applyFill="1" applyAlignment="1">
      <alignment horizontal="left"/>
    </xf>
    <xf numFmtId="0" fontId="2" fillId="0" borderId="11" xfId="0" applyFont="1" applyFill="1" applyBorder="1"/>
    <xf numFmtId="165" fontId="2" fillId="0" borderId="11" xfId="0" applyNumberFormat="1" applyFont="1" applyFill="1" applyBorder="1"/>
    <xf numFmtId="165" fontId="2" fillId="0" borderId="13" xfId="0" applyNumberFormat="1" applyFont="1" applyFill="1" applyBorder="1"/>
    <xf numFmtId="0" fontId="3" fillId="0" borderId="2" xfId="0" applyFont="1" applyFill="1" applyBorder="1" applyAlignment="1">
      <alignment horizontal="center"/>
    </xf>
    <xf numFmtId="0" fontId="4" fillId="0" borderId="143" xfId="0" applyFont="1" applyFill="1" applyBorder="1" applyAlignment="1">
      <alignment horizontal="left" vertical="center"/>
    </xf>
    <xf numFmtId="0" fontId="3" fillId="0" borderId="147" xfId="0" applyFont="1" applyFill="1" applyBorder="1" applyAlignment="1">
      <alignment horizontal="center"/>
    </xf>
    <xf numFmtId="0" fontId="3" fillId="0" borderId="49" xfId="0" applyFont="1" applyFill="1" applyBorder="1" applyAlignment="1">
      <alignment horizontal="center"/>
    </xf>
    <xf numFmtId="0" fontId="2" fillId="0" borderId="0" xfId="0" applyFont="1" applyFill="1" applyAlignment="1">
      <alignment vertical="center"/>
    </xf>
    <xf numFmtId="0" fontId="3" fillId="0" borderId="52" xfId="0" applyFont="1" applyFill="1" applyBorder="1" applyAlignment="1">
      <alignment horizontal="center"/>
    </xf>
    <xf numFmtId="0" fontId="4" fillId="0" borderId="0" xfId="0" applyFont="1" applyFill="1" applyAlignment="1">
      <alignment horizontal="centerContinuous" wrapText="1"/>
    </xf>
    <xf numFmtId="49" fontId="3" fillId="0" borderId="0" xfId="0" applyNumberFormat="1" applyFont="1" applyFill="1" applyAlignment="1">
      <alignment horizontal="center"/>
    </xf>
    <xf numFmtId="49" fontId="4" fillId="0" borderId="0" xfId="0" applyNumberFormat="1" applyFont="1" applyFill="1" applyAlignment="1">
      <alignment horizontal="center"/>
    </xf>
    <xf numFmtId="49" fontId="3" fillId="0" borderId="12" xfId="0" applyNumberFormat="1" applyFont="1" applyFill="1" applyBorder="1" applyAlignment="1">
      <alignment horizontal="center"/>
    </xf>
    <xf numFmtId="165" fontId="3" fillId="0" borderId="0" xfId="0" applyNumberFormat="1" applyFont="1" applyFill="1" applyAlignment="1">
      <alignment horizontal="left"/>
    </xf>
    <xf numFmtId="165" fontId="3" fillId="0" borderId="12" xfId="0" applyNumberFormat="1" applyFont="1" applyFill="1" applyBorder="1" applyAlignment="1">
      <alignment horizontal="left"/>
    </xf>
    <xf numFmtId="165" fontId="3" fillId="0" borderId="11" xfId="0" applyNumberFormat="1" applyFont="1" applyFill="1" applyBorder="1"/>
    <xf numFmtId="165" fontId="3" fillId="0" borderId="13" xfId="0" applyNumberFormat="1" applyFont="1" applyFill="1" applyBorder="1" applyAlignment="1">
      <alignment horizontal="right"/>
    </xf>
    <xf numFmtId="165" fontId="4" fillId="0" borderId="0" xfId="0" applyNumberFormat="1" applyFont="1" applyFill="1" applyAlignment="1">
      <alignment horizontal="centerContinuous" vertical="center"/>
    </xf>
    <xf numFmtId="0" fontId="3" fillId="0" borderId="31" xfId="0" applyFont="1" applyFill="1" applyBorder="1" applyAlignment="1">
      <alignment horizontal="center"/>
    </xf>
    <xf numFmtId="0" fontId="3" fillId="0" borderId="8" xfId="0" applyFont="1" applyFill="1" applyBorder="1" applyAlignment="1">
      <alignment horizontal="center"/>
    </xf>
    <xf numFmtId="165" fontId="4" fillId="0" borderId="93" xfId="0" applyNumberFormat="1" applyFont="1" applyFill="1" applyBorder="1" applyAlignment="1">
      <alignment horizontal="centerContinuous" wrapText="1"/>
    </xf>
    <xf numFmtId="165" fontId="3" fillId="0" borderId="94" xfId="0" applyNumberFormat="1" applyFont="1" applyFill="1" applyBorder="1" applyAlignment="1">
      <alignment horizontal="centerContinuous"/>
    </xf>
    <xf numFmtId="165" fontId="3" fillId="0" borderId="26" xfId="0" applyNumberFormat="1" applyFont="1" applyFill="1" applyBorder="1" applyAlignment="1">
      <alignment horizontal="centerContinuous"/>
    </xf>
    <xf numFmtId="0" fontId="3" fillId="0" borderId="9" xfId="0" applyFont="1" applyFill="1" applyBorder="1" applyAlignment="1">
      <alignment horizontal="center"/>
    </xf>
    <xf numFmtId="0" fontId="3" fillId="0" borderId="32" xfId="0" applyFont="1" applyFill="1" applyBorder="1" applyAlignment="1">
      <alignment horizontal="center"/>
    </xf>
    <xf numFmtId="165" fontId="4" fillId="0" borderId="108" xfId="0" applyNumberFormat="1" applyFont="1" applyFill="1" applyBorder="1" applyAlignment="1">
      <alignment horizontal="center"/>
    </xf>
    <xf numFmtId="165" fontId="4" fillId="0" borderId="89" xfId="0" applyNumberFormat="1" applyFont="1" applyFill="1" applyBorder="1" applyAlignment="1">
      <alignment horizontal="center"/>
    </xf>
    <xf numFmtId="165" fontId="4" fillId="0" borderId="88" xfId="0" applyNumberFormat="1" applyFont="1" applyFill="1" applyBorder="1" applyAlignment="1">
      <alignment horizontal="center"/>
    </xf>
    <xf numFmtId="165" fontId="4" fillId="0" borderId="109" xfId="0" applyNumberFormat="1" applyFont="1" applyFill="1" applyBorder="1" applyAlignment="1">
      <alignment horizontal="center"/>
    </xf>
    <xf numFmtId="165" fontId="4" fillId="0" borderId="95" xfId="0" applyNumberFormat="1" applyFont="1" applyFill="1" applyBorder="1" applyAlignment="1">
      <alignment horizontal="center"/>
    </xf>
    <xf numFmtId="165" fontId="4" fillId="0" borderId="96" xfId="0" applyNumberFormat="1" applyFont="1" applyFill="1" applyBorder="1" applyAlignment="1">
      <alignment horizontal="center"/>
    </xf>
    <xf numFmtId="165" fontId="4" fillId="0" borderId="90" xfId="0" applyNumberFormat="1" applyFont="1" applyFill="1" applyBorder="1" applyAlignment="1">
      <alignment horizontal="center"/>
    </xf>
    <xf numFmtId="165" fontId="4" fillId="0" borderId="73" xfId="0" applyNumberFormat="1" applyFont="1" applyFill="1" applyBorder="1" applyAlignment="1">
      <alignment horizontal="center"/>
    </xf>
    <xf numFmtId="165" fontId="4" fillId="0" borderId="92" xfId="0" applyNumberFormat="1" applyFont="1" applyFill="1" applyBorder="1" applyAlignment="1">
      <alignment horizontal="center"/>
    </xf>
    <xf numFmtId="165" fontId="4" fillId="0" borderId="37" xfId="0" applyNumberFormat="1" applyFont="1" applyFill="1" applyBorder="1" applyAlignment="1">
      <alignment horizontal="center"/>
    </xf>
    <xf numFmtId="165" fontId="4" fillId="0" borderId="65" xfId="0" applyNumberFormat="1" applyFont="1" applyFill="1" applyBorder="1" applyAlignment="1">
      <alignment horizontal="center"/>
    </xf>
    <xf numFmtId="0" fontId="4" fillId="0" borderId="7" xfId="0" applyFont="1" applyFill="1" applyBorder="1" applyAlignment="1">
      <alignment horizontal="left" vertical="center"/>
    </xf>
    <xf numFmtId="165" fontId="4" fillId="0" borderId="91" xfId="0" applyNumberFormat="1" applyFont="1" applyFill="1" applyBorder="1" applyAlignment="1">
      <alignment horizontal="center" vertical="center"/>
    </xf>
    <xf numFmtId="165" fontId="4" fillId="0" borderId="85" xfId="0" applyNumberFormat="1" applyFont="1" applyFill="1" applyBorder="1" applyAlignment="1">
      <alignment horizontal="center" vertical="center"/>
    </xf>
    <xf numFmtId="165" fontId="4" fillId="0" borderId="55" xfId="0" applyNumberFormat="1" applyFont="1" applyFill="1" applyBorder="1" applyAlignment="1">
      <alignment horizontal="center" vertical="center"/>
    </xf>
    <xf numFmtId="165" fontId="4" fillId="0" borderId="28" xfId="0" applyNumberFormat="1" applyFont="1" applyFill="1" applyBorder="1" applyAlignment="1">
      <alignment horizontal="center" vertical="center"/>
    </xf>
    <xf numFmtId="0" fontId="3" fillId="0" borderId="96" xfId="0" applyFont="1" applyFill="1" applyBorder="1" applyAlignment="1">
      <alignment horizontal="center"/>
    </xf>
    <xf numFmtId="165" fontId="3" fillId="0" borderId="109" xfId="0" applyNumberFormat="1" applyFont="1" applyFill="1" applyBorder="1" applyAlignment="1">
      <alignment horizontal="center"/>
    </xf>
    <xf numFmtId="0" fontId="3" fillId="0" borderId="65" xfId="0" applyFont="1" applyFill="1" applyBorder="1" applyAlignment="1">
      <alignment horizontal="center"/>
    </xf>
    <xf numFmtId="165" fontId="3" fillId="0" borderId="92" xfId="0" applyNumberFormat="1" applyFont="1" applyFill="1" applyBorder="1" applyAlignment="1">
      <alignment horizontal="center"/>
    </xf>
    <xf numFmtId="0" fontId="3" fillId="0" borderId="81" xfId="0" applyFont="1" applyFill="1" applyBorder="1" applyAlignment="1">
      <alignment horizontal="center"/>
    </xf>
    <xf numFmtId="165" fontId="3" fillId="0" borderId="6" xfId="0" applyNumberFormat="1" applyFont="1" applyFill="1" applyBorder="1" applyAlignment="1">
      <alignment horizontal="center"/>
    </xf>
    <xf numFmtId="49" fontId="4" fillId="0" borderId="9" xfId="0" applyNumberFormat="1" applyFont="1" applyFill="1" applyBorder="1" applyAlignment="1">
      <alignment horizontal="left"/>
    </xf>
    <xf numFmtId="165" fontId="3" fillId="0" borderId="11" xfId="0" applyNumberFormat="1" applyFont="1" applyFill="1" applyBorder="1" applyAlignment="1">
      <alignment horizontal="center"/>
    </xf>
    <xf numFmtId="165" fontId="3" fillId="0" borderId="13" xfId="0" applyNumberFormat="1" applyFont="1" applyFill="1" applyBorder="1" applyAlignment="1">
      <alignment horizontal="center"/>
    </xf>
    <xf numFmtId="0" fontId="3" fillId="0" borderId="8" xfId="0" applyFont="1" applyFill="1" applyBorder="1" applyAlignment="1">
      <alignment horizontal="left"/>
    </xf>
    <xf numFmtId="165" fontId="2" fillId="0" borderId="8" xfId="0" applyNumberFormat="1" applyFont="1" applyFill="1" applyBorder="1"/>
    <xf numFmtId="9" fontId="3" fillId="0" borderId="0" xfId="0" applyNumberFormat="1" applyFont="1" applyFill="1" applyAlignment="1">
      <alignment horizontal="center" wrapText="1"/>
    </xf>
    <xf numFmtId="0" fontId="4" fillId="0" borderId="9" xfId="0" applyFont="1" applyFill="1" applyBorder="1"/>
    <xf numFmtId="165" fontId="4" fillId="0" borderId="100" xfId="0" applyNumberFormat="1" applyFont="1" applyFill="1" applyBorder="1" applyAlignment="1">
      <alignment horizontal="center"/>
    </xf>
    <xf numFmtId="165" fontId="4" fillId="0" borderId="84" xfId="0" applyNumberFormat="1" applyFont="1" applyFill="1" applyBorder="1" applyAlignment="1">
      <alignment horizontal="center" wrapText="1"/>
    </xf>
    <xf numFmtId="165" fontId="3" fillId="0" borderId="11" xfId="0" applyNumberFormat="1" applyFont="1" applyFill="1" applyBorder="1" applyAlignment="1">
      <alignment horizontal="centerContinuous"/>
    </xf>
    <xf numFmtId="0" fontId="4" fillId="0" borderId="80" xfId="0" applyFont="1" applyFill="1" applyBorder="1" applyAlignment="1">
      <alignment horizontal="center" wrapText="1"/>
    </xf>
    <xf numFmtId="0" fontId="4" fillId="0" borderId="54" xfId="0" applyFont="1" applyFill="1" applyBorder="1" applyAlignment="1">
      <alignment horizontal="center" wrapText="1"/>
    </xf>
    <xf numFmtId="0" fontId="4" fillId="0" borderId="4" xfId="0" applyFont="1" applyFill="1" applyBorder="1" applyAlignment="1">
      <alignment horizontal="center" wrapText="1"/>
    </xf>
    <xf numFmtId="165" fontId="4" fillId="0" borderId="64" xfId="0" applyNumberFormat="1" applyFont="1" applyFill="1" applyBorder="1" applyAlignment="1">
      <alignment horizontal="center" wrapText="1"/>
    </xf>
    <xf numFmtId="49" fontId="3" fillId="0" borderId="146" xfId="0" applyNumberFormat="1" applyFont="1" applyFill="1" applyBorder="1"/>
    <xf numFmtId="165" fontId="3" fillId="0" borderId="148" xfId="0" applyNumberFormat="1" applyFont="1" applyFill="1" applyBorder="1"/>
    <xf numFmtId="165" fontId="3" fillId="0" borderId="147" xfId="0" applyNumberFormat="1" applyFont="1" applyFill="1" applyBorder="1"/>
    <xf numFmtId="49" fontId="3" fillId="0" borderId="128" xfId="0" applyNumberFormat="1" applyFont="1" applyFill="1" applyBorder="1" applyAlignment="1">
      <alignment horizontal="center"/>
    </xf>
    <xf numFmtId="165" fontId="3" fillId="0" borderId="59" xfId="0" applyNumberFormat="1" applyFont="1" applyFill="1" applyBorder="1" applyAlignment="1">
      <alignment horizontal="center"/>
    </xf>
    <xf numFmtId="0" fontId="3" fillId="0" borderId="128" xfId="0" applyFont="1" applyFill="1" applyBorder="1" applyAlignment="1">
      <alignment horizontal="center" vertical="center"/>
    </xf>
    <xf numFmtId="165" fontId="3" fillId="0" borderId="59" xfId="0" applyNumberFormat="1" applyFont="1" applyFill="1" applyBorder="1" applyAlignment="1">
      <alignment horizontal="center" vertical="center"/>
    </xf>
    <xf numFmtId="165" fontId="3" fillId="0" borderId="49" xfId="0" applyNumberFormat="1" applyFont="1" applyFill="1" applyBorder="1" applyAlignment="1">
      <alignment horizontal="center" vertical="center"/>
    </xf>
    <xf numFmtId="49" fontId="3" fillId="0" borderId="128" xfId="0" applyNumberFormat="1" applyFont="1" applyFill="1" applyBorder="1" applyAlignment="1">
      <alignment horizontal="center" vertical="center"/>
    </xf>
    <xf numFmtId="165" fontId="3" fillId="0" borderId="60" xfId="0" applyNumberFormat="1" applyFont="1" applyFill="1" applyBorder="1" applyAlignment="1">
      <alignment horizontal="center" vertical="center"/>
    </xf>
    <xf numFmtId="165" fontId="3" fillId="0" borderId="87" xfId="0" applyNumberFormat="1" applyFont="1" applyFill="1" applyBorder="1" applyAlignment="1">
      <alignment horizontal="center" vertical="center"/>
    </xf>
    <xf numFmtId="165" fontId="3" fillId="0" borderId="74" xfId="0" applyNumberFormat="1" applyFont="1" applyFill="1" applyBorder="1" applyAlignment="1">
      <alignment horizontal="center" vertical="center"/>
    </xf>
    <xf numFmtId="49" fontId="3" fillId="0" borderId="129" xfId="0" applyNumberFormat="1" applyFont="1" applyFill="1" applyBorder="1" applyAlignment="1">
      <alignment horizontal="center" vertical="center"/>
    </xf>
    <xf numFmtId="165" fontId="3" fillId="0" borderId="61" xfId="0" applyNumberFormat="1" applyFont="1" applyFill="1" applyBorder="1" applyAlignment="1">
      <alignment horizontal="center" vertical="center"/>
    </xf>
    <xf numFmtId="165" fontId="3" fillId="0" borderId="200" xfId="0" applyNumberFormat="1" applyFont="1" applyFill="1" applyBorder="1" applyAlignment="1">
      <alignment horizontal="center" vertical="center"/>
    </xf>
    <xf numFmtId="165" fontId="3" fillId="0" borderId="107" xfId="0" applyNumberFormat="1" applyFont="1" applyFill="1" applyBorder="1" applyAlignment="1">
      <alignment horizontal="center" vertical="center"/>
    </xf>
    <xf numFmtId="49" fontId="4" fillId="0" borderId="8" xfId="0" applyNumberFormat="1" applyFont="1" applyFill="1" applyBorder="1"/>
    <xf numFmtId="49" fontId="3" fillId="0" borderId="10" xfId="0" applyNumberFormat="1" applyFont="1" applyFill="1" applyBorder="1"/>
    <xf numFmtId="49" fontId="3" fillId="0" borderId="11" xfId="0" applyNumberFormat="1" applyFont="1" applyFill="1" applyBorder="1"/>
    <xf numFmtId="0" fontId="0" fillId="0" borderId="0" xfId="0" applyFill="1" applyAlignment="1">
      <alignment horizontal="center" wrapText="1"/>
    </xf>
    <xf numFmtId="0" fontId="0" fillId="0" borderId="0" xfId="0" applyFill="1" applyAlignment="1">
      <alignment horizontal="center"/>
    </xf>
    <xf numFmtId="0" fontId="4" fillId="0" borderId="2" xfId="0" applyFont="1" applyFill="1" applyBorder="1" applyAlignment="1">
      <alignment horizontal="left"/>
    </xf>
    <xf numFmtId="11" fontId="4" fillId="0" borderId="204" xfId="0" applyNumberFormat="1" applyFont="1" applyFill="1" applyBorder="1" applyAlignment="1">
      <alignment horizontal="center" textRotation="90"/>
    </xf>
    <xf numFmtId="11" fontId="4" fillId="0" borderId="202" xfId="0" applyNumberFormat="1" applyFont="1" applyFill="1" applyBorder="1" applyAlignment="1">
      <alignment horizontal="center" textRotation="90"/>
    </xf>
    <xf numFmtId="49" fontId="4" fillId="0" borderId="202" xfId="0" applyNumberFormat="1" applyFont="1" applyFill="1" applyBorder="1" applyAlignment="1">
      <alignment horizontal="center" textRotation="90"/>
    </xf>
    <xf numFmtId="165" fontId="4" fillId="0" borderId="202" xfId="0" applyNumberFormat="1" applyFont="1" applyFill="1" applyBorder="1" applyAlignment="1">
      <alignment horizontal="center" textRotation="90"/>
    </xf>
    <xf numFmtId="0" fontId="87" fillId="0" borderId="203" xfId="0" applyFont="1" applyFill="1" applyBorder="1" applyAlignment="1">
      <alignment horizontal="center"/>
    </xf>
    <xf numFmtId="0" fontId="3" fillId="0" borderId="0" xfId="0" applyFont="1" applyFill="1" applyAlignment="1">
      <alignment vertical="center" textRotation="90"/>
    </xf>
    <xf numFmtId="49" fontId="3" fillId="0" borderId="109" xfId="0" applyNumberFormat="1" applyFont="1" applyFill="1" applyBorder="1"/>
    <xf numFmtId="49" fontId="3" fillId="0" borderId="131" xfId="0" applyNumberFormat="1" applyFont="1" applyFill="1" applyBorder="1" applyAlignment="1">
      <alignment horizontal="center"/>
    </xf>
    <xf numFmtId="0" fontId="3" fillId="0" borderId="119" xfId="0" applyFont="1" applyFill="1" applyBorder="1" applyAlignment="1">
      <alignment horizontal="center" vertical="center" wrapText="1"/>
    </xf>
    <xf numFmtId="0" fontId="3" fillId="0" borderId="134" xfId="0" applyFont="1" applyFill="1" applyBorder="1" applyAlignment="1">
      <alignment horizontal="center" vertical="center"/>
    </xf>
    <xf numFmtId="0" fontId="3" fillId="0" borderId="133" xfId="0" applyFont="1" applyFill="1" applyBorder="1" applyAlignment="1">
      <alignment horizontal="center" vertical="center"/>
    </xf>
    <xf numFmtId="49" fontId="3" fillId="0" borderId="92" xfId="0" applyNumberFormat="1" applyFont="1" applyFill="1" applyBorder="1"/>
    <xf numFmtId="0" fontId="3" fillId="0" borderId="37" xfId="0" applyFont="1" applyFill="1" applyBorder="1" applyAlignment="1">
      <alignment horizontal="center" vertical="center" wrapText="1"/>
    </xf>
    <xf numFmtId="0" fontId="3" fillId="0" borderId="59" xfId="0" applyFont="1" applyFill="1" applyBorder="1" applyAlignment="1">
      <alignment horizontal="center" vertical="center"/>
    </xf>
    <xf numFmtId="0" fontId="3" fillId="0" borderId="65" xfId="0" applyFont="1" applyFill="1" applyBorder="1" applyAlignment="1">
      <alignment horizontal="center" vertical="center"/>
    </xf>
    <xf numFmtId="11" fontId="8" fillId="0" borderId="128" xfId="0" applyNumberFormat="1" applyFont="1" applyFill="1" applyBorder="1" applyAlignment="1">
      <alignment horizontal="center" vertical="center" textRotation="90"/>
    </xf>
    <xf numFmtId="0" fontId="3" fillId="0" borderId="59" xfId="0" applyFont="1" applyFill="1" applyBorder="1" applyAlignment="1">
      <alignment horizontal="center" vertical="center" wrapText="1"/>
    </xf>
    <xf numFmtId="49" fontId="3" fillId="0" borderId="92" xfId="0" applyNumberFormat="1" applyFont="1" applyFill="1" applyBorder="1" applyAlignment="1">
      <alignment wrapText="1"/>
    </xf>
    <xf numFmtId="49" fontId="3" fillId="0" borderId="37" xfId="0" applyNumberFormat="1" applyFont="1" applyFill="1" applyBorder="1" applyAlignment="1">
      <alignment horizontal="center"/>
    </xf>
    <xf numFmtId="49" fontId="3" fillId="0" borderId="6" xfId="0" applyNumberFormat="1" applyFont="1" applyFill="1" applyBorder="1"/>
    <xf numFmtId="49" fontId="3" fillId="0" borderId="112" xfId="0" applyNumberFormat="1" applyFont="1" applyFill="1" applyBorder="1" applyAlignment="1">
      <alignment horizontal="center"/>
    </xf>
    <xf numFmtId="0" fontId="3" fillId="0" borderId="61" xfId="0" applyFont="1" applyFill="1" applyBorder="1" applyAlignment="1">
      <alignment horizontal="center" vertical="center" wrapText="1"/>
    </xf>
    <xf numFmtId="0" fontId="3" fillId="0" borderId="61" xfId="0" applyFont="1" applyFill="1" applyBorder="1" applyAlignment="1">
      <alignment horizontal="center" vertical="center"/>
    </xf>
    <xf numFmtId="0" fontId="3" fillId="0" borderId="81" xfId="0" applyFont="1" applyFill="1" applyBorder="1" applyAlignment="1">
      <alignment horizontal="center" vertical="center"/>
    </xf>
    <xf numFmtId="0" fontId="4" fillId="0" borderId="8" xfId="0" applyFont="1" applyFill="1" applyBorder="1" applyAlignment="1">
      <alignment horizontal="left"/>
    </xf>
    <xf numFmtId="0" fontId="0" fillId="0" borderId="0" xfId="0" applyFill="1" applyAlignment="1">
      <alignment horizontal="left" wrapText="1"/>
    </xf>
    <xf numFmtId="0" fontId="86" fillId="0" borderId="184" xfId="0" applyFont="1" applyFill="1" applyBorder="1" applyAlignment="1">
      <alignment horizontal="left" wrapText="1"/>
    </xf>
    <xf numFmtId="0" fontId="0" fillId="0" borderId="184" xfId="0" applyFill="1" applyBorder="1" applyAlignment="1">
      <alignment horizontal="center" wrapText="1"/>
    </xf>
    <xf numFmtId="0" fontId="0" fillId="0" borderId="184" xfId="0" applyFill="1" applyBorder="1" applyAlignment="1">
      <alignment horizontal="left" wrapText="1"/>
    </xf>
    <xf numFmtId="0" fontId="89" fillId="0" borderId="216" xfId="0" applyFont="1" applyFill="1" applyBorder="1" applyAlignment="1">
      <alignment vertical="center" wrapText="1"/>
    </xf>
    <xf numFmtId="0" fontId="89" fillId="0" borderId="217" xfId="0" applyFont="1" applyFill="1" applyBorder="1" applyAlignment="1">
      <alignment vertical="center" wrapText="1"/>
    </xf>
    <xf numFmtId="0" fontId="89" fillId="0" borderId="218" xfId="0" applyFont="1" applyFill="1" applyBorder="1" applyAlignment="1">
      <alignment horizontal="center" vertical="center" wrapText="1"/>
    </xf>
    <xf numFmtId="0" fontId="89" fillId="0" borderId="218" xfId="0" applyFont="1" applyFill="1" applyBorder="1" applyAlignment="1">
      <alignment horizontal="center" vertical="center"/>
    </xf>
    <xf numFmtId="0" fontId="89" fillId="0" borderId="219" xfId="0" applyFont="1" applyFill="1" applyBorder="1" applyAlignment="1">
      <alignment vertical="center"/>
    </xf>
    <xf numFmtId="0" fontId="89" fillId="0" borderId="0" xfId="0" applyFont="1" applyFill="1" applyAlignment="1">
      <alignment vertical="center"/>
    </xf>
    <xf numFmtId="0" fontId="89" fillId="0" borderId="220" xfId="0" applyFont="1" applyFill="1" applyBorder="1" applyAlignment="1">
      <alignment vertical="center" wrapText="1"/>
    </xf>
    <xf numFmtId="0" fontId="89" fillId="0" borderId="37" xfId="0" applyFont="1" applyFill="1" applyBorder="1" applyAlignment="1">
      <alignment vertical="center" wrapText="1"/>
    </xf>
    <xf numFmtId="0" fontId="89" fillId="0" borderId="59" xfId="0" applyFont="1" applyFill="1" applyBorder="1" applyAlignment="1">
      <alignment horizontal="center" vertical="center" wrapText="1"/>
    </xf>
    <xf numFmtId="0" fontId="89" fillId="0" borderId="134" xfId="0" applyFont="1" applyFill="1" applyBorder="1" applyAlignment="1">
      <alignment horizontal="center" vertical="center" wrapText="1"/>
    </xf>
    <xf numFmtId="0" fontId="89" fillId="0" borderId="208" xfId="0" applyFont="1" applyFill="1" applyBorder="1" applyAlignment="1">
      <alignment vertical="center" wrapText="1"/>
    </xf>
    <xf numFmtId="0" fontId="89" fillId="0" borderId="0" xfId="0" applyFont="1" applyFill="1" applyAlignment="1">
      <alignment vertical="center" wrapText="1"/>
    </xf>
    <xf numFmtId="0" fontId="91" fillId="0" borderId="220" xfId="0" applyFont="1" applyFill="1" applyBorder="1" applyAlignment="1">
      <alignment vertical="center" wrapText="1"/>
    </xf>
    <xf numFmtId="0" fontId="91" fillId="0" borderId="37" xfId="0" applyFont="1" applyFill="1" applyBorder="1" applyAlignment="1">
      <alignment vertical="center" wrapText="1"/>
    </xf>
    <xf numFmtId="0" fontId="89" fillId="0" borderId="59" xfId="0" applyFont="1" applyFill="1" applyBorder="1" applyAlignment="1">
      <alignment horizontal="center" vertical="center"/>
    </xf>
    <xf numFmtId="0" fontId="0" fillId="0" borderId="208" xfId="0" applyFill="1" applyBorder="1" applyAlignment="1">
      <alignment vertical="center"/>
    </xf>
    <xf numFmtId="0" fontId="0" fillId="0" borderId="0" xfId="0" applyFill="1" applyAlignment="1">
      <alignment vertical="center"/>
    </xf>
    <xf numFmtId="0" fontId="0" fillId="0" borderId="0" xfId="0" applyFill="1" applyAlignment="1">
      <alignment vertical="center" wrapText="1"/>
    </xf>
    <xf numFmtId="0" fontId="90" fillId="0" borderId="220" xfId="0" applyFont="1" applyFill="1" applyBorder="1" applyAlignment="1">
      <alignment vertical="center" wrapText="1"/>
    </xf>
    <xf numFmtId="0" fontId="90" fillId="0" borderId="37" xfId="0" applyFont="1" applyFill="1" applyBorder="1" applyAlignment="1">
      <alignment vertical="center" wrapText="1"/>
    </xf>
    <xf numFmtId="0" fontId="90" fillId="0" borderId="0" xfId="0" applyFont="1" applyFill="1" applyAlignment="1">
      <alignment vertical="center" wrapText="1"/>
    </xf>
    <xf numFmtId="0" fontId="0" fillId="0" borderId="59" xfId="0" applyFill="1" applyBorder="1" applyAlignment="1">
      <alignment horizontal="center" vertical="center" wrapText="1"/>
    </xf>
    <xf numFmtId="0" fontId="0" fillId="0" borderId="208" xfId="0" applyFill="1" applyBorder="1" applyAlignment="1">
      <alignment vertical="center" wrapText="1"/>
    </xf>
    <xf numFmtId="0" fontId="0" fillId="0" borderId="59" xfId="0" applyFill="1" applyBorder="1" applyAlignment="1">
      <alignment horizontal="center" vertical="center"/>
    </xf>
    <xf numFmtId="0" fontId="90" fillId="0" borderId="208" xfId="0" applyFont="1" applyFill="1" applyBorder="1" applyAlignment="1">
      <alignment vertical="center"/>
    </xf>
    <xf numFmtId="0" fontId="90" fillId="0" borderId="0" xfId="0" applyFont="1" applyFill="1" applyAlignment="1">
      <alignment vertical="center"/>
    </xf>
    <xf numFmtId="0" fontId="90" fillId="0" borderId="59" xfId="0" applyFont="1" applyFill="1" applyBorder="1" applyAlignment="1">
      <alignment horizontal="center" vertical="center" wrapText="1"/>
    </xf>
    <xf numFmtId="0" fontId="91" fillId="0" borderId="221" xfId="0" applyFont="1" applyFill="1" applyBorder="1" applyAlignment="1">
      <alignment vertical="center" wrapText="1"/>
    </xf>
    <xf numFmtId="0" fontId="91" fillId="0" borderId="122" xfId="0" applyFont="1" applyFill="1" applyBorder="1" applyAlignment="1">
      <alignment vertical="center" wrapText="1"/>
    </xf>
    <xf numFmtId="0" fontId="89" fillId="0" borderId="193" xfId="0" applyFont="1" applyFill="1" applyBorder="1" applyAlignment="1">
      <alignment horizontal="center" vertical="center" wrapText="1"/>
    </xf>
    <xf numFmtId="0" fontId="90" fillId="0" borderId="193" xfId="0" applyFont="1" applyFill="1" applyBorder="1" applyAlignment="1">
      <alignment horizontal="center" vertical="center" wrapText="1"/>
    </xf>
    <xf numFmtId="0" fontId="90" fillId="0" borderId="212" xfId="0" applyFont="1" applyFill="1" applyBorder="1" applyAlignment="1">
      <alignment vertical="center" wrapText="1"/>
    </xf>
    <xf numFmtId="0" fontId="99" fillId="0" borderId="220" xfId="0" applyFont="1" applyFill="1" applyBorder="1" applyAlignment="1">
      <alignment vertical="center" wrapText="1"/>
    </xf>
    <xf numFmtId="0" fontId="2" fillId="0" borderId="59" xfId="0" applyFont="1" applyFill="1" applyBorder="1" applyAlignment="1">
      <alignment wrapText="1"/>
    </xf>
    <xf numFmtId="0" fontId="0" fillId="0" borderId="59" xfId="0" applyFill="1" applyBorder="1" applyAlignment="1">
      <alignment horizontal="center" wrapText="1"/>
    </xf>
    <xf numFmtId="0" fontId="89" fillId="0" borderId="59" xfId="0" applyFont="1" applyFill="1" applyBorder="1" applyAlignment="1">
      <alignment horizontal="center" wrapText="1"/>
    </xf>
    <xf numFmtId="0" fontId="0" fillId="0" borderId="59" xfId="0" applyFill="1" applyBorder="1" applyAlignment="1">
      <alignment wrapText="1"/>
    </xf>
    <xf numFmtId="0" fontId="3" fillId="0" borderId="208" xfId="0" applyFont="1" applyFill="1" applyBorder="1" applyAlignment="1">
      <alignment wrapText="1"/>
    </xf>
    <xf numFmtId="0" fontId="2" fillId="0" borderId="0" xfId="0" applyFont="1" applyFill="1" applyAlignment="1">
      <alignment wrapText="1"/>
    </xf>
    <xf numFmtId="0" fontId="2" fillId="0" borderId="220" xfId="0" applyFont="1" applyFill="1" applyBorder="1" applyAlignment="1">
      <alignment horizontal="left" vertical="center" wrapText="1"/>
    </xf>
    <xf numFmtId="0" fontId="2" fillId="0" borderId="59" xfId="0" applyFont="1" applyFill="1" applyBorder="1"/>
    <xf numFmtId="0" fontId="0" fillId="0" borderId="59" xfId="0" applyFill="1" applyBorder="1" applyAlignment="1">
      <alignment horizontal="center"/>
    </xf>
    <xf numFmtId="0" fontId="0" fillId="0" borderId="59" xfId="0" applyFill="1" applyBorder="1"/>
    <xf numFmtId="0" fontId="27" fillId="0" borderId="208" xfId="0" applyFont="1" applyFill="1" applyBorder="1" applyAlignment="1">
      <alignment horizontal="center" wrapText="1"/>
    </xf>
    <xf numFmtId="0" fontId="2" fillId="0" borderId="221" xfId="0" applyFont="1" applyFill="1" applyBorder="1" applyAlignment="1">
      <alignment horizontal="left" vertical="center" wrapText="1"/>
    </xf>
    <xf numFmtId="0" fontId="2" fillId="0" borderId="193" xfId="0" applyFont="1" applyFill="1" applyBorder="1"/>
    <xf numFmtId="0" fontId="0" fillId="0" borderId="193" xfId="0" applyFill="1" applyBorder="1" applyAlignment="1">
      <alignment horizontal="center" wrapText="1"/>
    </xf>
    <xf numFmtId="0" fontId="0" fillId="0" borderId="193" xfId="0" applyFill="1" applyBorder="1" applyAlignment="1">
      <alignment horizontal="center"/>
    </xf>
    <xf numFmtId="0" fontId="89" fillId="0" borderId="193" xfId="0" applyFont="1" applyFill="1" applyBorder="1" applyAlignment="1">
      <alignment horizontal="center" wrapText="1"/>
    </xf>
    <xf numFmtId="0" fontId="0" fillId="0" borderId="193" xfId="0" applyFill="1" applyBorder="1"/>
    <xf numFmtId="0" fontId="3" fillId="0" borderId="212" xfId="0" applyFont="1" applyFill="1" applyBorder="1"/>
    <xf numFmtId="0" fontId="2" fillId="0" borderId="220" xfId="0" applyFont="1" applyFill="1" applyBorder="1" applyAlignment="1">
      <alignment vertical="center" wrapText="1"/>
    </xf>
    <xf numFmtId="0" fontId="27" fillId="0" borderId="59" xfId="0" applyFont="1" applyFill="1" applyBorder="1" applyAlignment="1">
      <alignment vertical="center" wrapText="1"/>
    </xf>
    <xf numFmtId="0" fontId="27" fillId="0" borderId="59" xfId="0" applyFont="1" applyFill="1" applyBorder="1" applyAlignment="1">
      <alignment horizontal="center" vertical="center" wrapText="1"/>
    </xf>
    <xf numFmtId="0" fontId="27" fillId="0" borderId="208" xfId="0" applyFont="1" applyFill="1" applyBorder="1" applyAlignment="1">
      <alignment horizontal="center" vertical="center" wrapText="1"/>
    </xf>
    <xf numFmtId="0" fontId="2" fillId="0" borderId="222" xfId="0" applyFont="1" applyFill="1" applyBorder="1" applyAlignment="1">
      <alignment vertical="center" wrapText="1"/>
    </xf>
    <xf numFmtId="0" fontId="27" fillId="0" borderId="223" xfId="0" applyFont="1" applyFill="1" applyBorder="1" applyAlignment="1">
      <alignment wrapText="1"/>
    </xf>
    <xf numFmtId="0" fontId="27" fillId="0" borderId="223" xfId="0" applyFont="1" applyFill="1" applyBorder="1" applyAlignment="1">
      <alignment horizontal="center" wrapText="1"/>
    </xf>
    <xf numFmtId="0" fontId="27" fillId="0" borderId="224" xfId="0" applyFont="1" applyFill="1" applyBorder="1" applyAlignment="1">
      <alignment wrapText="1"/>
    </xf>
    <xf numFmtId="0" fontId="2" fillId="0" borderId="0" xfId="0" applyFont="1" applyFill="1" applyAlignment="1">
      <alignment horizontal="centerContinuous" wrapText="1"/>
    </xf>
    <xf numFmtId="0" fontId="4" fillId="0" borderId="30" xfId="0" applyFont="1" applyFill="1" applyBorder="1" applyAlignment="1">
      <alignment horizontal="center"/>
    </xf>
    <xf numFmtId="0" fontId="3" fillId="0" borderId="66" xfId="0" applyFont="1" applyFill="1" applyBorder="1" applyAlignment="1">
      <alignment horizontal="left"/>
    </xf>
    <xf numFmtId="0" fontId="8" fillId="0" borderId="94" xfId="0" applyFont="1" applyFill="1" applyBorder="1" applyAlignment="1">
      <alignment horizontal="center"/>
    </xf>
    <xf numFmtId="0" fontId="8" fillId="0" borderId="106" xfId="0" applyFont="1" applyFill="1" applyBorder="1" applyAlignment="1">
      <alignment horizontal="center"/>
    </xf>
    <xf numFmtId="0" fontId="8" fillId="0" borderId="22" xfId="0" applyFont="1" applyFill="1" applyBorder="1" applyAlignment="1">
      <alignment horizontal="center"/>
    </xf>
    <xf numFmtId="0" fontId="4" fillId="0" borderId="26" xfId="0" applyFont="1" applyFill="1" applyBorder="1" applyAlignment="1">
      <alignment horizontal="center"/>
    </xf>
    <xf numFmtId="0" fontId="4" fillId="0" borderId="35" xfId="0" applyFont="1" applyFill="1" applyBorder="1" applyAlignment="1">
      <alignment horizontal="center"/>
    </xf>
    <xf numFmtId="0" fontId="3" fillId="0" borderId="34" xfId="0" applyFont="1" applyFill="1" applyBorder="1" applyAlignment="1">
      <alignment horizontal="left"/>
    </xf>
    <xf numFmtId="0" fontId="4" fillId="0" borderId="73" xfId="0" applyFont="1" applyFill="1" applyBorder="1" applyAlignment="1">
      <alignment horizontal="center"/>
    </xf>
    <xf numFmtId="0" fontId="4" fillId="0" borderId="67" xfId="0" applyFont="1" applyFill="1" applyBorder="1" applyAlignment="1">
      <alignment horizontal="center"/>
    </xf>
    <xf numFmtId="0" fontId="4" fillId="0" borderId="23" xfId="0" applyFont="1" applyFill="1" applyBorder="1" applyAlignment="1">
      <alignment horizontal="center"/>
    </xf>
    <xf numFmtId="0" fontId="4" fillId="0" borderId="27" xfId="0" applyFont="1" applyFill="1" applyBorder="1" applyAlignment="1">
      <alignment horizontal="center"/>
    </xf>
    <xf numFmtId="0" fontId="4" fillId="0" borderId="68"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left" vertical="center"/>
    </xf>
    <xf numFmtId="0" fontId="4" fillId="0" borderId="71"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72" xfId="0" applyFont="1" applyFill="1" applyBorder="1" applyAlignment="1">
      <alignment horizontal="center" vertical="center"/>
    </xf>
    <xf numFmtId="0" fontId="3" fillId="0" borderId="147" xfId="0" applyFont="1" applyFill="1" applyBorder="1" applyAlignment="1">
      <alignment horizontal="left"/>
    </xf>
    <xf numFmtId="165" fontId="3" fillId="0" borderId="148" xfId="0" applyNumberFormat="1" applyFont="1" applyFill="1" applyBorder="1" applyAlignment="1">
      <alignment horizontal="center"/>
    </xf>
    <xf numFmtId="0" fontId="3" fillId="0" borderId="49" xfId="0" applyFont="1" applyFill="1" applyBorder="1" applyAlignment="1">
      <alignment horizontal="left"/>
    </xf>
    <xf numFmtId="0" fontId="3" fillId="0" borderId="52" xfId="0" applyFont="1" applyFill="1" applyBorder="1" applyAlignment="1">
      <alignment horizontal="left"/>
    </xf>
    <xf numFmtId="165" fontId="3" fillId="0" borderId="61" xfId="0" applyNumberFormat="1" applyFont="1" applyFill="1" applyBorder="1" applyAlignment="1">
      <alignment horizontal="center"/>
    </xf>
    <xf numFmtId="0" fontId="4" fillId="0" borderId="9" xfId="0" applyFont="1" applyFill="1" applyBorder="1" applyAlignment="1">
      <alignment horizontal="left"/>
    </xf>
    <xf numFmtId="165" fontId="4" fillId="0" borderId="0" xfId="0" applyNumberFormat="1" applyFont="1" applyFill="1"/>
    <xf numFmtId="0" fontId="2" fillId="0" borderId="12" xfId="0" applyFont="1" applyFill="1" applyBorder="1" applyAlignment="1">
      <alignment horizontal="center"/>
    </xf>
    <xf numFmtId="0" fontId="2" fillId="0" borderId="11" xfId="0" applyFont="1" applyFill="1" applyBorder="1" applyAlignment="1">
      <alignment horizontal="center"/>
    </xf>
    <xf numFmtId="0" fontId="2" fillId="0" borderId="13" xfId="0" applyFont="1" applyFill="1" applyBorder="1" applyAlignment="1">
      <alignment horizontal="center"/>
    </xf>
    <xf numFmtId="165" fontId="5" fillId="0" borderId="0" xfId="0" applyNumberFormat="1" applyFont="1" applyFill="1" applyAlignment="1">
      <alignment horizontal="centerContinuous" wrapText="1"/>
    </xf>
    <xf numFmtId="165" fontId="4" fillId="0" borderId="30" xfId="0" applyNumberFormat="1" applyFont="1" applyFill="1" applyBorder="1" applyAlignment="1">
      <alignment horizontal="center"/>
    </xf>
    <xf numFmtId="0" fontId="8" fillId="0" borderId="8" xfId="0" applyFont="1" applyFill="1" applyBorder="1" applyAlignment="1">
      <alignment horizontal="center"/>
    </xf>
    <xf numFmtId="165" fontId="4" fillId="0" borderId="35" xfId="0" applyNumberFormat="1" applyFont="1" applyFill="1" applyBorder="1" applyAlignment="1">
      <alignment horizontal="center"/>
    </xf>
    <xf numFmtId="165" fontId="4" fillId="0" borderId="44" xfId="0" applyNumberFormat="1" applyFont="1" applyFill="1" applyBorder="1" applyAlignment="1">
      <alignment horizontal="center" vertical="center"/>
    </xf>
    <xf numFmtId="0" fontId="4" fillId="0" borderId="46" xfId="0" applyFont="1" applyFill="1" applyBorder="1" applyAlignment="1">
      <alignment horizontal="center" vertical="center"/>
    </xf>
    <xf numFmtId="165" fontId="0" fillId="0" borderId="0" xfId="0" applyNumberFormat="1" applyFill="1"/>
    <xf numFmtId="165" fontId="7" fillId="0" borderId="0" xfId="0" applyNumberFormat="1" applyFont="1" applyFill="1"/>
    <xf numFmtId="0" fontId="3" fillId="0" borderId="66" xfId="0" applyFont="1" applyFill="1" applyBorder="1"/>
    <xf numFmtId="0" fontId="4" fillId="0" borderId="29" xfId="0" applyFont="1" applyFill="1" applyBorder="1" applyAlignment="1">
      <alignment horizontal="center"/>
    </xf>
    <xf numFmtId="0" fontId="3" fillId="0" borderId="34" xfId="0" applyFont="1" applyFill="1" applyBorder="1"/>
    <xf numFmtId="0" fontId="4" fillId="0" borderId="12" xfId="0" applyFont="1" applyFill="1" applyBorder="1" applyAlignment="1">
      <alignment horizontal="center"/>
    </xf>
    <xf numFmtId="0" fontId="4" fillId="0" borderId="45" xfId="0" applyFont="1" applyFill="1" applyBorder="1" applyAlignment="1">
      <alignment vertical="center"/>
    </xf>
    <xf numFmtId="0" fontId="4" fillId="0" borderId="5" xfId="0" applyFont="1" applyFill="1" applyBorder="1" applyAlignment="1">
      <alignment horizontal="center" vertical="center"/>
    </xf>
    <xf numFmtId="0" fontId="3" fillId="0" borderId="147" xfId="0" applyFont="1" applyFill="1" applyBorder="1"/>
    <xf numFmtId="0" fontId="3" fillId="0" borderId="49" xfId="0" applyFont="1" applyFill="1" applyBorder="1"/>
    <xf numFmtId="0" fontId="3" fillId="0" borderId="52" xfId="0" applyFont="1" applyFill="1" applyBorder="1"/>
    <xf numFmtId="49" fontId="4" fillId="0" borderId="0" xfId="0" applyNumberFormat="1" applyFont="1" applyFill="1" applyAlignment="1">
      <alignment horizontal="centerContinuous"/>
    </xf>
    <xf numFmtId="165" fontId="4" fillId="0" borderId="0" xfId="0" applyNumberFormat="1" applyFont="1" applyFill="1" applyAlignment="1">
      <alignment horizontal="left"/>
    </xf>
    <xf numFmtId="0" fontId="4" fillId="0" borderId="14" xfId="0" applyFont="1" applyFill="1" applyBorder="1" applyAlignment="1">
      <alignment horizontal="left"/>
    </xf>
    <xf numFmtId="165" fontId="4" fillId="0" borderId="80" xfId="0" applyNumberFormat="1" applyFont="1" applyFill="1" applyBorder="1" applyAlignment="1">
      <alignment horizontal="center" wrapText="1"/>
    </xf>
    <xf numFmtId="165" fontId="4" fillId="0" borderId="4" xfId="0" applyNumberFormat="1" applyFont="1" applyFill="1" applyBorder="1" applyAlignment="1">
      <alignment horizontal="left" wrapText="1"/>
    </xf>
    <xf numFmtId="165" fontId="4" fillId="0" borderId="15" xfId="0" applyNumberFormat="1" applyFont="1" applyFill="1" applyBorder="1" applyAlignment="1">
      <alignment horizontal="center"/>
    </xf>
    <xf numFmtId="165" fontId="4" fillId="0" borderId="54" xfId="0" applyNumberFormat="1" applyFont="1" applyFill="1" applyBorder="1" applyAlignment="1">
      <alignment horizontal="center" wrapText="1"/>
    </xf>
    <xf numFmtId="165" fontId="3" fillId="0" borderId="147" xfId="0" applyNumberFormat="1" applyFont="1" applyFill="1" applyBorder="1" applyAlignment="1">
      <alignment horizontal="left"/>
    </xf>
    <xf numFmtId="165" fontId="3" fillId="0" borderId="49" xfId="0" applyNumberFormat="1" applyFont="1" applyFill="1" applyBorder="1" applyAlignment="1">
      <alignment horizontal="left"/>
    </xf>
    <xf numFmtId="165" fontId="3" fillId="0" borderId="52" xfId="0" applyNumberFormat="1" applyFont="1" applyFill="1" applyBorder="1" applyAlignment="1">
      <alignment horizontal="left"/>
    </xf>
    <xf numFmtId="49" fontId="3" fillId="0" borderId="0" xfId="0" applyNumberFormat="1" applyFont="1" applyFill="1" applyAlignment="1">
      <alignment horizontal="centerContinuous"/>
    </xf>
    <xf numFmtId="164" fontId="4" fillId="0" borderId="0" xfId="0" applyNumberFormat="1" applyFont="1" applyFill="1" applyAlignment="1">
      <alignment horizontal="center"/>
    </xf>
    <xf numFmtId="164" fontId="3" fillId="0" borderId="0" xfId="0" applyNumberFormat="1" applyFont="1" applyFill="1" applyAlignment="1">
      <alignment horizontal="center"/>
    </xf>
    <xf numFmtId="11" fontId="4" fillId="0" borderId="0" xfId="0" applyNumberFormat="1" applyFont="1" applyFill="1" applyAlignment="1">
      <alignment horizontal="left"/>
    </xf>
    <xf numFmtId="165" fontId="4" fillId="0" borderId="4" xfId="0" applyNumberFormat="1" applyFont="1" applyFill="1" applyBorder="1" applyAlignment="1">
      <alignment horizontal="center" wrapText="1"/>
    </xf>
    <xf numFmtId="0" fontId="4" fillId="0" borderId="53" xfId="0" applyFont="1" applyFill="1" applyBorder="1" applyAlignment="1">
      <alignment horizontal="center" wrapText="1"/>
    </xf>
    <xf numFmtId="49" fontId="4" fillId="0" borderId="63" xfId="0" applyNumberFormat="1" applyFont="1" applyFill="1" applyBorder="1" applyAlignment="1">
      <alignment horizontal="center" wrapText="1"/>
    </xf>
    <xf numFmtId="49" fontId="4" fillId="0" borderId="54" xfId="0" applyNumberFormat="1" applyFont="1" applyFill="1" applyBorder="1" applyAlignment="1">
      <alignment horizontal="center" wrapText="1"/>
    </xf>
    <xf numFmtId="11" fontId="4" fillId="0" borderId="64" xfId="0" applyNumberFormat="1" applyFont="1" applyFill="1" applyBorder="1" applyAlignment="1">
      <alignment horizontal="center" wrapText="1"/>
    </xf>
    <xf numFmtId="11" fontId="3" fillId="0" borderId="95" xfId="0" applyNumberFormat="1" applyFont="1" applyFill="1" applyBorder="1" applyAlignment="1">
      <alignment horizontal="center"/>
    </xf>
    <xf numFmtId="11" fontId="3" fillId="0" borderId="149" xfId="0" applyNumberFormat="1" applyFont="1" applyFill="1" applyBorder="1" applyAlignment="1">
      <alignment horizontal="center"/>
    </xf>
    <xf numFmtId="11" fontId="3" fillId="0" borderId="151" xfId="0" applyNumberFormat="1" applyFont="1" applyFill="1" applyBorder="1" applyAlignment="1">
      <alignment horizontal="center"/>
    </xf>
    <xf numFmtId="11" fontId="3" fillId="0" borderId="96" xfId="0" applyNumberFormat="1" applyFont="1" applyFill="1" applyBorder="1" applyAlignment="1">
      <alignment horizontal="center"/>
    </xf>
    <xf numFmtId="11" fontId="3" fillId="0" borderId="37" xfId="0" applyNumberFormat="1" applyFont="1" applyFill="1" applyBorder="1" applyAlignment="1">
      <alignment horizontal="center"/>
    </xf>
    <xf numFmtId="11" fontId="3" fillId="0" borderId="36" xfId="0" applyNumberFormat="1" applyFont="1" applyFill="1" applyBorder="1" applyAlignment="1">
      <alignment horizontal="center"/>
    </xf>
    <xf numFmtId="11" fontId="3" fillId="0" borderId="87" xfId="0" applyNumberFormat="1" applyFont="1" applyFill="1" applyBorder="1" applyAlignment="1">
      <alignment horizontal="center"/>
    </xf>
    <xf numFmtId="11" fontId="3" fillId="0" borderId="65" xfId="0" applyNumberFormat="1" applyFont="1" applyFill="1" applyBorder="1" applyAlignment="1">
      <alignment horizontal="center"/>
    </xf>
    <xf numFmtId="11" fontId="3" fillId="0" borderId="112" xfId="0" applyNumberFormat="1" applyFont="1" applyFill="1" applyBorder="1" applyAlignment="1">
      <alignment horizontal="center"/>
    </xf>
    <xf numFmtId="11" fontId="3" fillId="0" borderId="111" xfId="0" applyNumberFormat="1" applyFont="1" applyFill="1" applyBorder="1" applyAlignment="1">
      <alignment horizontal="center"/>
    </xf>
    <xf numFmtId="11" fontId="3" fillId="0" borderId="200" xfId="0" applyNumberFormat="1" applyFont="1" applyFill="1" applyBorder="1" applyAlignment="1">
      <alignment horizontal="center"/>
    </xf>
    <xf numFmtId="11" fontId="3" fillId="0" borderId="81" xfId="0" applyNumberFormat="1" applyFont="1" applyFill="1" applyBorder="1" applyAlignment="1">
      <alignment horizontal="center"/>
    </xf>
    <xf numFmtId="11" fontId="3" fillId="0" borderId="12" xfId="0" applyNumberFormat="1" applyFont="1" applyFill="1" applyBorder="1" applyAlignment="1">
      <alignment horizontal="center"/>
    </xf>
    <xf numFmtId="0" fontId="3" fillId="0" borderId="11" xfId="0" applyFont="1" applyFill="1" applyBorder="1" applyAlignment="1">
      <alignment horizontal="center"/>
    </xf>
    <xf numFmtId="49" fontId="3" fillId="0" borderId="11" xfId="0" applyNumberFormat="1" applyFont="1" applyFill="1" applyBorder="1" applyAlignment="1">
      <alignment horizontal="center"/>
    </xf>
    <xf numFmtId="11" fontId="3" fillId="0" borderId="13" xfId="0" applyNumberFormat="1" applyFont="1" applyFill="1" applyBorder="1" applyAlignment="1">
      <alignment horizontal="center"/>
    </xf>
    <xf numFmtId="0" fontId="13" fillId="0" borderId="0" xfId="0" applyFont="1" applyFill="1" applyAlignment="1">
      <alignment horizontal="centerContinuous"/>
    </xf>
    <xf numFmtId="0" fontId="13" fillId="0" borderId="57" xfId="0" applyFont="1" applyFill="1" applyBorder="1" applyAlignment="1">
      <alignment horizontal="center"/>
    </xf>
    <xf numFmtId="0" fontId="13" fillId="0" borderId="20" xfId="0" applyFont="1" applyFill="1" applyBorder="1" applyAlignment="1">
      <alignment horizontal="center"/>
    </xf>
    <xf numFmtId="0" fontId="13" fillId="0" borderId="58" xfId="0" applyFont="1" applyFill="1" applyBorder="1" applyAlignment="1">
      <alignment horizontal="center" wrapText="1"/>
    </xf>
    <xf numFmtId="0" fontId="0" fillId="0" borderId="60" xfId="0" applyFill="1" applyBorder="1" applyAlignment="1">
      <alignment horizontal="center" vertical="center"/>
    </xf>
    <xf numFmtId="0" fontId="0" fillId="0" borderId="61" xfId="0" applyFill="1" applyBorder="1" applyAlignment="1">
      <alignment horizontal="center" wrapText="1"/>
    </xf>
    <xf numFmtId="0" fontId="0" fillId="0" borderId="62" xfId="0" applyFill="1" applyBorder="1" applyAlignment="1">
      <alignment horizontal="center" vertical="center"/>
    </xf>
    <xf numFmtId="0" fontId="0" fillId="0" borderId="2" xfId="0" applyFill="1" applyBorder="1"/>
    <xf numFmtId="0" fontId="0" fillId="0" borderId="8" xfId="0" applyFill="1" applyBorder="1" applyAlignment="1">
      <alignment horizontal="center"/>
    </xf>
    <xf numFmtId="0" fontId="0" fillId="0" borderId="29" xfId="0" applyFill="1" applyBorder="1" applyAlignment="1">
      <alignment horizontal="center"/>
    </xf>
    <xf numFmtId="0" fontId="0" fillId="0" borderId="12" xfId="0" applyFill="1" applyBorder="1" applyAlignment="1">
      <alignment horizontal="center"/>
    </xf>
    <xf numFmtId="0" fontId="0" fillId="0" borderId="11" xfId="0" applyFill="1" applyBorder="1" applyAlignment="1">
      <alignment horizontal="center"/>
    </xf>
    <xf numFmtId="0" fontId="0" fillId="0" borderId="13" xfId="0" applyFill="1" applyBorder="1" applyAlignment="1">
      <alignment horizontal="center"/>
    </xf>
    <xf numFmtId="165" fontId="10" fillId="0" borderId="11" xfId="0" applyNumberFormat="1" applyFont="1" applyFill="1" applyBorder="1" applyAlignment="1">
      <alignment horizontal="centerContinuous"/>
    </xf>
    <xf numFmtId="49" fontId="79" fillId="0" borderId="2" xfId="0" applyNumberFormat="1" applyFont="1" applyFill="1" applyBorder="1" applyAlignment="1">
      <alignment horizontal="centerContinuous"/>
    </xf>
    <xf numFmtId="11" fontId="96" fillId="0" borderId="198" xfId="0" applyNumberFormat="1" applyFont="1" applyFill="1" applyBorder="1" applyAlignment="1">
      <alignment horizontal="center" wrapText="1"/>
    </xf>
    <xf numFmtId="0" fontId="79" fillId="0" borderId="198" xfId="0" applyFont="1" applyFill="1" applyBorder="1" applyAlignment="1">
      <alignment horizontal="center" wrapText="1"/>
    </xf>
    <xf numFmtId="165" fontId="79" fillId="0" borderId="197" xfId="0" applyNumberFormat="1" applyFont="1" applyFill="1" applyBorder="1" applyAlignment="1">
      <alignment horizontal="center" wrapText="1"/>
    </xf>
    <xf numFmtId="49" fontId="79" fillId="0" borderId="90" xfId="0" applyNumberFormat="1" applyFont="1" applyFill="1" applyBorder="1"/>
    <xf numFmtId="11" fontId="79" fillId="0" borderId="199" xfId="0" applyNumberFormat="1" applyFont="1" applyFill="1" applyBorder="1" applyAlignment="1">
      <alignment horizontal="center"/>
    </xf>
    <xf numFmtId="165" fontId="79" fillId="0" borderId="199" xfId="0" applyNumberFormat="1" applyFont="1" applyFill="1" applyBorder="1" applyAlignment="1">
      <alignment horizontal="center"/>
    </xf>
    <xf numFmtId="165" fontId="79" fillId="0" borderId="194" xfId="0" applyNumberFormat="1" applyFont="1" applyFill="1" applyBorder="1" applyAlignment="1">
      <alignment horizontal="center"/>
    </xf>
    <xf numFmtId="165" fontId="27" fillId="0" borderId="155" xfId="0" applyNumberFormat="1" applyFont="1" applyFill="1" applyBorder="1" applyAlignment="1">
      <alignment horizontal="center"/>
    </xf>
    <xf numFmtId="11" fontId="27" fillId="0" borderId="155" xfId="0" applyNumberFormat="1" applyFont="1" applyFill="1" applyBorder="1" applyAlignment="1">
      <alignment horizontal="center"/>
    </xf>
    <xf numFmtId="165" fontId="27" fillId="0" borderId="153" xfId="0" applyNumberFormat="1" applyFont="1" applyFill="1" applyBorder="1" applyAlignment="1">
      <alignment horizontal="center"/>
    </xf>
    <xf numFmtId="165" fontId="27" fillId="0" borderId="17" xfId="0" applyNumberFormat="1" applyFont="1" applyFill="1" applyBorder="1" applyAlignment="1">
      <alignment horizontal="center"/>
    </xf>
    <xf numFmtId="11" fontId="27" fillId="0" borderId="17" xfId="0" applyNumberFormat="1" applyFont="1" applyFill="1" applyBorder="1" applyAlignment="1">
      <alignment horizontal="center"/>
    </xf>
    <xf numFmtId="165" fontId="27" fillId="0" borderId="74" xfId="0" applyNumberFormat="1" applyFont="1" applyFill="1" applyBorder="1" applyAlignment="1">
      <alignment horizontal="center"/>
    </xf>
    <xf numFmtId="165" fontId="27" fillId="0" borderId="18" xfId="0" applyNumberFormat="1" applyFont="1" applyFill="1" applyBorder="1" applyAlignment="1">
      <alignment horizontal="center"/>
    </xf>
    <xf numFmtId="11" fontId="27" fillId="0" borderId="18" xfId="0" applyNumberFormat="1" applyFont="1" applyFill="1" applyBorder="1" applyAlignment="1">
      <alignment horizontal="center"/>
    </xf>
    <xf numFmtId="165" fontId="27" fillId="0" borderId="107" xfId="0" applyNumberFormat="1" applyFont="1" applyFill="1" applyBorder="1" applyAlignment="1">
      <alignment horizontal="center"/>
    </xf>
    <xf numFmtId="49" fontId="4" fillId="0" borderId="0" xfId="0" applyNumberFormat="1" applyFont="1" applyFill="1" applyAlignment="1">
      <alignment horizontal="left"/>
    </xf>
    <xf numFmtId="49" fontId="6" fillId="0" borderId="0" xfId="0" applyNumberFormat="1" applyFont="1" applyFill="1" applyAlignment="1">
      <alignment horizontal="centerContinuous"/>
    </xf>
    <xf numFmtId="49" fontId="4" fillId="0" borderId="3" xfId="0" applyNumberFormat="1" applyFont="1" applyFill="1" applyBorder="1" applyAlignment="1">
      <alignment horizontal="center" wrapText="1"/>
    </xf>
    <xf numFmtId="49" fontId="4" fillId="0" borderId="12" xfId="0" applyNumberFormat="1" applyFont="1" applyFill="1" applyBorder="1"/>
    <xf numFmtId="49" fontId="3" fillId="0" borderId="13" xfId="0" applyNumberFormat="1" applyFont="1" applyFill="1" applyBorder="1"/>
    <xf numFmtId="165" fontId="6" fillId="0" borderId="0" xfId="0" applyNumberFormat="1" applyFont="1" applyFill="1" applyAlignment="1">
      <alignment horizontal="centerContinuous"/>
    </xf>
    <xf numFmtId="165" fontId="6" fillId="0" borderId="0" xfId="0" applyNumberFormat="1" applyFont="1" applyFill="1" applyAlignment="1">
      <alignment horizontal="center"/>
    </xf>
    <xf numFmtId="0" fontId="6" fillId="0" borderId="0" xfId="0" applyFont="1" applyFill="1" applyAlignment="1">
      <alignment horizontal="centerContinuous"/>
    </xf>
    <xf numFmtId="165" fontId="4" fillId="0" borderId="141" xfId="0" applyNumberFormat="1" applyFont="1" applyFill="1" applyBorder="1" applyAlignment="1">
      <alignment horizontal="center" wrapText="1"/>
    </xf>
    <xf numFmtId="165" fontId="4" fillId="0" borderId="45" xfId="0" applyNumberFormat="1" applyFont="1" applyFill="1" applyBorder="1" applyAlignment="1">
      <alignment horizontal="left" wrapText="1"/>
    </xf>
    <xf numFmtId="165" fontId="4" fillId="0" borderId="44" xfId="0" applyNumberFormat="1" applyFont="1" applyFill="1" applyBorder="1" applyAlignment="1">
      <alignment horizontal="center" wrapText="1"/>
    </xf>
    <xf numFmtId="165" fontId="4" fillId="0" borderId="170" xfId="0" applyNumberFormat="1" applyFont="1" applyFill="1" applyBorder="1" applyAlignment="1">
      <alignment horizontal="center" wrapText="1"/>
    </xf>
    <xf numFmtId="0" fontId="8" fillId="0" borderId="80" xfId="0" applyFont="1" applyFill="1" applyBorder="1" applyAlignment="1">
      <alignment horizontal="center" wrapText="1"/>
    </xf>
    <xf numFmtId="0" fontId="8" fillId="0" borderId="15" xfId="0" applyFont="1" applyFill="1" applyBorder="1" applyAlignment="1">
      <alignment horizontal="center" wrapText="1"/>
    </xf>
    <xf numFmtId="49" fontId="4" fillId="0" borderId="4" xfId="0" applyNumberFormat="1" applyFont="1" applyFill="1" applyBorder="1"/>
    <xf numFmtId="0" fontId="8" fillId="0" borderId="105" xfId="0" applyFont="1" applyFill="1" applyBorder="1" applyAlignment="1">
      <alignment horizontal="center" wrapText="1"/>
    </xf>
    <xf numFmtId="0" fontId="8" fillId="0" borderId="24" xfId="0" applyFont="1" applyFill="1" applyBorder="1" applyAlignment="1">
      <alignment horizontal="center" wrapText="1"/>
    </xf>
    <xf numFmtId="49" fontId="4" fillId="0" borderId="28" xfId="0" applyNumberFormat="1" applyFont="1" applyFill="1" applyBorder="1"/>
    <xf numFmtId="49" fontId="4" fillId="0" borderId="50" xfId="0" applyNumberFormat="1" applyFont="1" applyFill="1" applyBorder="1"/>
    <xf numFmtId="165" fontId="3" fillId="0" borderId="131" xfId="0" applyNumberFormat="1" applyFont="1" applyFill="1" applyBorder="1" applyAlignment="1">
      <alignment horizontal="center"/>
    </xf>
    <xf numFmtId="165" fontId="3" fillId="0" borderId="134" xfId="0" applyNumberFormat="1" applyFont="1" applyFill="1" applyBorder="1" applyAlignment="1">
      <alignment horizontal="center"/>
    </xf>
    <xf numFmtId="49" fontId="4" fillId="0" borderId="133" xfId="0" applyNumberFormat="1" applyFont="1" applyFill="1" applyBorder="1"/>
    <xf numFmtId="49" fontId="4" fillId="0" borderId="49" xfId="0" applyNumberFormat="1" applyFont="1" applyFill="1" applyBorder="1"/>
    <xf numFmtId="49" fontId="4" fillId="0" borderId="65" xfId="0" applyNumberFormat="1" applyFont="1" applyFill="1" applyBorder="1"/>
    <xf numFmtId="165" fontId="3" fillId="0" borderId="128" xfId="0" applyNumberFormat="1" applyFont="1" applyFill="1" applyBorder="1" applyAlignment="1">
      <alignment horizontal="center" vertical="center"/>
    </xf>
    <xf numFmtId="165" fontId="3" fillId="0" borderId="36" xfId="0" applyNumberFormat="1" applyFont="1" applyFill="1" applyBorder="1" applyAlignment="1">
      <alignment horizontal="center" vertical="center"/>
    </xf>
    <xf numFmtId="49" fontId="4" fillId="0" borderId="49" xfId="0" applyNumberFormat="1" applyFont="1" applyFill="1" applyBorder="1" applyAlignment="1">
      <alignment vertical="center"/>
    </xf>
    <xf numFmtId="49" fontId="4" fillId="0" borderId="65" xfId="0" applyNumberFormat="1" applyFont="1" applyFill="1" applyBorder="1" applyAlignment="1">
      <alignment vertical="center"/>
    </xf>
    <xf numFmtId="49" fontId="4" fillId="0" borderId="87" xfId="0" applyNumberFormat="1" applyFont="1" applyFill="1" applyBorder="1" applyAlignment="1">
      <alignment vertical="center"/>
    </xf>
    <xf numFmtId="165" fontId="3" fillId="0" borderId="129" xfId="0" applyNumberFormat="1" applyFont="1" applyFill="1" applyBorder="1" applyAlignment="1">
      <alignment horizontal="center" vertical="center"/>
    </xf>
    <xf numFmtId="49" fontId="4" fillId="0" borderId="200" xfId="0" applyNumberFormat="1" applyFont="1" applyFill="1" applyBorder="1" applyAlignment="1">
      <alignment vertical="center"/>
    </xf>
    <xf numFmtId="49" fontId="4" fillId="0" borderId="81" xfId="0" applyNumberFormat="1" applyFont="1" applyFill="1" applyBorder="1" applyAlignment="1">
      <alignment vertical="center"/>
    </xf>
    <xf numFmtId="49" fontId="3" fillId="0" borderId="13" xfId="0" applyNumberFormat="1" applyFont="1" applyFill="1" applyBorder="1" applyAlignment="1">
      <alignment horizontal="center"/>
    </xf>
    <xf numFmtId="0" fontId="4" fillId="0" borderId="7" xfId="0" applyFont="1" applyFill="1" applyBorder="1" applyAlignment="1">
      <alignment horizontal="left"/>
    </xf>
    <xf numFmtId="165" fontId="4" fillId="0" borderId="100" xfId="0" applyNumberFormat="1" applyFont="1" applyFill="1" applyBorder="1" applyAlignment="1">
      <alignment horizontal="center" wrapText="1"/>
    </xf>
    <xf numFmtId="165" fontId="4" fillId="0" borderId="42" xfId="0" applyNumberFormat="1" applyFont="1" applyFill="1" applyBorder="1" applyAlignment="1">
      <alignment horizontal="center" wrapText="1"/>
    </xf>
    <xf numFmtId="49" fontId="4" fillId="0" borderId="43" xfId="0" applyNumberFormat="1" applyFont="1" applyFill="1" applyBorder="1" applyAlignment="1">
      <alignment horizontal="left" wrapText="1"/>
    </xf>
    <xf numFmtId="165" fontId="4" fillId="0" borderId="41" xfId="0" applyNumberFormat="1" applyFont="1" applyFill="1" applyBorder="1" applyAlignment="1">
      <alignment horizontal="center" wrapText="1"/>
    </xf>
    <xf numFmtId="49" fontId="4" fillId="0" borderId="209" xfId="0" applyNumberFormat="1" applyFont="1" applyFill="1" applyBorder="1" applyAlignment="1">
      <alignment horizontal="left" wrapText="1"/>
    </xf>
    <xf numFmtId="165" fontId="4" fillId="0" borderId="195" xfId="0" applyNumberFormat="1" applyFont="1" applyFill="1" applyBorder="1" applyAlignment="1">
      <alignment horizontal="center" wrapText="1"/>
    </xf>
    <xf numFmtId="165" fontId="4" fillId="0" borderId="83" xfId="0" applyNumberFormat="1" applyFont="1" applyFill="1" applyBorder="1" applyAlignment="1">
      <alignment horizontal="center" wrapText="1"/>
    </xf>
    <xf numFmtId="49" fontId="4" fillId="0" borderId="84" xfId="0" applyNumberFormat="1" applyFont="1" applyFill="1" applyBorder="1" applyAlignment="1">
      <alignment horizontal="left" wrapText="1"/>
    </xf>
    <xf numFmtId="49" fontId="3" fillId="0" borderId="147" xfId="0" applyNumberFormat="1" applyFont="1" applyFill="1" applyBorder="1" applyAlignment="1">
      <alignment horizontal="left"/>
    </xf>
    <xf numFmtId="165" fontId="3" fillId="0" borderId="207" xfId="0" applyNumberFormat="1" applyFont="1" applyFill="1" applyBorder="1" applyAlignment="1">
      <alignment horizontal="left"/>
    </xf>
    <xf numFmtId="49" fontId="3" fillId="0" borderId="49" xfId="0" applyNumberFormat="1" applyFont="1" applyFill="1" applyBorder="1" applyAlignment="1">
      <alignment horizontal="left"/>
    </xf>
    <xf numFmtId="49" fontId="3" fillId="0" borderId="65" xfId="0" applyNumberFormat="1" applyFont="1" applyFill="1" applyBorder="1" applyAlignment="1">
      <alignment horizontal="left"/>
    </xf>
    <xf numFmtId="49" fontId="3" fillId="0" borderId="208" xfId="0" applyNumberFormat="1" applyFont="1" applyFill="1" applyBorder="1" applyAlignment="1">
      <alignment horizontal="left"/>
    </xf>
    <xf numFmtId="49" fontId="3" fillId="0" borderId="49" xfId="0" applyNumberFormat="1" applyFont="1" applyFill="1" applyBorder="1" applyAlignment="1">
      <alignment horizontal="left" wrapText="1"/>
    </xf>
    <xf numFmtId="165" fontId="3" fillId="0" borderId="48" xfId="0" applyNumberFormat="1" applyFont="1" applyFill="1" applyBorder="1" applyAlignment="1">
      <alignment horizontal="center" wrapText="1"/>
    </xf>
    <xf numFmtId="165" fontId="3" fillId="0" borderId="87" xfId="0" applyNumberFormat="1" applyFont="1" applyFill="1" applyBorder="1" applyAlignment="1">
      <alignment horizontal="center" wrapText="1"/>
    </xf>
    <xf numFmtId="49" fontId="68" fillId="0" borderId="49" xfId="0" applyNumberFormat="1" applyFont="1" applyFill="1" applyBorder="1" applyAlignment="1">
      <alignment horizontal="left"/>
    </xf>
    <xf numFmtId="165" fontId="68" fillId="0" borderId="37" xfId="0" applyNumberFormat="1" applyFont="1" applyFill="1" applyBorder="1" applyAlignment="1">
      <alignment horizontal="center"/>
    </xf>
    <xf numFmtId="49" fontId="68" fillId="0" borderId="208" xfId="0" applyNumberFormat="1" applyFont="1" applyFill="1" applyBorder="1" applyAlignment="1">
      <alignment horizontal="left"/>
    </xf>
    <xf numFmtId="165" fontId="68" fillId="0" borderId="208" xfId="0" applyNumberFormat="1" applyFont="1" applyFill="1" applyBorder="1" applyAlignment="1">
      <alignment horizontal="left"/>
    </xf>
    <xf numFmtId="165" fontId="3" fillId="0" borderId="128" xfId="0" applyNumberFormat="1" applyFont="1" applyFill="1" applyBorder="1" applyAlignment="1">
      <alignment horizontal="center" wrapText="1"/>
    </xf>
    <xf numFmtId="165" fontId="68" fillId="0" borderId="37" xfId="0" applyNumberFormat="1" applyFont="1" applyFill="1" applyBorder="1" applyAlignment="1">
      <alignment horizontal="center" wrapText="1"/>
    </xf>
    <xf numFmtId="165" fontId="3" fillId="0" borderId="36" xfId="0" applyNumberFormat="1" applyFont="1" applyFill="1" applyBorder="1" applyAlignment="1">
      <alignment horizontal="center" wrapText="1"/>
    </xf>
    <xf numFmtId="49" fontId="68" fillId="0" borderId="49" xfId="0" applyNumberFormat="1" applyFont="1" applyFill="1" applyBorder="1" applyAlignment="1">
      <alignment horizontal="left" wrapText="1"/>
    </xf>
    <xf numFmtId="49" fontId="4" fillId="0" borderId="0" xfId="0" applyNumberFormat="1" applyFont="1" applyFill="1" applyAlignment="1">
      <alignment vertical="center"/>
    </xf>
    <xf numFmtId="0" fontId="4" fillId="0" borderId="0" xfId="0" applyFont="1" applyFill="1" applyAlignment="1">
      <alignment vertical="center"/>
    </xf>
    <xf numFmtId="165" fontId="68" fillId="0" borderId="128" xfId="0" applyNumberFormat="1" applyFont="1" applyFill="1" applyBorder="1" applyAlignment="1">
      <alignment horizontal="center" wrapText="1"/>
    </xf>
    <xf numFmtId="49" fontId="68" fillId="0" borderId="208" xfId="0" applyNumberFormat="1" applyFont="1" applyFill="1" applyBorder="1" applyAlignment="1">
      <alignment horizontal="left" wrapText="1"/>
    </xf>
    <xf numFmtId="165" fontId="3" fillId="0" borderId="37" xfId="0" applyNumberFormat="1" applyFont="1" applyFill="1" applyBorder="1" applyAlignment="1">
      <alignment horizontal="center" wrapText="1"/>
    </xf>
    <xf numFmtId="165" fontId="3" fillId="0" borderId="132" xfId="0" applyNumberFormat="1" applyFont="1" applyFill="1" applyBorder="1" applyAlignment="1">
      <alignment horizontal="center" vertical="center" wrapText="1"/>
    </xf>
    <xf numFmtId="165" fontId="3" fillId="0" borderId="123" xfId="0" applyNumberFormat="1" applyFont="1" applyFill="1" applyBorder="1" applyAlignment="1">
      <alignment horizontal="center" vertical="center" wrapText="1"/>
    </xf>
    <xf numFmtId="165" fontId="3" fillId="0" borderId="35" xfId="0" applyNumberFormat="1" applyFont="1" applyFill="1" applyBorder="1" applyAlignment="1">
      <alignment horizontal="center" vertical="center" wrapText="1"/>
    </xf>
    <xf numFmtId="49" fontId="68" fillId="0" borderId="34" xfId="0" applyNumberFormat="1" applyFont="1" applyFill="1" applyBorder="1" applyAlignment="1">
      <alignment horizontal="left" vertical="center" wrapText="1"/>
    </xf>
    <xf numFmtId="165" fontId="68" fillId="0" borderId="35" xfId="0" applyNumberFormat="1" applyFont="1" applyFill="1" applyBorder="1" applyAlignment="1">
      <alignment horizontal="center" vertical="center" wrapText="1"/>
    </xf>
    <xf numFmtId="49" fontId="68" fillId="0" borderId="214" xfId="0" applyNumberFormat="1" applyFont="1" applyFill="1" applyBorder="1" applyAlignment="1">
      <alignment horizontal="left" vertical="center" wrapText="1"/>
    </xf>
    <xf numFmtId="165" fontId="3" fillId="0" borderId="0" xfId="0" applyNumberFormat="1" applyFont="1" applyFill="1" applyAlignment="1">
      <alignment horizontal="center" vertical="center" wrapText="1"/>
    </xf>
    <xf numFmtId="165" fontId="3" fillId="0" borderId="128" xfId="0" applyNumberFormat="1" applyFont="1" applyFill="1" applyBorder="1" applyAlignment="1">
      <alignment horizontal="center" vertical="center" wrapText="1"/>
    </xf>
    <xf numFmtId="49" fontId="3" fillId="0" borderId="49" xfId="0" applyNumberFormat="1" applyFont="1" applyFill="1" applyBorder="1" applyAlignment="1">
      <alignment horizontal="left" vertical="center" wrapText="1"/>
    </xf>
    <xf numFmtId="165"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left" vertical="center"/>
    </xf>
    <xf numFmtId="49" fontId="68" fillId="0" borderId="49" xfId="0" applyNumberFormat="1" applyFont="1" applyFill="1" applyBorder="1" applyAlignment="1">
      <alignment horizontal="left" vertical="center" wrapText="1"/>
    </xf>
    <xf numFmtId="165" fontId="68" fillId="0" borderId="128" xfId="0" applyNumberFormat="1" applyFont="1" applyFill="1" applyBorder="1" applyAlignment="1">
      <alignment horizontal="center" vertical="center" wrapText="1"/>
    </xf>
    <xf numFmtId="49" fontId="68" fillId="0" borderId="208" xfId="0" applyNumberFormat="1" applyFont="1" applyFill="1" applyBorder="1" applyAlignment="1">
      <alignment horizontal="left" vertical="center" wrapText="1"/>
    </xf>
    <xf numFmtId="165" fontId="3" fillId="0" borderId="213" xfId="0" applyNumberFormat="1" applyFont="1" applyFill="1" applyBorder="1" applyAlignment="1">
      <alignment horizontal="center" vertical="center" wrapText="1"/>
    </xf>
    <xf numFmtId="165" fontId="3" fillId="0" borderId="167" xfId="0" applyNumberFormat="1" applyFont="1" applyFill="1" applyBorder="1" applyAlignment="1">
      <alignment horizontal="center" vertical="center" wrapText="1"/>
    </xf>
    <xf numFmtId="165" fontId="3" fillId="0" borderId="129" xfId="0" applyNumberFormat="1" applyFont="1" applyFill="1" applyBorder="1" applyAlignment="1">
      <alignment horizontal="center" vertical="center" wrapText="1"/>
    </xf>
    <xf numFmtId="49" fontId="3" fillId="0" borderId="52" xfId="0" applyNumberFormat="1" applyFont="1" applyFill="1" applyBorder="1" applyAlignment="1">
      <alignment horizontal="left" vertical="center" wrapText="1"/>
    </xf>
    <xf numFmtId="49" fontId="3" fillId="0" borderId="215" xfId="0" applyNumberFormat="1" applyFont="1" applyFill="1" applyBorder="1" applyAlignment="1">
      <alignment horizontal="left" vertical="center" wrapText="1"/>
    </xf>
    <xf numFmtId="165" fontId="3" fillId="0" borderId="112" xfId="0" applyNumberFormat="1" applyFont="1" applyFill="1" applyBorder="1" applyAlignment="1">
      <alignment horizontal="center" vertical="center" wrapText="1"/>
    </xf>
    <xf numFmtId="49" fontId="3" fillId="0" borderId="81" xfId="0" applyNumberFormat="1" applyFont="1" applyFill="1" applyBorder="1" applyAlignment="1">
      <alignment horizontal="left" vertical="center"/>
    </xf>
    <xf numFmtId="165" fontId="3" fillId="0" borderId="8" xfId="0" applyNumberFormat="1" applyFont="1" applyFill="1" applyBorder="1"/>
    <xf numFmtId="49" fontId="3" fillId="0" borderId="8" xfId="0" applyNumberFormat="1" applyFont="1" applyFill="1" applyBorder="1" applyAlignment="1">
      <alignment horizontal="left"/>
    </xf>
    <xf numFmtId="49" fontId="3" fillId="0" borderId="8" xfId="0" applyNumberFormat="1" applyFont="1" applyFill="1" applyBorder="1"/>
    <xf numFmtId="49" fontId="3" fillId="0" borderId="29" xfId="0" applyNumberFormat="1" applyFont="1" applyFill="1" applyBorder="1"/>
    <xf numFmtId="0" fontId="4" fillId="0" borderId="9" xfId="0" applyFont="1" applyFill="1" applyBorder="1" applyAlignment="1">
      <alignment wrapText="1"/>
    </xf>
    <xf numFmtId="0" fontId="13" fillId="0" borderId="0" xfId="0" applyFont="1" applyFill="1" applyAlignment="1">
      <alignment wrapText="1"/>
    </xf>
    <xf numFmtId="0" fontId="2" fillId="0" borderId="12" xfId="0" applyFont="1" applyFill="1" applyBorder="1" applyAlignment="1">
      <alignment wrapText="1"/>
    </xf>
    <xf numFmtId="165" fontId="3" fillId="0" borderId="12" xfId="0" applyNumberFormat="1" applyFont="1" applyFill="1" applyBorder="1"/>
    <xf numFmtId="49" fontId="3" fillId="0" borderId="11" xfId="0" applyNumberFormat="1" applyFont="1" applyFill="1" applyBorder="1" applyAlignment="1">
      <alignment horizontal="left"/>
    </xf>
    <xf numFmtId="49" fontId="4" fillId="0" borderId="93" xfId="0" applyNumberFormat="1" applyFont="1" applyFill="1" applyBorder="1"/>
    <xf numFmtId="165" fontId="4" fillId="0" borderId="94" xfId="0" applyNumberFormat="1" applyFont="1" applyFill="1" applyBorder="1" applyAlignment="1">
      <alignment horizontal="centerContinuous" wrapText="1"/>
    </xf>
    <xf numFmtId="165" fontId="4" fillId="0" borderId="66" xfId="0" applyNumberFormat="1" applyFont="1" applyFill="1" applyBorder="1" applyAlignment="1">
      <alignment horizontal="centerContinuous"/>
    </xf>
    <xf numFmtId="165" fontId="4" fillId="0" borderId="31" xfId="0" applyNumberFormat="1" applyFont="1" applyFill="1" applyBorder="1" applyAlignment="1">
      <alignment horizontal="centerContinuous" wrapText="1"/>
    </xf>
    <xf numFmtId="165" fontId="4" fillId="0" borderId="29" xfId="0" applyNumberFormat="1" applyFont="1" applyFill="1" applyBorder="1" applyAlignment="1">
      <alignment horizontal="centerContinuous"/>
    </xf>
    <xf numFmtId="0" fontId="4" fillId="0" borderId="91" xfId="0" applyFont="1" applyFill="1" applyBorder="1" applyAlignment="1">
      <alignment horizontal="left"/>
    </xf>
    <xf numFmtId="165" fontId="4" fillId="0" borderId="105" xfId="0" applyNumberFormat="1" applyFont="1" applyFill="1" applyBorder="1" applyAlignment="1">
      <alignment horizontal="center" wrapText="1"/>
    </xf>
    <xf numFmtId="165" fontId="4" fillId="0" borderId="101" xfId="0" applyNumberFormat="1" applyFont="1" applyFill="1" applyBorder="1" applyAlignment="1">
      <alignment horizontal="center" wrapText="1"/>
    </xf>
    <xf numFmtId="165" fontId="4" fillId="0" borderId="28" xfId="0" applyNumberFormat="1" applyFont="1" applyFill="1" applyBorder="1" applyAlignment="1">
      <alignment horizontal="center" wrapText="1"/>
    </xf>
    <xf numFmtId="0" fontId="4" fillId="0" borderId="12" xfId="0" applyFont="1" applyFill="1" applyBorder="1"/>
    <xf numFmtId="165" fontId="8" fillId="0" borderId="38" xfId="0" applyNumberFormat="1" applyFont="1" applyFill="1" applyBorder="1" applyAlignment="1">
      <alignment horizontal="centerContinuous" wrapText="1"/>
    </xf>
    <xf numFmtId="0" fontId="2" fillId="0" borderId="15" xfId="0" applyFont="1" applyFill="1" applyBorder="1" applyAlignment="1">
      <alignment horizontal="centerContinuous"/>
    </xf>
    <xf numFmtId="165" fontId="2" fillId="0" borderId="15" xfId="0" applyNumberFormat="1" applyFont="1" applyFill="1" applyBorder="1" applyAlignment="1">
      <alignment horizontal="centerContinuous"/>
    </xf>
    <xf numFmtId="165" fontId="2" fillId="0" borderId="38" xfId="0" applyNumberFormat="1" applyFont="1" applyFill="1" applyBorder="1" applyAlignment="1">
      <alignment horizontal="centerContinuous"/>
    </xf>
    <xf numFmtId="0" fontId="2" fillId="0" borderId="64" xfId="0" applyFont="1" applyFill="1" applyBorder="1" applyAlignment="1">
      <alignment horizontal="centerContinuous"/>
    </xf>
    <xf numFmtId="0" fontId="4" fillId="0" borderId="4" xfId="0" applyFont="1" applyFill="1" applyBorder="1" applyAlignment="1">
      <alignment horizontal="left"/>
    </xf>
    <xf numFmtId="165" fontId="4" fillId="0" borderId="38" xfId="0" applyNumberFormat="1" applyFont="1" applyFill="1" applyBorder="1" applyAlignment="1">
      <alignment horizontal="center" wrapText="1"/>
    </xf>
    <xf numFmtId="0" fontId="4" fillId="0" borderId="64" xfId="0" applyFont="1" applyFill="1" applyBorder="1" applyAlignment="1">
      <alignment horizontal="left"/>
    </xf>
    <xf numFmtId="165" fontId="3" fillId="0" borderId="96" xfId="0" applyNumberFormat="1" applyFont="1" applyFill="1" applyBorder="1" applyAlignment="1">
      <alignment horizontal="left"/>
    </xf>
    <xf numFmtId="165" fontId="3" fillId="0" borderId="65" xfId="0" applyNumberFormat="1" applyFont="1" applyFill="1" applyBorder="1" applyAlignment="1">
      <alignment horizontal="left"/>
    </xf>
    <xf numFmtId="165" fontId="3" fillId="0" borderId="81" xfId="0" applyNumberFormat="1" applyFont="1" applyFill="1" applyBorder="1" applyAlignment="1">
      <alignment horizontal="left"/>
    </xf>
    <xf numFmtId="0" fontId="3" fillId="0" borderId="12" xfId="0" applyFont="1" applyFill="1" applyBorder="1" applyAlignment="1">
      <alignment horizontal="left"/>
    </xf>
    <xf numFmtId="165" fontId="8" fillId="0" borderId="83" xfId="0" applyNumberFormat="1" applyFont="1" applyFill="1" applyBorder="1" applyAlignment="1">
      <alignment horizontal="center" wrapText="1"/>
    </xf>
    <xf numFmtId="0" fontId="4" fillId="0" borderId="56" xfId="0" applyFont="1" applyFill="1" applyBorder="1" applyAlignment="1">
      <alignment horizontal="left"/>
    </xf>
    <xf numFmtId="0" fontId="4" fillId="0" borderId="43" xfId="0" applyFont="1" applyFill="1" applyBorder="1" applyAlignment="1">
      <alignment horizontal="left"/>
    </xf>
    <xf numFmtId="0" fontId="4" fillId="0" borderId="86" xfId="0" applyFont="1" applyFill="1" applyBorder="1" applyAlignment="1">
      <alignment horizontal="left"/>
    </xf>
    <xf numFmtId="0" fontId="3" fillId="0" borderId="154" xfId="0" applyFont="1" applyFill="1" applyBorder="1" applyAlignment="1">
      <alignment horizontal="left"/>
    </xf>
    <xf numFmtId="0" fontId="3" fillId="0" borderId="150" xfId="0" applyFont="1" applyFill="1" applyBorder="1" applyAlignment="1">
      <alignment horizontal="left"/>
    </xf>
    <xf numFmtId="0" fontId="3" fillId="0" borderId="130" xfId="0" applyFont="1" applyFill="1" applyBorder="1" applyAlignment="1">
      <alignment horizontal="left"/>
    </xf>
    <xf numFmtId="0" fontId="3" fillId="0" borderId="60" xfId="0" applyFont="1" applyFill="1" applyBorder="1" applyAlignment="1">
      <alignment horizontal="left"/>
    </xf>
    <xf numFmtId="0" fontId="3" fillId="0" borderId="113" xfId="0" applyFont="1" applyFill="1" applyBorder="1" applyAlignment="1">
      <alignment horizontal="left"/>
    </xf>
    <xf numFmtId="0" fontId="3" fillId="0" borderId="62" xfId="0" applyFont="1" applyFill="1" applyBorder="1" applyAlignment="1">
      <alignment horizontal="left"/>
    </xf>
    <xf numFmtId="3" fontId="0" fillId="0" borderId="0" xfId="0" applyNumberFormat="1" applyFill="1" applyAlignment="1">
      <alignment horizontal="center"/>
    </xf>
    <xf numFmtId="0" fontId="4" fillId="0" borderId="38" xfId="0" applyFont="1" applyFill="1" applyBorder="1" applyAlignment="1">
      <alignment horizontal="centerContinuous"/>
    </xf>
    <xf numFmtId="0" fontId="8" fillId="0" borderId="15" xfId="0" applyFont="1" applyFill="1" applyBorder="1" applyAlignment="1">
      <alignment horizontal="centerContinuous"/>
    </xf>
    <xf numFmtId="0" fontId="4" fillId="0" borderId="80" xfId="0" applyFont="1" applyFill="1" applyBorder="1" applyAlignment="1">
      <alignment horizontal="centerContinuous"/>
    </xf>
    <xf numFmtId="0" fontId="8" fillId="0" borderId="102" xfId="0" applyFont="1" applyFill="1" applyBorder="1" applyAlignment="1">
      <alignment horizontal="centerContinuous"/>
    </xf>
    <xf numFmtId="165" fontId="4" fillId="0" borderId="70" xfId="0" applyNumberFormat="1" applyFont="1" applyFill="1" applyBorder="1" applyAlignment="1">
      <alignment horizontal="center" wrapText="1"/>
    </xf>
    <xf numFmtId="0" fontId="79" fillId="0" borderId="2" xfId="0" applyFont="1" applyFill="1" applyBorder="1" applyAlignment="1">
      <alignment horizontal="left"/>
    </xf>
    <xf numFmtId="165" fontId="79" fillId="0" borderId="30" xfId="0" applyNumberFormat="1" applyFont="1" applyFill="1" applyBorder="1" applyAlignment="1">
      <alignment horizontal="center" wrapText="1"/>
    </xf>
    <xf numFmtId="0" fontId="79" fillId="0" borderId="106" xfId="0" applyFont="1" applyFill="1" applyBorder="1" applyAlignment="1">
      <alignment horizontal="left"/>
    </xf>
    <xf numFmtId="165" fontId="79" fillId="0" borderId="22" xfId="0" applyNumberFormat="1" applyFont="1" applyFill="1" applyBorder="1" applyAlignment="1">
      <alignment horizontal="center" wrapText="1"/>
    </xf>
    <xf numFmtId="165" fontId="79" fillId="0" borderId="26" xfId="0" applyNumberFormat="1" applyFont="1" applyFill="1" applyBorder="1" applyAlignment="1">
      <alignment horizontal="center" wrapText="1"/>
    </xf>
    <xf numFmtId="49" fontId="79" fillId="0" borderId="0" xfId="0" applyNumberFormat="1" applyFont="1" applyFill="1"/>
    <xf numFmtId="49" fontId="27" fillId="0" borderId="109" xfId="0" applyNumberFormat="1" applyFont="1" applyFill="1" applyBorder="1" applyAlignment="1">
      <alignment horizontal="left" indent="1"/>
    </xf>
    <xf numFmtId="0" fontId="27" fillId="0" borderId="148" xfId="0" applyFont="1" applyFill="1" applyBorder="1" applyAlignment="1">
      <alignment horizontal="left"/>
    </xf>
    <xf numFmtId="49" fontId="27" fillId="0" borderId="92" xfId="0" applyNumberFormat="1" applyFont="1" applyFill="1" applyBorder="1" applyAlignment="1">
      <alignment horizontal="left" indent="1"/>
    </xf>
    <xf numFmtId="0" fontId="27" fillId="0" borderId="59" xfId="0" applyFont="1" applyFill="1" applyBorder="1" applyAlignment="1">
      <alignment horizontal="left"/>
    </xf>
    <xf numFmtId="49" fontId="27" fillId="0" borderId="92" xfId="0" applyNumberFormat="1" applyFont="1" applyFill="1" applyBorder="1" applyAlignment="1">
      <alignment horizontal="left" wrapText="1" indent="1"/>
    </xf>
    <xf numFmtId="49" fontId="27" fillId="0" borderId="6" xfId="0" applyNumberFormat="1" applyFont="1" applyFill="1" applyBorder="1" applyAlignment="1">
      <alignment horizontal="left" wrapText="1" indent="1"/>
    </xf>
    <xf numFmtId="0" fontId="27" fillId="0" borderId="61" xfId="0" applyFont="1" applyFill="1" applyBorder="1" applyAlignment="1">
      <alignment horizontal="left"/>
    </xf>
    <xf numFmtId="0" fontId="79" fillId="0" borderId="9" xfId="0" applyFont="1" applyFill="1" applyBorder="1"/>
    <xf numFmtId="165" fontId="79" fillId="0" borderId="0" xfId="0" applyNumberFormat="1" applyFont="1" applyFill="1" applyAlignment="1">
      <alignment horizontal="center"/>
    </xf>
    <xf numFmtId="0" fontId="79" fillId="0" borderId="0" xfId="0" applyFont="1" applyFill="1" applyAlignment="1">
      <alignment horizontal="left"/>
    </xf>
    <xf numFmtId="165" fontId="79" fillId="0" borderId="0" xfId="0" applyNumberFormat="1" applyFont="1" applyFill="1"/>
    <xf numFmtId="165" fontId="79" fillId="0" borderId="12" xfId="0" applyNumberFormat="1" applyFont="1" applyFill="1" applyBorder="1"/>
    <xf numFmtId="49" fontId="27" fillId="0" borderId="0" xfId="0" applyNumberFormat="1" applyFont="1" applyFill="1"/>
    <xf numFmtId="0" fontId="27" fillId="0" borderId="10" xfId="0" applyFont="1" applyFill="1" applyBorder="1"/>
    <xf numFmtId="165" fontId="27" fillId="0" borderId="11" xfId="0" applyNumberFormat="1" applyFont="1" applyFill="1" applyBorder="1" applyAlignment="1">
      <alignment horizontal="center"/>
    </xf>
    <xf numFmtId="0" fontId="27" fillId="0" borderId="11" xfId="0" applyFont="1" applyFill="1" applyBorder="1" applyAlignment="1">
      <alignment horizontal="left"/>
    </xf>
    <xf numFmtId="165" fontId="27" fillId="0" borderId="11" xfId="0" applyNumberFormat="1" applyFont="1" applyFill="1" applyBorder="1"/>
    <xf numFmtId="165" fontId="27" fillId="0" borderId="13" xfId="0" applyNumberFormat="1" applyFont="1" applyFill="1" applyBorder="1"/>
    <xf numFmtId="164" fontId="4" fillId="0" borderId="0" xfId="0" applyNumberFormat="1" applyFont="1" applyFill="1"/>
    <xf numFmtId="0" fontId="4" fillId="0" borderId="103" xfId="0" applyFont="1" applyFill="1" applyBorder="1" applyAlignment="1">
      <alignment horizontal="left"/>
    </xf>
    <xf numFmtId="165" fontId="4" fillId="0" borderId="53" xfId="0" applyNumberFormat="1" applyFont="1" applyFill="1" applyBorder="1" applyAlignment="1">
      <alignment horizontal="center" wrapText="1"/>
    </xf>
    <xf numFmtId="49" fontId="4" fillId="0" borderId="4" xfId="0" applyNumberFormat="1" applyFont="1" applyFill="1" applyBorder="1" applyAlignment="1">
      <alignment horizontal="left"/>
    </xf>
    <xf numFmtId="0" fontId="4" fillId="0" borderId="102" xfId="0" applyFont="1" applyFill="1" applyBorder="1" applyAlignment="1">
      <alignment horizontal="left"/>
    </xf>
    <xf numFmtId="0" fontId="3" fillId="0" borderId="96" xfId="0" applyFont="1" applyFill="1" applyBorder="1" applyAlignment="1">
      <alignment horizontal="left"/>
    </xf>
    <xf numFmtId="0" fontId="3" fillId="0" borderId="65" xfId="0" applyFont="1" applyFill="1" applyBorder="1" applyAlignment="1">
      <alignment horizontal="left"/>
    </xf>
    <xf numFmtId="49" fontId="3" fillId="0" borderId="52" xfId="0" applyNumberFormat="1" applyFont="1" applyFill="1" applyBorder="1" applyAlignment="1">
      <alignment horizontal="left"/>
    </xf>
    <xf numFmtId="0" fontId="3" fillId="0" borderId="81" xfId="0" applyFont="1" applyFill="1" applyBorder="1" applyAlignment="1">
      <alignment horizontal="left"/>
    </xf>
    <xf numFmtId="164" fontId="3" fillId="0" borderId="0" xfId="0" applyNumberFormat="1" applyFont="1" applyFill="1"/>
    <xf numFmtId="165" fontId="8" fillId="0" borderId="66" xfId="0" applyNumberFormat="1" applyFont="1" applyFill="1" applyBorder="1" applyAlignment="1">
      <alignment horizontal="left" wrapText="1"/>
    </xf>
    <xf numFmtId="165" fontId="4" fillId="0" borderId="94" xfId="0" applyNumberFormat="1" applyFont="1" applyFill="1" applyBorder="1" applyAlignment="1">
      <alignment horizontal="center" wrapText="1"/>
    </xf>
    <xf numFmtId="165" fontId="4" fillId="0" borderId="22" xfId="0" applyNumberFormat="1" applyFont="1" applyFill="1" applyBorder="1" applyAlignment="1">
      <alignment horizontal="centerContinuous" wrapText="1"/>
    </xf>
    <xf numFmtId="165" fontId="4" fillId="0" borderId="104" xfId="0" applyNumberFormat="1" applyFont="1" applyFill="1" applyBorder="1" applyAlignment="1">
      <alignment horizontal="center" wrapText="1"/>
    </xf>
    <xf numFmtId="165" fontId="4" fillId="0" borderId="85" xfId="0" applyNumberFormat="1" applyFont="1" applyFill="1" applyBorder="1" applyAlignment="1">
      <alignment horizontal="center" wrapText="1"/>
    </xf>
    <xf numFmtId="165" fontId="4" fillId="0" borderId="24" xfId="0" applyNumberFormat="1" applyFont="1" applyFill="1" applyBorder="1" applyAlignment="1">
      <alignment horizontal="center" wrapText="1"/>
    </xf>
    <xf numFmtId="165" fontId="4" fillId="0" borderId="5" xfId="0" applyNumberFormat="1" applyFont="1" applyFill="1" applyBorder="1" applyAlignment="1">
      <alignment horizontal="center" wrapText="1"/>
    </xf>
    <xf numFmtId="165" fontId="3" fillId="0" borderId="13" xfId="0" applyNumberFormat="1" applyFont="1" applyFill="1" applyBorder="1"/>
    <xf numFmtId="165" fontId="8" fillId="0" borderId="30" xfId="0" applyNumberFormat="1" applyFont="1" applyFill="1" applyBorder="1" applyAlignment="1">
      <alignment horizontal="left" wrapText="1"/>
    </xf>
    <xf numFmtId="165" fontId="4" fillId="0" borderId="30" xfId="0" applyNumberFormat="1" applyFont="1" applyFill="1" applyBorder="1" applyAlignment="1">
      <alignment horizontal="center" wrapText="1"/>
    </xf>
    <xf numFmtId="165" fontId="4" fillId="0" borderId="22" xfId="0" applyNumberFormat="1" applyFont="1" applyFill="1" applyBorder="1" applyAlignment="1">
      <alignment horizontal="center" wrapText="1"/>
    </xf>
    <xf numFmtId="165" fontId="4" fillId="0" borderId="26" xfId="0" applyNumberFormat="1" applyFont="1" applyFill="1" applyBorder="1" applyAlignment="1">
      <alignment horizontal="centerContinuous" wrapText="1"/>
    </xf>
    <xf numFmtId="165" fontId="4" fillId="0" borderId="99" xfId="0" applyNumberFormat="1" applyFont="1" applyFill="1" applyBorder="1" applyAlignment="1">
      <alignment horizontal="left" wrapText="1"/>
    </xf>
    <xf numFmtId="165" fontId="96" fillId="0" borderId="30" xfId="0" applyNumberFormat="1" applyFont="1" applyFill="1" applyBorder="1" applyAlignment="1">
      <alignment horizontal="left" wrapText="1"/>
    </xf>
    <xf numFmtId="165" fontId="79" fillId="0" borderId="26" xfId="0" applyNumberFormat="1" applyFont="1" applyFill="1" applyBorder="1" applyAlignment="1">
      <alignment horizontal="centerContinuous" wrapText="1"/>
    </xf>
    <xf numFmtId="165" fontId="79" fillId="0" borderId="99" xfId="0" applyNumberFormat="1" applyFont="1" applyFill="1" applyBorder="1" applyAlignment="1">
      <alignment horizontal="left" wrapText="1"/>
    </xf>
    <xf numFmtId="165" fontId="79" fillId="0" borderId="105" xfId="0" applyNumberFormat="1" applyFont="1" applyFill="1" applyBorder="1" applyAlignment="1">
      <alignment horizontal="center" wrapText="1"/>
    </xf>
    <xf numFmtId="165" fontId="79" fillId="0" borderId="101" xfId="0" applyNumberFormat="1" applyFont="1" applyFill="1" applyBorder="1" applyAlignment="1">
      <alignment horizontal="center" wrapText="1"/>
    </xf>
    <xf numFmtId="165" fontId="79" fillId="0" borderId="28" xfId="0" applyNumberFormat="1" applyFont="1" applyFill="1" applyBorder="1" applyAlignment="1">
      <alignment horizontal="center" wrapText="1"/>
    </xf>
    <xf numFmtId="49" fontId="27" fillId="0" borderId="25" xfId="0" applyNumberFormat="1" applyFont="1" applyFill="1" applyBorder="1" applyAlignment="1">
      <alignment horizontal="left" indent="1"/>
    </xf>
    <xf numFmtId="49" fontId="27" fillId="0" borderId="1" xfId="0" applyNumberFormat="1" applyFont="1" applyFill="1" applyBorder="1" applyAlignment="1">
      <alignment horizontal="left" indent="1"/>
    </xf>
    <xf numFmtId="49" fontId="27" fillId="0" borderId="1" xfId="0" applyNumberFormat="1" applyFont="1" applyFill="1" applyBorder="1" applyAlignment="1">
      <alignment horizontal="left" wrapText="1" indent="1"/>
    </xf>
    <xf numFmtId="49" fontId="27" fillId="0" borderId="16" xfId="0" applyNumberFormat="1" applyFont="1" applyFill="1" applyBorder="1" applyAlignment="1">
      <alignment horizontal="left" wrapText="1" indent="1"/>
    </xf>
    <xf numFmtId="165" fontId="3" fillId="0" borderId="8" xfId="0" applyNumberFormat="1" applyFont="1" applyFill="1" applyBorder="1" applyAlignment="1">
      <alignment horizontal="left"/>
    </xf>
    <xf numFmtId="165" fontId="4" fillId="0" borderId="38" xfId="0" applyNumberFormat="1" applyFont="1" applyFill="1" applyBorder="1" applyAlignment="1">
      <alignment horizontal="centerContinuous"/>
    </xf>
    <xf numFmtId="165" fontId="3" fillId="0" borderId="8" xfId="0" applyNumberFormat="1" applyFont="1" applyFill="1" applyBorder="1" applyAlignment="1">
      <alignment horizontal="centerContinuous"/>
    </xf>
    <xf numFmtId="1" fontId="3" fillId="0" borderId="9" xfId="0" applyNumberFormat="1" applyFont="1" applyFill="1" applyBorder="1" applyAlignment="1">
      <alignment horizontal="left"/>
    </xf>
    <xf numFmtId="1" fontId="3" fillId="0" borderId="0" xfId="0" applyNumberFormat="1" applyFont="1" applyFill="1" applyAlignment="1">
      <alignment horizontal="left"/>
    </xf>
    <xf numFmtId="0" fontId="3" fillId="0" borderId="39" xfId="0" applyFont="1" applyFill="1" applyBorder="1" applyAlignment="1">
      <alignment horizontal="left"/>
    </xf>
    <xf numFmtId="165" fontId="4" fillId="0" borderId="33" xfId="0" applyNumberFormat="1" applyFont="1" applyFill="1" applyBorder="1" applyAlignment="1">
      <alignment horizontal="center"/>
    </xf>
    <xf numFmtId="165" fontId="4" fillId="0" borderId="40" xfId="0" applyNumberFormat="1" applyFont="1" applyFill="1" applyBorder="1" applyAlignment="1">
      <alignment horizontal="center"/>
    </xf>
    <xf numFmtId="165" fontId="8" fillId="0" borderId="88" xfId="0" applyNumberFormat="1" applyFont="1" applyFill="1" applyBorder="1" applyAlignment="1">
      <alignment horizontal="centerContinuous"/>
    </xf>
    <xf numFmtId="165" fontId="4" fillId="0" borderId="41" xfId="0" applyNumberFormat="1" applyFont="1" applyFill="1" applyBorder="1" applyAlignment="1">
      <alignment horizontal="centerContinuous"/>
    </xf>
    <xf numFmtId="165" fontId="4" fillId="0" borderId="42" xfId="0" applyNumberFormat="1" applyFont="1" applyFill="1" applyBorder="1" applyAlignment="1">
      <alignment horizontal="centerContinuous"/>
    </xf>
    <xf numFmtId="165" fontId="4" fillId="0" borderId="100" xfId="0" applyNumberFormat="1" applyFont="1" applyFill="1" applyBorder="1" applyAlignment="1">
      <alignment horizontal="centerContinuous"/>
    </xf>
    <xf numFmtId="165" fontId="4" fillId="0" borderId="43" xfId="0" applyNumberFormat="1" applyFont="1" applyFill="1" applyBorder="1" applyAlignment="1">
      <alignment horizontal="centerContinuous"/>
    </xf>
    <xf numFmtId="165" fontId="4" fillId="0" borderId="34" xfId="0" applyNumberFormat="1" applyFont="1" applyFill="1" applyBorder="1" applyAlignment="1">
      <alignment horizontal="center"/>
    </xf>
    <xf numFmtId="165" fontId="4" fillId="0" borderId="98" xfId="0" applyNumberFormat="1" applyFont="1" applyFill="1" applyBorder="1" applyAlignment="1">
      <alignment horizontal="center"/>
    </xf>
    <xf numFmtId="165" fontId="4" fillId="0" borderId="44" xfId="0" applyNumberFormat="1" applyFont="1" applyFill="1" applyBorder="1" applyAlignment="1">
      <alignment horizontal="center"/>
    </xf>
    <xf numFmtId="165" fontId="4" fillId="0" borderId="45" xfId="0" applyNumberFormat="1" applyFont="1" applyFill="1" applyBorder="1" applyAlignment="1">
      <alignment horizontal="center"/>
    </xf>
    <xf numFmtId="165" fontId="4" fillId="0" borderId="99" xfId="0" applyNumberFormat="1" applyFont="1" applyFill="1" applyBorder="1" applyAlignment="1">
      <alignment horizontal="center"/>
    </xf>
    <xf numFmtId="165" fontId="4" fillId="0" borderId="46" xfId="0" applyNumberFormat="1" applyFont="1" applyFill="1" applyBorder="1" applyAlignment="1">
      <alignment horizontal="center"/>
    </xf>
    <xf numFmtId="49" fontId="4" fillId="0" borderId="47" xfId="0" applyNumberFormat="1" applyFont="1" applyFill="1" applyBorder="1" applyAlignment="1">
      <alignment horizontal="center" wrapText="1"/>
    </xf>
    <xf numFmtId="165" fontId="3" fillId="0" borderId="146" xfId="0" applyNumberFormat="1" applyFont="1" applyFill="1" applyBorder="1" applyAlignment="1">
      <alignment horizontal="center" vertical="center"/>
    </xf>
    <xf numFmtId="11" fontId="3" fillId="0" borderId="150" xfId="0" applyNumberFormat="1" applyFont="1" applyFill="1" applyBorder="1" applyAlignment="1">
      <alignment horizontal="center"/>
    </xf>
    <xf numFmtId="11" fontId="3" fillId="0" borderId="60" xfId="0" applyNumberFormat="1" applyFont="1" applyFill="1" applyBorder="1" applyAlignment="1">
      <alignment horizontal="center"/>
    </xf>
    <xf numFmtId="11" fontId="3" fillId="0" borderId="62" xfId="0" applyNumberFormat="1"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165" fontId="4" fillId="0" borderId="160" xfId="0" applyNumberFormat="1" applyFont="1" applyFill="1" applyBorder="1" applyAlignment="1">
      <alignment horizontal="centerContinuous"/>
    </xf>
    <xf numFmtId="165" fontId="8" fillId="0" borderId="102" xfId="0" applyNumberFormat="1" applyFont="1" applyFill="1" applyBorder="1" applyAlignment="1">
      <alignment horizontal="center" wrapText="1"/>
    </xf>
    <xf numFmtId="165" fontId="8" fillId="0" borderId="38" xfId="0" applyNumberFormat="1" applyFont="1" applyFill="1" applyBorder="1" applyAlignment="1">
      <alignment horizontal="center" wrapText="1"/>
    </xf>
    <xf numFmtId="49" fontId="4" fillId="0" borderId="8" xfId="0" applyNumberFormat="1" applyFont="1" applyFill="1" applyBorder="1" applyAlignment="1">
      <alignment horizontal="center"/>
    </xf>
    <xf numFmtId="165" fontId="3" fillId="0" borderId="29" xfId="0" applyNumberFormat="1" applyFont="1" applyFill="1" applyBorder="1"/>
    <xf numFmtId="165" fontId="4" fillId="0" borderId="30" xfId="0" applyNumberFormat="1" applyFont="1" applyFill="1" applyBorder="1" applyAlignment="1">
      <alignment horizontal="centerContinuous" wrapText="1"/>
    </xf>
    <xf numFmtId="165" fontId="4" fillId="0" borderId="106" xfId="0" applyNumberFormat="1" applyFont="1" applyFill="1" applyBorder="1" applyAlignment="1">
      <alignment horizontal="centerContinuous"/>
    </xf>
    <xf numFmtId="165" fontId="4" fillId="0" borderId="26" xfId="0" applyNumberFormat="1" applyFont="1" applyFill="1" applyBorder="1" applyAlignment="1">
      <alignment horizontal="centerContinuous"/>
    </xf>
    <xf numFmtId="165" fontId="8" fillId="0" borderId="42" xfId="0" applyNumberFormat="1" applyFont="1" applyFill="1" applyBorder="1" applyAlignment="1">
      <alignment horizontal="center" wrapText="1"/>
    </xf>
    <xf numFmtId="165" fontId="8" fillId="0" borderId="84" xfId="0" applyNumberFormat="1" applyFont="1" applyFill="1" applyBorder="1" applyAlignment="1">
      <alignment horizontal="center" wrapText="1"/>
    </xf>
    <xf numFmtId="0" fontId="2" fillId="0" borderId="0" xfId="0" applyFont="1" applyFill="1" applyAlignment="1">
      <alignment horizontal="left" vertical="center" indent="1"/>
    </xf>
    <xf numFmtId="0" fontId="27" fillId="0" borderId="11" xfId="0" applyFont="1" applyFill="1" applyBorder="1"/>
    <xf numFmtId="0" fontId="27" fillId="0" borderId="0" xfId="0" applyFont="1" applyFill="1"/>
    <xf numFmtId="165" fontId="79" fillId="0" borderId="110" xfId="0" applyNumberFormat="1" applyFont="1" applyFill="1" applyBorder="1" applyAlignment="1">
      <alignment horizontal="centerContinuous" wrapText="1"/>
    </xf>
    <xf numFmtId="165" fontId="79" fillId="0" borderId="106" xfId="0" applyNumberFormat="1" applyFont="1" applyFill="1" applyBorder="1" applyAlignment="1">
      <alignment horizontal="centerContinuous"/>
    </xf>
    <xf numFmtId="165" fontId="79" fillId="0" borderId="80" xfId="0" applyNumberFormat="1" applyFont="1" applyFill="1" applyBorder="1" applyAlignment="1">
      <alignment horizontal="centerContinuous" wrapText="1"/>
    </xf>
    <xf numFmtId="165" fontId="79" fillId="0" borderId="26" xfId="0" applyNumberFormat="1" applyFont="1" applyFill="1" applyBorder="1" applyAlignment="1">
      <alignment horizontal="centerContinuous"/>
    </xf>
    <xf numFmtId="0" fontId="79" fillId="0" borderId="75" xfId="0" applyFont="1" applyFill="1" applyBorder="1"/>
    <xf numFmtId="165" fontId="79" fillId="0" borderId="83" xfId="0" applyNumberFormat="1" applyFont="1" applyFill="1" applyBorder="1" applyAlignment="1">
      <alignment horizontal="center" wrapText="1"/>
    </xf>
    <xf numFmtId="165" fontId="79" fillId="0" borderId="42" xfId="0" applyNumberFormat="1" applyFont="1" applyFill="1" applyBorder="1" applyAlignment="1">
      <alignment horizontal="center" wrapText="1"/>
    </xf>
    <xf numFmtId="165" fontId="79" fillId="0" borderId="84" xfId="0" applyNumberFormat="1" applyFont="1" applyFill="1" applyBorder="1" applyAlignment="1">
      <alignment horizontal="center" wrapText="1"/>
    </xf>
    <xf numFmtId="49" fontId="27" fillId="0" borderId="25" xfId="0" applyNumberFormat="1" applyFont="1" applyFill="1" applyBorder="1"/>
    <xf numFmtId="0" fontId="27" fillId="0" borderId="146" xfId="0" applyFont="1" applyFill="1" applyBorder="1" applyAlignment="1">
      <alignment horizontal="center"/>
    </xf>
    <xf numFmtId="0" fontId="27" fillId="0" borderId="147" xfId="0" applyFont="1" applyFill="1" applyBorder="1" applyAlignment="1">
      <alignment horizontal="center"/>
    </xf>
    <xf numFmtId="165" fontId="27" fillId="0" borderId="151" xfId="0" applyNumberFormat="1" applyFont="1" applyFill="1" applyBorder="1" applyAlignment="1">
      <alignment horizontal="center"/>
    </xf>
    <xf numFmtId="165" fontId="27" fillId="0" borderId="152" xfId="0" applyNumberFormat="1" applyFont="1" applyFill="1" applyBorder="1" applyAlignment="1">
      <alignment horizontal="center"/>
    </xf>
    <xf numFmtId="49" fontId="27" fillId="0" borderId="1" xfId="0" applyNumberFormat="1" applyFont="1" applyFill="1" applyBorder="1"/>
    <xf numFmtId="0" fontId="27" fillId="0" borderId="128" xfId="0" applyFont="1" applyFill="1" applyBorder="1" applyAlignment="1">
      <alignment horizontal="center"/>
    </xf>
    <xf numFmtId="0" fontId="27" fillId="0" borderId="49" xfId="0" applyFont="1" applyFill="1" applyBorder="1" applyAlignment="1">
      <alignment horizontal="center"/>
    </xf>
    <xf numFmtId="165" fontId="27" fillId="0" borderId="87" xfId="0" applyNumberFormat="1" applyFont="1" applyFill="1" applyBorder="1" applyAlignment="1">
      <alignment horizontal="center"/>
    </xf>
    <xf numFmtId="165" fontId="27" fillId="0" borderId="48" xfId="0" applyNumberFormat="1" applyFont="1" applyFill="1" applyBorder="1" applyAlignment="1">
      <alignment horizontal="center"/>
    </xf>
    <xf numFmtId="0" fontId="3" fillId="0" borderId="0" xfId="0" applyFont="1" applyFill="1" applyAlignment="1">
      <alignment vertical="center" wrapText="1"/>
    </xf>
    <xf numFmtId="49" fontId="27" fillId="0" borderId="1" xfId="0" applyNumberFormat="1" applyFont="1" applyFill="1" applyBorder="1" applyAlignment="1">
      <alignment wrapText="1"/>
    </xf>
    <xf numFmtId="49" fontId="27" fillId="0" borderId="16" xfId="0" applyNumberFormat="1" applyFont="1" applyFill="1" applyBorder="1" applyAlignment="1">
      <alignment wrapText="1"/>
    </xf>
    <xf numFmtId="0" fontId="27" fillId="0" borderId="129" xfId="0" applyFont="1" applyFill="1" applyBorder="1" applyAlignment="1">
      <alignment horizontal="center"/>
    </xf>
    <xf numFmtId="0" fontId="27" fillId="0" borderId="52" xfId="0" applyFont="1" applyFill="1" applyBorder="1" applyAlignment="1">
      <alignment horizontal="center"/>
    </xf>
    <xf numFmtId="165" fontId="27" fillId="0" borderId="200" xfId="0" applyNumberFormat="1" applyFont="1" applyFill="1" applyBorder="1" applyAlignment="1">
      <alignment horizontal="center"/>
    </xf>
    <xf numFmtId="165" fontId="27" fillId="0" borderId="51" xfId="0" applyNumberFormat="1" applyFont="1" applyFill="1" applyBorder="1" applyAlignment="1">
      <alignment horizontal="center"/>
    </xf>
    <xf numFmtId="165" fontId="27" fillId="0" borderId="0" xfId="0" applyNumberFormat="1" applyFont="1" applyFill="1"/>
    <xf numFmtId="165" fontId="27" fillId="0" borderId="12" xfId="0" applyNumberFormat="1" applyFont="1" applyFill="1" applyBorder="1"/>
    <xf numFmtId="0" fontId="84" fillId="0" borderId="137" xfId="0" applyFont="1" applyBorder="1" applyAlignment="1">
      <alignment horizontal="center" vertical="center" wrapText="1"/>
    </xf>
    <xf numFmtId="0" fontId="84" fillId="0" borderId="1" xfId="0" applyFont="1" applyBorder="1" applyAlignment="1">
      <alignment horizontal="center" vertical="center" wrapText="1"/>
    </xf>
    <xf numFmtId="0" fontId="84" fillId="0" borderId="143" xfId="0" applyFont="1" applyBorder="1" applyAlignment="1">
      <alignment horizontal="center" vertical="center" wrapText="1"/>
    </xf>
    <xf numFmtId="0" fontId="84" fillId="0" borderId="174" xfId="0" applyFont="1" applyBorder="1" applyAlignment="1">
      <alignment horizontal="center" vertical="center" wrapText="1"/>
    </xf>
    <xf numFmtId="0" fontId="110" fillId="0" borderId="9" xfId="0" applyFont="1" applyBorder="1" applyAlignment="1">
      <alignment horizontal="center" wrapText="1"/>
    </xf>
    <xf numFmtId="0" fontId="13" fillId="0" borderId="9" xfId="0" applyFont="1" applyBorder="1" applyAlignment="1">
      <alignment horizontal="center" wrapText="1"/>
    </xf>
    <xf numFmtId="0" fontId="13" fillId="0" borderId="10" xfId="0" applyFont="1" applyBorder="1" applyAlignment="1">
      <alignment horizontal="center" wrapText="1"/>
    </xf>
    <xf numFmtId="0" fontId="84" fillId="0" borderId="108"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64" xfId="0" applyFont="1" applyBorder="1" applyAlignment="1">
      <alignment horizontal="center" vertical="center" wrapText="1"/>
    </xf>
    <xf numFmtId="0" fontId="17" fillId="0" borderId="0" xfId="0" applyFont="1" applyAlignment="1" applyProtection="1">
      <alignment wrapText="1"/>
      <protection hidden="1"/>
    </xf>
    <xf numFmtId="0" fontId="17" fillId="0" borderId="0" xfId="0" applyFont="1" applyAlignment="1">
      <alignment wrapText="1"/>
    </xf>
    <xf numFmtId="0" fontId="18" fillId="0" borderId="0" xfId="0" applyFont="1" applyAlignment="1" applyProtection="1">
      <alignment horizontal="center" vertical="center" wrapText="1"/>
      <protection hidden="1"/>
    </xf>
    <xf numFmtId="0" fontId="26" fillId="0" borderId="0" xfId="0" applyFont="1" applyAlignment="1">
      <alignment wrapText="1"/>
    </xf>
    <xf numFmtId="0" fontId="21" fillId="0" borderId="0" xfId="0" applyFont="1" applyAlignment="1" applyProtection="1">
      <alignment horizontal="center" vertical="center" wrapText="1"/>
      <protection hidden="1"/>
    </xf>
    <xf numFmtId="0" fontId="39" fillId="0" borderId="0" xfId="0" applyFont="1" applyAlignment="1">
      <alignment vertical="center" wrapText="1"/>
    </xf>
    <xf numFmtId="0" fontId="17" fillId="0" borderId="0" xfId="0" applyFont="1" applyAlignment="1">
      <alignment vertical="center" wrapText="1"/>
    </xf>
    <xf numFmtId="0" fontId="0" fillId="0" borderId="0" xfId="0" applyAlignment="1">
      <alignment vertical="center" wrapText="1"/>
    </xf>
    <xf numFmtId="0" fontId="0" fillId="0" borderId="0" xfId="0" applyAlignment="1">
      <alignment wrapText="1"/>
    </xf>
    <xf numFmtId="0" fontId="62" fillId="0" borderId="0" xfId="0" applyFont="1" applyAlignment="1" applyProtection="1">
      <alignment horizontal="center" wrapText="1"/>
      <protection hidden="1"/>
    </xf>
    <xf numFmtId="0" fontId="19" fillId="0" borderId="0" xfId="0" applyFont="1" applyAlignment="1">
      <alignment wrapText="1"/>
    </xf>
    <xf numFmtId="0" fontId="30" fillId="0" borderId="0" xfId="0" applyFont="1" applyAlignment="1">
      <alignment horizontal="left" wrapText="1"/>
    </xf>
    <xf numFmtId="0" fontId="0" fillId="0" borderId="0" xfId="0" applyAlignment="1">
      <alignment horizontal="center" vertical="center" wrapText="1"/>
    </xf>
    <xf numFmtId="0" fontId="101" fillId="0" borderId="0" xfId="0" applyFont="1" applyAlignment="1" applyProtection="1">
      <alignment horizontal="center" vertical="center" wrapText="1"/>
      <protection hidden="1"/>
    </xf>
    <xf numFmtId="0" fontId="13" fillId="0" borderId="0" xfId="0" applyFont="1" applyAlignment="1">
      <alignment horizontal="center" wrapText="1"/>
    </xf>
    <xf numFmtId="0" fontId="54" fillId="0" borderId="0" xfId="0" applyFont="1" applyAlignment="1">
      <alignment horizontal="center" vertical="center" wrapText="1"/>
    </xf>
    <xf numFmtId="49" fontId="20" fillId="6" borderId="176" xfId="0" applyNumberFormat="1" applyFont="1" applyFill="1" applyBorder="1" applyAlignment="1" applyProtection="1">
      <alignment horizontal="center" vertical="center" wrapText="1"/>
      <protection locked="0" hidden="1"/>
    </xf>
    <xf numFmtId="0" fontId="0" fillId="0" borderId="127" xfId="0" applyBorder="1" applyAlignment="1">
      <alignment wrapText="1"/>
    </xf>
    <xf numFmtId="0" fontId="0" fillId="0" borderId="178" xfId="0" applyBorder="1" applyAlignment="1">
      <alignment wrapText="1"/>
    </xf>
    <xf numFmtId="0" fontId="19" fillId="0" borderId="0" xfId="0" applyFont="1" applyAlignment="1" applyProtection="1">
      <alignment horizontal="center" wrapText="1"/>
      <protection hidden="1"/>
    </xf>
    <xf numFmtId="0" fontId="13" fillId="0" borderId="0" xfId="0" applyFont="1" applyAlignment="1">
      <alignment wrapText="1"/>
    </xf>
    <xf numFmtId="166" fontId="19" fillId="0" borderId="0" xfId="0" applyNumberFormat="1" applyFont="1" applyAlignment="1" applyProtection="1">
      <alignment horizontal="center" wrapText="1"/>
      <protection hidden="1"/>
    </xf>
    <xf numFmtId="166" fontId="0" fillId="0" borderId="0" xfId="0" applyNumberFormat="1" applyAlignment="1">
      <alignment wrapText="1"/>
    </xf>
    <xf numFmtId="0" fontId="30" fillId="0" borderId="2" xfId="0" applyFont="1" applyBorder="1" applyAlignment="1" applyProtection="1">
      <alignment horizontal="center" vertical="center" wrapText="1"/>
      <protection hidden="1"/>
    </xf>
    <xf numFmtId="0" fontId="0" fillId="0" borderId="8" xfId="0" applyBorder="1" applyAlignment="1" applyProtection="1">
      <alignment vertical="center" wrapText="1"/>
      <protection hidden="1"/>
    </xf>
    <xf numFmtId="0" fontId="0" fillId="0" borderId="29" xfId="0" applyBorder="1" applyAlignment="1" applyProtection="1">
      <alignment vertical="center" wrapText="1"/>
      <protection hidden="1"/>
    </xf>
    <xf numFmtId="0" fontId="0" fillId="0" borderId="9"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10" xfId="0"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13" xfId="0" applyBorder="1" applyAlignment="1" applyProtection="1">
      <alignment vertical="center" wrapText="1"/>
      <protection hidden="1"/>
    </xf>
    <xf numFmtId="0" fontId="75" fillId="0" borderId="0" xfId="0" applyFont="1" applyAlignment="1" applyProtection="1">
      <alignment horizontal="center" wrapText="1"/>
      <protection hidden="1"/>
    </xf>
    <xf numFmtId="0" fontId="72" fillId="0" borderId="0" xfId="0" applyFont="1" applyAlignment="1">
      <alignment horizontal="center" wrapText="1"/>
    </xf>
    <xf numFmtId="0" fontId="20" fillId="0" borderId="11" xfId="0" applyFont="1" applyBorder="1" applyAlignment="1" applyProtection="1">
      <alignment horizontal="center" wrapText="1"/>
      <protection hidden="1"/>
    </xf>
    <xf numFmtId="0" fontId="13" fillId="0" borderId="11" xfId="0" applyFont="1" applyBorder="1" applyAlignment="1">
      <alignment horizontal="center" wrapText="1"/>
    </xf>
    <xf numFmtId="0" fontId="19" fillId="3" borderId="2" xfId="0" applyFont="1" applyFill="1" applyBorder="1" applyAlignment="1" applyProtection="1">
      <alignment horizontal="center" wrapText="1"/>
      <protection hidden="1"/>
    </xf>
    <xf numFmtId="0" fontId="19" fillId="3" borderId="8" xfId="0" applyFont="1" applyFill="1" applyBorder="1" applyAlignment="1" applyProtection="1">
      <alignment horizontal="center" wrapText="1"/>
      <protection hidden="1"/>
    </xf>
    <xf numFmtId="0" fontId="19" fillId="3" borderId="9" xfId="0" applyFont="1" applyFill="1" applyBorder="1" applyAlignment="1" applyProtection="1">
      <alignment horizontal="center" wrapText="1"/>
      <protection hidden="1"/>
    </xf>
    <xf numFmtId="0" fontId="19" fillId="3" borderId="0" xfId="0" applyFont="1" applyFill="1" applyAlignment="1" applyProtection="1">
      <alignment horizontal="center" wrapText="1"/>
      <protection hidden="1"/>
    </xf>
    <xf numFmtId="0" fontId="21" fillId="9" borderId="57" xfId="0" applyFont="1" applyFill="1" applyBorder="1" applyAlignment="1">
      <alignment horizontal="center"/>
    </xf>
    <xf numFmtId="0" fontId="0" fillId="0" borderId="140" xfId="0" applyBorder="1" applyAlignment="1">
      <alignment horizontal="center"/>
    </xf>
    <xf numFmtId="0" fontId="24" fillId="0" borderId="127" xfId="0" applyFont="1" applyBorder="1" applyAlignment="1">
      <alignment horizontal="left"/>
    </xf>
    <xf numFmtId="0" fontId="24" fillId="6" borderId="116" xfId="0" applyFont="1" applyFill="1" applyBorder="1" applyAlignment="1" applyProtection="1">
      <alignment horizontal="center" vertical="center" wrapText="1"/>
      <protection locked="0" hidden="1"/>
    </xf>
    <xf numFmtId="0" fontId="0" fillId="0" borderId="117" xfId="0" applyBorder="1" applyAlignment="1">
      <alignment wrapText="1"/>
    </xf>
    <xf numFmtId="165" fontId="39" fillId="9" borderId="12" xfId="0" applyNumberFormat="1" applyFont="1" applyFill="1" applyBorder="1" applyAlignment="1" applyProtection="1">
      <alignment horizontal="left" vertical="center"/>
      <protection hidden="1"/>
    </xf>
    <xf numFmtId="0" fontId="0" fillId="0" borderId="13" xfId="0" applyBorder="1" applyAlignment="1" applyProtection="1">
      <alignment horizontal="left" vertical="center"/>
      <protection hidden="1"/>
    </xf>
    <xf numFmtId="0" fontId="23" fillId="0" borderId="8" xfId="0" applyFont="1" applyBorder="1" applyAlignment="1" applyProtection="1">
      <alignment wrapText="1"/>
      <protection hidden="1"/>
    </xf>
    <xf numFmtId="0" fontId="0" fillId="0" borderId="29" xfId="0" applyBorder="1" applyAlignment="1"/>
    <xf numFmtId="0" fontId="0" fillId="4" borderId="9" xfId="0" applyFill="1" applyBorder="1" applyAlignment="1"/>
    <xf numFmtId="0" fontId="0" fillId="0" borderId="12" xfId="0" applyBorder="1" applyAlignment="1"/>
    <xf numFmtId="0" fontId="39" fillId="9" borderId="143" xfId="0" applyFont="1" applyFill="1" applyBorder="1" applyAlignment="1">
      <alignment horizontal="right" vertical="center"/>
    </xf>
    <xf numFmtId="0" fontId="0" fillId="0" borderId="121" xfId="0" applyBorder="1" applyAlignment="1"/>
    <xf numFmtId="0" fontId="0" fillId="4" borderId="0" xfId="0" applyFill="1" applyAlignment="1"/>
    <xf numFmtId="0" fontId="0" fillId="0" borderId="0" xfId="0" applyAlignment="1"/>
    <xf numFmtId="0" fontId="0" fillId="0" borderId="11" xfId="0" applyBorder="1" applyAlignment="1"/>
    <xf numFmtId="0" fontId="0" fillId="0" borderId="13" xfId="0" applyBorder="1" applyAlignment="1"/>
    <xf numFmtId="165" fontId="39" fillId="9" borderId="12" xfId="0" applyNumberFormat="1" applyFont="1" applyFill="1" applyBorder="1" applyAlignment="1" applyProtection="1">
      <alignment horizontal="left"/>
      <protection hidden="1"/>
    </xf>
    <xf numFmtId="0" fontId="0" fillId="0" borderId="12" xfId="0" applyBorder="1" applyAlignment="1" applyProtection="1">
      <protection hidden="1"/>
    </xf>
    <xf numFmtId="0" fontId="39" fillId="9" borderId="9" xfId="0" applyFont="1" applyFill="1" applyBorder="1" applyAlignment="1">
      <alignment horizontal="right" wrapText="1"/>
    </xf>
    <xf numFmtId="0" fontId="0" fillId="0" borderId="9" xfId="0" applyBorder="1" applyAlignment="1"/>
    <xf numFmtId="0" fontId="39" fillId="9" borderId="9" xfId="0" applyFont="1" applyFill="1" applyBorder="1" applyAlignment="1">
      <alignment horizontal="right" vertical="center" wrapText="1"/>
    </xf>
    <xf numFmtId="0" fontId="0" fillId="0" borderId="0" xfId="0" applyAlignment="1">
      <alignment horizontal="right" vertical="center" wrapText="1"/>
    </xf>
    <xf numFmtId="0" fontId="0" fillId="0" borderId="10" xfId="0" applyBorder="1" applyAlignment="1">
      <alignment horizontal="right" vertical="center" wrapText="1"/>
    </xf>
    <xf numFmtId="0" fontId="0" fillId="0" borderId="11" xfId="0" applyBorder="1" applyAlignment="1">
      <alignment horizontal="right" vertical="center" wrapText="1"/>
    </xf>
    <xf numFmtId="0" fontId="23" fillId="0" borderId="29" xfId="0" applyFont="1" applyBorder="1" applyAlignment="1" applyProtection="1">
      <alignment wrapText="1"/>
      <protection hidden="1"/>
    </xf>
    <xf numFmtId="0" fontId="2" fillId="4" borderId="29" xfId="0" applyFont="1" applyFill="1" applyBorder="1" applyAlignment="1" applyProtection="1">
      <alignment wrapText="1"/>
      <protection hidden="1"/>
    </xf>
    <xf numFmtId="0" fontId="2" fillId="4" borderId="12" xfId="0" applyFont="1" applyFill="1" applyBorder="1" applyAlignment="1" applyProtection="1">
      <alignment wrapText="1"/>
      <protection hidden="1"/>
    </xf>
    <xf numFmtId="0" fontId="93" fillId="0" borderId="176" xfId="0" applyFont="1" applyBorder="1" applyAlignment="1">
      <alignment horizontal="center" wrapText="1"/>
    </xf>
    <xf numFmtId="0" fontId="93" fillId="0" borderId="127" xfId="0" applyFont="1" applyBorder="1" applyAlignment="1">
      <alignment horizontal="center" wrapText="1"/>
    </xf>
    <xf numFmtId="0" fontId="93" fillId="0" borderId="178" xfId="0" applyFont="1" applyBorder="1" applyAlignment="1">
      <alignment horizontal="center" wrapText="1"/>
    </xf>
    <xf numFmtId="0" fontId="23" fillId="0" borderId="0" xfId="0" applyFont="1" applyAlignment="1">
      <alignment wrapText="1"/>
    </xf>
    <xf numFmtId="0" fontId="19" fillId="0" borderId="0" xfId="0" applyFont="1" applyAlignment="1" applyProtection="1">
      <alignment wrapText="1"/>
      <protection hidden="1"/>
    </xf>
    <xf numFmtId="0" fontId="24" fillId="0" borderId="0" xfId="0" applyFont="1" applyAlignment="1" applyProtection="1">
      <alignment wrapText="1"/>
      <protection hidden="1"/>
    </xf>
    <xf numFmtId="0" fontId="2" fillId="0" borderId="0" xfId="0" applyFont="1" applyAlignment="1">
      <alignment wrapText="1"/>
    </xf>
    <xf numFmtId="0" fontId="33" fillId="0" borderId="0" xfId="0" applyFont="1" applyAlignment="1" applyProtection="1">
      <alignment wrapText="1"/>
      <protection hidden="1"/>
    </xf>
    <xf numFmtId="0" fontId="5" fillId="0" borderId="176" xfId="0" applyFont="1" applyBorder="1" applyAlignment="1" applyProtection="1">
      <alignment horizontal="center" wrapText="1"/>
      <protection hidden="1"/>
    </xf>
    <xf numFmtId="0" fontId="23" fillId="0" borderId="127" xfId="0" applyFont="1" applyBorder="1" applyAlignment="1" applyProtection="1">
      <alignment wrapText="1"/>
      <protection hidden="1"/>
    </xf>
    <xf numFmtId="0" fontId="23" fillId="0" borderId="178" xfId="0" applyFont="1" applyBorder="1" applyAlignment="1" applyProtection="1">
      <alignment wrapText="1"/>
      <protection hidden="1"/>
    </xf>
    <xf numFmtId="0" fontId="30" fillId="0" borderId="0" xfId="0" applyFont="1" applyAlignment="1" applyProtection="1">
      <alignment wrapText="1"/>
      <protection hidden="1"/>
    </xf>
    <xf numFmtId="0" fontId="19" fillId="0" borderId="10" xfId="0" applyFont="1" applyBorder="1" applyAlignment="1" applyProtection="1">
      <alignment horizontal="right" vertical="center" wrapText="1"/>
      <protection hidden="1"/>
    </xf>
    <xf numFmtId="0" fontId="23" fillId="0" borderId="11" xfId="0" applyFont="1" applyBorder="1" applyAlignment="1" applyProtection="1">
      <alignment wrapText="1"/>
      <protection hidden="1"/>
    </xf>
    <xf numFmtId="0" fontId="17" fillId="0" borderId="167" xfId="0" applyFont="1" applyBorder="1" applyAlignment="1" applyProtection="1">
      <alignment horizontal="center" vertical="center" wrapText="1"/>
      <protection hidden="1"/>
    </xf>
    <xf numFmtId="0" fontId="23" fillId="0" borderId="13" xfId="0" applyFont="1" applyBorder="1" applyAlignment="1" applyProtection="1">
      <alignment wrapText="1"/>
      <protection hidden="1"/>
    </xf>
    <xf numFmtId="0" fontId="53" fillId="0" borderId="0" xfId="0" applyFont="1" applyAlignment="1">
      <alignment wrapText="1"/>
    </xf>
    <xf numFmtId="0" fontId="22" fillId="0" borderId="0" xfId="0" applyFont="1" applyAlignment="1" applyProtection="1">
      <alignment horizontal="center" vertical="center" wrapText="1"/>
      <protection hidden="1"/>
    </xf>
    <xf numFmtId="0" fontId="30" fillId="2" borderId="116" xfId="0" applyFont="1" applyFill="1" applyBorder="1" applyAlignment="1" applyProtection="1">
      <alignment horizontal="center" vertical="center" wrapText="1"/>
      <protection hidden="1"/>
    </xf>
    <xf numFmtId="0" fontId="33" fillId="2" borderId="117" xfId="0" applyFont="1" applyFill="1" applyBorder="1" applyAlignment="1" applyProtection="1">
      <alignment horizontal="center" vertical="center" wrapText="1"/>
      <protection hidden="1"/>
    </xf>
    <xf numFmtId="0" fontId="32" fillId="13" borderId="179" xfId="0" applyFont="1" applyFill="1" applyBorder="1" applyAlignment="1" applyProtection="1">
      <alignment horizontal="center" vertical="center" wrapText="1"/>
      <protection hidden="1"/>
    </xf>
    <xf numFmtId="0" fontId="34" fillId="13" borderId="180" xfId="0" applyFont="1" applyFill="1" applyBorder="1" applyAlignment="1" applyProtection="1">
      <alignment wrapText="1"/>
      <protection hidden="1"/>
    </xf>
    <xf numFmtId="0" fontId="34" fillId="13" borderId="181" xfId="0" applyFont="1" applyFill="1" applyBorder="1" applyAlignment="1" applyProtection="1">
      <alignment wrapText="1"/>
      <protection hidden="1"/>
    </xf>
    <xf numFmtId="0" fontId="34" fillId="13" borderId="182" xfId="0" applyFont="1" applyFill="1" applyBorder="1" applyAlignment="1" applyProtection="1">
      <alignment wrapText="1"/>
      <protection hidden="1"/>
    </xf>
    <xf numFmtId="0" fontId="34" fillId="13" borderId="0" xfId="0" applyFont="1" applyFill="1" applyAlignment="1" applyProtection="1">
      <alignment wrapText="1"/>
      <protection hidden="1"/>
    </xf>
    <xf numFmtId="0" fontId="34" fillId="13" borderId="115" xfId="0" applyFont="1" applyFill="1" applyBorder="1" applyAlignment="1" applyProtection="1">
      <alignment wrapText="1"/>
      <protection hidden="1"/>
    </xf>
    <xf numFmtId="0" fontId="32" fillId="7" borderId="179" xfId="0" applyFont="1" applyFill="1" applyBorder="1" applyAlignment="1" applyProtection="1">
      <alignment horizontal="center"/>
      <protection hidden="1"/>
    </xf>
    <xf numFmtId="0" fontId="34" fillId="7" borderId="181" xfId="0" applyFont="1" applyFill="1" applyBorder="1" applyAlignment="1" applyProtection="1">
      <protection hidden="1"/>
    </xf>
    <xf numFmtId="0" fontId="34" fillId="7" borderId="182" xfId="0" applyFont="1" applyFill="1" applyBorder="1" applyAlignment="1" applyProtection="1">
      <protection hidden="1"/>
    </xf>
    <xf numFmtId="0" fontId="34" fillId="7" borderId="115" xfId="0" applyFont="1" applyFill="1" applyBorder="1" applyAlignment="1" applyProtection="1">
      <protection hidden="1"/>
    </xf>
    <xf numFmtId="0" fontId="28" fillId="0" borderId="0" xfId="0" applyFont="1" applyAlignment="1" applyProtection="1">
      <alignment horizontal="center" vertical="center" wrapText="1"/>
      <protection hidden="1"/>
    </xf>
    <xf numFmtId="0" fontId="0" fillId="0" borderId="0" xfId="0" applyAlignment="1" applyProtection="1">
      <alignment horizontal="center" wrapText="1"/>
      <protection hidden="1"/>
    </xf>
    <xf numFmtId="165" fontId="30" fillId="2" borderId="0" xfId="0" applyNumberFormat="1" applyFont="1" applyFill="1" applyAlignment="1" applyProtection="1">
      <alignment horizontal="left"/>
      <protection hidden="1"/>
    </xf>
    <xf numFmtId="0" fontId="13" fillId="2" borderId="0" xfId="0" applyFont="1" applyFill="1" applyAlignment="1" applyProtection="1">
      <alignment horizontal="right"/>
      <protection hidden="1"/>
    </xf>
    <xf numFmtId="0" fontId="0" fillId="0" borderId="0" xfId="0" applyAlignment="1" applyProtection="1">
      <alignment horizontal="right"/>
      <protection hidden="1"/>
    </xf>
    <xf numFmtId="0" fontId="52" fillId="2" borderId="9" xfId="0" applyFont="1" applyFill="1" applyBorder="1" applyAlignment="1" applyProtection="1">
      <protection hidden="1"/>
    </xf>
    <xf numFmtId="0" fontId="13" fillId="2" borderId="0" xfId="0" applyFont="1" applyFill="1" applyAlignment="1" applyProtection="1">
      <protection hidden="1"/>
    </xf>
    <xf numFmtId="0" fontId="13" fillId="2" borderId="9" xfId="0" applyFont="1" applyFill="1" applyBorder="1" applyAlignment="1" applyProtection="1">
      <protection hidden="1"/>
    </xf>
    <xf numFmtId="2" fontId="21" fillId="0" borderId="0" xfId="0" applyNumberFormat="1" applyFont="1" applyAlignment="1" applyProtection="1">
      <alignment horizontal="center"/>
      <protection hidden="1"/>
    </xf>
    <xf numFmtId="0" fontId="54" fillId="0" borderId="0" xfId="0" applyFont="1" applyAlignment="1" applyProtection="1">
      <alignment horizontal="center"/>
      <protection hidden="1"/>
    </xf>
    <xf numFmtId="0" fontId="30" fillId="5" borderId="116" xfId="0" applyFont="1" applyFill="1" applyBorder="1" applyAlignment="1" applyProtection="1">
      <alignment horizontal="center" vertical="center" wrapText="1"/>
      <protection hidden="1"/>
    </xf>
    <xf numFmtId="0" fontId="0" fillId="0" borderId="117" xfId="0" applyBorder="1" applyAlignment="1" applyProtection="1">
      <alignment wrapText="1"/>
      <protection hidden="1"/>
    </xf>
    <xf numFmtId="0" fontId="19" fillId="13" borderId="183" xfId="0" applyFont="1" applyFill="1" applyBorder="1" applyAlignment="1" applyProtection="1">
      <alignment horizontal="right" vertical="center" wrapText="1"/>
      <protection hidden="1"/>
    </xf>
    <xf numFmtId="0" fontId="17" fillId="13" borderId="184" xfId="0" applyFont="1" applyFill="1" applyBorder="1" applyAlignment="1" applyProtection="1">
      <protection hidden="1"/>
    </xf>
    <xf numFmtId="165" fontId="30" fillId="2" borderId="10" xfId="0" applyNumberFormat="1" applyFont="1" applyFill="1" applyBorder="1" applyAlignment="1" applyProtection="1">
      <alignment horizontal="center"/>
      <protection hidden="1"/>
    </xf>
    <xf numFmtId="165" fontId="30" fillId="2" borderId="11" xfId="0" applyNumberFormat="1" applyFont="1" applyFill="1" applyBorder="1" applyAlignment="1" applyProtection="1">
      <alignment horizontal="center"/>
      <protection hidden="1"/>
    </xf>
    <xf numFmtId="0" fontId="33" fillId="2" borderId="11" xfId="0" applyFont="1" applyFill="1" applyBorder="1" applyAlignment="1" applyProtection="1">
      <protection hidden="1"/>
    </xf>
    <xf numFmtId="0" fontId="33" fillId="2" borderId="13" xfId="0" applyFont="1" applyFill="1" applyBorder="1" applyAlignment="1" applyProtection="1">
      <protection hidden="1"/>
    </xf>
    <xf numFmtId="0" fontId="34" fillId="13" borderId="180" xfId="0" applyFont="1" applyFill="1" applyBorder="1" applyAlignment="1" applyProtection="1">
      <alignment vertical="center" wrapText="1"/>
      <protection hidden="1"/>
    </xf>
    <xf numFmtId="0" fontId="34" fillId="13" borderId="181" xfId="0" applyFont="1" applyFill="1" applyBorder="1" applyAlignment="1" applyProtection="1">
      <alignment vertical="center" wrapText="1"/>
      <protection hidden="1"/>
    </xf>
    <xf numFmtId="0" fontId="34" fillId="13" borderId="182" xfId="0" applyFont="1" applyFill="1" applyBorder="1" applyAlignment="1" applyProtection="1">
      <alignment vertical="center" wrapText="1"/>
      <protection hidden="1"/>
    </xf>
    <xf numFmtId="0" fontId="34" fillId="13" borderId="0" xfId="0" applyFont="1" applyFill="1" applyAlignment="1" applyProtection="1">
      <alignment vertical="center" wrapText="1"/>
      <protection hidden="1"/>
    </xf>
    <xf numFmtId="0" fontId="34" fillId="13" borderId="115" xfId="0" applyFont="1" applyFill="1" applyBorder="1" applyAlignment="1" applyProtection="1">
      <alignment vertical="center" wrapText="1"/>
      <protection hidden="1"/>
    </xf>
    <xf numFmtId="0" fontId="17" fillId="0" borderId="67" xfId="0" applyFont="1" applyBorder="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wrapText="1"/>
      <protection hidden="1"/>
    </xf>
    <xf numFmtId="0" fontId="23" fillId="0" borderId="12" xfId="0" applyFont="1" applyBorder="1" applyAlignment="1" applyProtection="1">
      <alignment wrapText="1"/>
      <protection hidden="1"/>
    </xf>
    <xf numFmtId="0" fontId="17" fillId="0" borderId="106" xfId="0" applyFont="1" applyBorder="1" applyAlignment="1" applyProtection="1">
      <alignment horizontal="center" vertical="center" wrapText="1"/>
      <protection hidden="1"/>
    </xf>
    <xf numFmtId="0" fontId="19" fillId="0" borderId="9" xfId="0" applyFont="1" applyBorder="1" applyAlignment="1" applyProtection="1">
      <alignment horizontal="right" vertical="center" wrapText="1"/>
      <protection hidden="1"/>
    </xf>
    <xf numFmtId="0" fontId="23" fillId="0" borderId="73" xfId="0" applyFont="1" applyBorder="1" applyAlignment="1" applyProtection="1">
      <alignment wrapText="1"/>
      <protection hidden="1"/>
    </xf>
    <xf numFmtId="165" fontId="30" fillId="7" borderId="183" xfId="0" applyNumberFormat="1" applyFont="1" applyFill="1" applyBorder="1" applyAlignment="1" applyProtection="1">
      <alignment horizontal="center" vertical="center"/>
      <protection hidden="1"/>
    </xf>
    <xf numFmtId="165" fontId="30" fillId="7" borderId="118" xfId="0" applyNumberFormat="1" applyFont="1" applyFill="1" applyBorder="1" applyAlignment="1" applyProtection="1">
      <alignment horizontal="center" vertical="center"/>
      <protection hidden="1"/>
    </xf>
    <xf numFmtId="0" fontId="40" fillId="2" borderId="0" xfId="0" applyFont="1" applyFill="1" applyAlignment="1" applyProtection="1">
      <alignment horizontal="center" wrapText="1"/>
      <protection hidden="1"/>
    </xf>
    <xf numFmtId="0" fontId="49" fillId="0" borderId="0" xfId="0" applyFont="1" applyAlignment="1" applyProtection="1">
      <alignment horizontal="center" wrapText="1"/>
      <protection hidden="1"/>
    </xf>
    <xf numFmtId="0" fontId="30" fillId="2" borderId="2" xfId="0" applyFont="1" applyFill="1" applyBorder="1" applyAlignment="1" applyProtection="1">
      <alignment horizontal="center"/>
      <protection hidden="1"/>
    </xf>
    <xf numFmtId="0" fontId="30" fillId="2" borderId="8" xfId="0" applyFont="1" applyFill="1" applyBorder="1" applyAlignment="1" applyProtection="1">
      <alignment horizontal="center"/>
      <protection hidden="1"/>
    </xf>
    <xf numFmtId="0" fontId="33" fillId="2" borderId="8" xfId="0" applyFont="1" applyFill="1" applyBorder="1" applyAlignment="1" applyProtection="1">
      <protection hidden="1"/>
    </xf>
    <xf numFmtId="0" fontId="33" fillId="2" borderId="29" xfId="0" applyFont="1" applyFill="1" applyBorder="1" applyAlignment="1" applyProtection="1">
      <protection hidden="1"/>
    </xf>
    <xf numFmtId="0" fontId="31" fillId="5" borderId="9" xfId="0" applyFont="1" applyFill="1" applyBorder="1" applyAlignment="1" applyProtection="1">
      <alignment vertical="top"/>
      <protection hidden="1"/>
    </xf>
    <xf numFmtId="0" fontId="31" fillId="5" borderId="12" xfId="0" applyFont="1" applyFill="1" applyBorder="1" applyAlignment="1" applyProtection="1">
      <alignment vertical="top"/>
      <protection hidden="1"/>
    </xf>
    <xf numFmtId="0" fontId="35" fillId="5" borderId="0" xfId="0" applyFont="1" applyFill="1" applyAlignment="1" applyProtection="1">
      <protection hidden="1"/>
    </xf>
    <xf numFmtId="0" fontId="17" fillId="13" borderId="184" xfId="0" applyFont="1" applyFill="1" applyBorder="1" applyAlignment="1" applyProtection="1">
      <alignment horizontal="right"/>
      <protection hidden="1"/>
    </xf>
    <xf numFmtId="0" fontId="31" fillId="2" borderId="0" xfId="0" applyFont="1" applyFill="1" applyAlignment="1" applyProtection="1">
      <alignment horizontal="right" vertical="top"/>
      <protection hidden="1"/>
    </xf>
    <xf numFmtId="0" fontId="0" fillId="0" borderId="0" xfId="0" applyAlignment="1" applyProtection="1">
      <protection hidden="1"/>
    </xf>
    <xf numFmtId="0" fontId="31" fillId="2" borderId="12" xfId="0" applyFont="1" applyFill="1" applyBorder="1" applyAlignment="1" applyProtection="1">
      <alignment horizontal="right" vertical="top"/>
      <protection hidden="1"/>
    </xf>
    <xf numFmtId="0" fontId="0" fillId="0" borderId="12" xfId="0" applyBorder="1" applyAlignment="1" applyProtection="1">
      <alignment vertical="top"/>
      <protection hidden="1"/>
    </xf>
    <xf numFmtId="0" fontId="24" fillId="0" borderId="0" xfId="0" applyFont="1" applyAlignment="1">
      <alignment wrapText="1"/>
    </xf>
    <xf numFmtId="0" fontId="19" fillId="0" borderId="57" xfId="0" applyFont="1" applyBorder="1" applyAlignment="1" applyProtection="1">
      <alignment horizontal="center"/>
      <protection hidden="1"/>
    </xf>
    <xf numFmtId="0" fontId="0" fillId="0" borderId="140" xfId="0" applyBorder="1" applyAlignment="1" applyProtection="1">
      <alignment horizontal="center"/>
      <protection hidden="1"/>
    </xf>
    <xf numFmtId="0" fontId="0" fillId="0" borderId="58" xfId="0" applyBorder="1" applyAlignment="1" applyProtection="1">
      <alignment horizontal="center"/>
      <protection hidden="1"/>
    </xf>
    <xf numFmtId="0" fontId="19" fillId="0" borderId="57" xfId="0" applyFont="1" applyBorder="1" applyAlignment="1" applyProtection="1">
      <alignment horizontal="left" wrapText="1"/>
      <protection hidden="1"/>
    </xf>
    <xf numFmtId="0" fontId="17" fillId="0" borderId="140" xfId="0" applyFont="1" applyBorder="1" applyAlignment="1" applyProtection="1">
      <alignment horizontal="left" wrapText="1"/>
      <protection hidden="1"/>
    </xf>
    <xf numFmtId="0" fontId="17" fillId="0" borderId="139" xfId="0" applyFont="1" applyBorder="1" applyAlignment="1" applyProtection="1">
      <alignment horizontal="left" wrapText="1"/>
      <protection hidden="1"/>
    </xf>
    <xf numFmtId="0" fontId="19" fillId="0" borderId="57" xfId="0" applyFont="1" applyBorder="1" applyAlignment="1" applyProtection="1">
      <alignment horizontal="center" wrapText="1"/>
      <protection hidden="1"/>
    </xf>
    <xf numFmtId="0" fontId="17" fillId="0" borderId="140" xfId="0" applyFont="1" applyBorder="1" applyAlignment="1" applyProtection="1">
      <alignment horizontal="center" wrapText="1"/>
      <protection hidden="1"/>
    </xf>
    <xf numFmtId="0" fontId="17" fillId="0" borderId="139" xfId="0" applyFont="1" applyBorder="1" applyAlignment="1" applyProtection="1">
      <alignment horizontal="center" wrapText="1"/>
      <protection hidden="1"/>
    </xf>
    <xf numFmtId="0" fontId="19" fillId="0" borderId="1" xfId="0" applyFont="1" applyBorder="1" applyAlignment="1" applyProtection="1">
      <alignment horizontal="right" vertical="center" wrapText="1"/>
      <protection hidden="1"/>
    </xf>
    <xf numFmtId="0" fontId="19" fillId="0" borderId="37" xfId="0" applyFont="1" applyBorder="1" applyAlignment="1" applyProtection="1">
      <alignment wrapText="1"/>
      <protection hidden="1"/>
    </xf>
    <xf numFmtId="0" fontId="17" fillId="0" borderId="58" xfId="0" applyFont="1" applyBorder="1" applyAlignment="1" applyProtection="1">
      <alignment horizontal="center" wrapText="1"/>
      <protection hidden="1"/>
    </xf>
    <xf numFmtId="0" fontId="19" fillId="0" borderId="36" xfId="0" applyFont="1" applyBorder="1" applyAlignment="1" applyProtection="1">
      <alignment wrapText="1"/>
      <protection hidden="1"/>
    </xf>
    <xf numFmtId="0" fontId="19" fillId="0" borderId="16" xfId="0" applyFont="1" applyBorder="1" applyAlignment="1" applyProtection="1">
      <alignment horizontal="right" vertical="center" wrapText="1"/>
      <protection hidden="1"/>
    </xf>
    <xf numFmtId="0" fontId="19" fillId="0" borderId="112" xfId="0" applyFont="1" applyBorder="1" applyAlignment="1" applyProtection="1">
      <alignment wrapText="1"/>
      <protection hidden="1"/>
    </xf>
    <xf numFmtId="2" fontId="13" fillId="0" borderId="127" xfId="0" applyNumberFormat="1" applyFont="1" applyBorder="1" applyAlignment="1" applyProtection="1">
      <alignment horizontal="center"/>
      <protection hidden="1"/>
    </xf>
    <xf numFmtId="0" fontId="2" fillId="0" borderId="127" xfId="0" applyFont="1" applyBorder="1" applyAlignment="1" applyProtection="1">
      <alignment horizontal="center"/>
      <protection hidden="1"/>
    </xf>
    <xf numFmtId="0" fontId="2" fillId="0" borderId="178" xfId="0" applyFont="1" applyBorder="1" applyAlignment="1" applyProtection="1">
      <alignment horizontal="center"/>
      <protection hidden="1"/>
    </xf>
    <xf numFmtId="165" fontId="0" fillId="0" borderId="0" xfId="0" applyNumberFormat="1" applyAlignment="1" applyProtection="1">
      <alignment horizontal="center"/>
      <protection hidden="1"/>
    </xf>
    <xf numFmtId="0" fontId="0" fillId="0" borderId="0" xfId="0" applyAlignment="1" applyProtection="1">
      <alignment horizontal="center"/>
      <protection hidden="1"/>
    </xf>
    <xf numFmtId="166" fontId="0" fillId="0" borderId="0" xfId="0" applyNumberFormat="1" applyAlignment="1" applyProtection="1">
      <alignment horizontal="center"/>
      <protection hidden="1"/>
    </xf>
    <xf numFmtId="164" fontId="0" fillId="0" borderId="77" xfId="0" applyNumberFormat="1" applyBorder="1" applyAlignment="1" applyProtection="1">
      <alignment horizontal="center"/>
      <protection hidden="1"/>
    </xf>
    <xf numFmtId="0" fontId="13" fillId="0" borderId="121" xfId="0" applyFont="1" applyBorder="1" applyAlignment="1" applyProtection="1">
      <alignment horizontal="center"/>
      <protection hidden="1"/>
    </xf>
    <xf numFmtId="164" fontId="0" fillId="0" borderId="0" xfId="0" applyNumberFormat="1" applyAlignment="1" applyProtection="1">
      <alignment horizontal="center"/>
      <protection hidden="1"/>
    </xf>
    <xf numFmtId="164" fontId="0" fillId="0" borderId="0" xfId="0" applyNumberFormat="1" applyAlignment="1">
      <alignment horizontal="center"/>
    </xf>
    <xf numFmtId="2" fontId="19" fillId="0" borderId="0" xfId="0" applyNumberFormat="1" applyFont="1" applyAlignment="1" applyProtection="1">
      <alignment horizontal="center" vertical="center" wrapText="1"/>
      <protection hidden="1"/>
    </xf>
    <xf numFmtId="0" fontId="23" fillId="0" borderId="0" xfId="0" applyFont="1" applyAlignment="1" applyProtection="1">
      <alignment horizontal="center" wrapText="1"/>
      <protection hidden="1"/>
    </xf>
    <xf numFmtId="165" fontId="0" fillId="0" borderId="77" xfId="0" applyNumberFormat="1" applyBorder="1" applyAlignment="1" applyProtection="1">
      <alignment horizontal="center"/>
      <protection hidden="1"/>
    </xf>
    <xf numFmtId="0" fontId="2" fillId="0" borderId="0" xfId="0" applyFont="1" applyAlignment="1" applyProtection="1">
      <alignment wrapText="1"/>
      <protection hidden="1"/>
    </xf>
    <xf numFmtId="0" fontId="0" fillId="0" borderId="157" xfId="0" applyBorder="1" applyAlignment="1">
      <alignment wrapText="1"/>
    </xf>
    <xf numFmtId="0" fontId="0" fillId="0" borderId="185" xfId="0" applyBorder="1" applyAlignment="1">
      <alignment wrapText="1"/>
    </xf>
    <xf numFmtId="0" fontId="0" fillId="0" borderId="186" xfId="0" applyBorder="1" applyAlignment="1">
      <alignment wrapText="1"/>
    </xf>
    <xf numFmtId="0" fontId="2" fillId="0" borderId="51" xfId="0" applyFont="1" applyBorder="1" applyAlignment="1">
      <alignment wrapText="1"/>
    </xf>
    <xf numFmtId="0" fontId="0" fillId="0" borderId="111" xfId="0" applyBorder="1" applyAlignment="1">
      <alignment wrapText="1"/>
    </xf>
    <xf numFmtId="0" fontId="0" fillId="0" borderId="62" xfId="0" applyBorder="1" applyAlignment="1">
      <alignment wrapText="1"/>
    </xf>
    <xf numFmtId="0" fontId="0" fillId="0" borderId="48" xfId="0" applyBorder="1" applyAlignment="1">
      <alignment wrapText="1"/>
    </xf>
    <xf numFmtId="0" fontId="0" fillId="0" borderId="36" xfId="0" applyBorder="1" applyAlignment="1">
      <alignment wrapText="1"/>
    </xf>
    <xf numFmtId="0" fontId="0" fillId="0" borderId="60" xfId="0" applyBorder="1" applyAlignment="1">
      <alignment wrapText="1"/>
    </xf>
    <xf numFmtId="0" fontId="0" fillId="0" borderId="51" xfId="0" applyBorder="1" applyAlignment="1">
      <alignment wrapText="1"/>
    </xf>
    <xf numFmtId="0" fontId="2" fillId="0" borderId="187" xfId="0" applyFont="1" applyBorder="1" applyAlignment="1">
      <alignment wrapText="1"/>
    </xf>
    <xf numFmtId="0" fontId="0" fillId="0" borderId="140" xfId="0" applyBorder="1" applyAlignment="1">
      <alignment wrapText="1"/>
    </xf>
    <xf numFmtId="0" fontId="0" fillId="0" borderId="58" xfId="0" applyBorder="1" applyAlignment="1">
      <alignment wrapText="1"/>
    </xf>
    <xf numFmtId="0" fontId="53" fillId="0" borderId="0" xfId="0" applyFont="1" applyAlignment="1">
      <alignment horizontal="center" wrapText="1"/>
    </xf>
    <xf numFmtId="0" fontId="54" fillId="0" borderId="0" xfId="0" applyFont="1" applyAlignment="1">
      <alignment horizontal="center" wrapText="1"/>
    </xf>
    <xf numFmtId="0" fontId="53" fillId="0" borderId="0" xfId="0" applyFont="1" applyAlignment="1">
      <alignment horizontal="center" vertical="center" wrapText="1"/>
    </xf>
    <xf numFmtId="0" fontId="2" fillId="0" borderId="31" xfId="0" applyFont="1" applyBorder="1" applyAlignment="1">
      <alignment wrapText="1"/>
    </xf>
    <xf numFmtId="0" fontId="0" fillId="0" borderId="8" xfId="0" applyBorder="1" applyAlignment="1">
      <alignment wrapText="1"/>
    </xf>
    <xf numFmtId="0" fontId="0" fillId="0" borderId="29" xfId="0" applyBorder="1" applyAlignment="1">
      <alignment wrapText="1"/>
    </xf>
    <xf numFmtId="0" fontId="21" fillId="0" borderId="0" xfId="0" applyFont="1" applyAlignment="1">
      <alignment horizontal="center" wrapText="1"/>
    </xf>
    <xf numFmtId="0" fontId="0" fillId="0" borderId="0" xfId="0" applyAlignment="1">
      <alignment horizontal="center" wrapText="1"/>
    </xf>
    <xf numFmtId="0" fontId="21" fillId="0" borderId="0" xfId="0" applyFont="1" applyAlignment="1">
      <alignment horizontal="center"/>
    </xf>
    <xf numFmtId="0" fontId="37" fillId="0" borderId="0" xfId="0" applyFont="1" applyAlignment="1">
      <alignment wrapText="1"/>
    </xf>
    <xf numFmtId="0" fontId="14" fillId="0" borderId="0" xfId="0" applyFont="1" applyAlignment="1">
      <alignment wrapText="1"/>
    </xf>
    <xf numFmtId="0" fontId="19" fillId="0" borderId="0" xfId="0" applyFont="1" applyAlignment="1">
      <alignment horizontal="left" wrapText="1"/>
    </xf>
    <xf numFmtId="0" fontId="0" fillId="0" borderId="0" xfId="0" applyAlignment="1">
      <alignment horizontal="left" wrapText="1"/>
    </xf>
    <xf numFmtId="0" fontId="3" fillId="0" borderId="10" xfId="0" applyFont="1" applyFill="1" applyBorder="1" applyAlignment="1">
      <alignment horizontal="left" wrapText="1"/>
    </xf>
    <xf numFmtId="0" fontId="0" fillId="0" borderId="11" xfId="0" applyFill="1" applyBorder="1" applyAlignment="1">
      <alignment wrapText="1"/>
    </xf>
    <xf numFmtId="0" fontId="0" fillId="0" borderId="13" xfId="0" applyFill="1" applyBorder="1" applyAlignment="1">
      <alignment wrapText="1"/>
    </xf>
    <xf numFmtId="0" fontId="3" fillId="0" borderId="9" xfId="0" applyFont="1" applyFill="1" applyBorder="1" applyAlignment="1">
      <alignment wrapText="1"/>
    </xf>
    <xf numFmtId="0" fontId="0" fillId="0" borderId="0" xfId="0" applyFill="1" applyAlignment="1">
      <alignment wrapText="1"/>
    </xf>
    <xf numFmtId="0" fontId="0" fillId="0" borderId="12" xfId="0" applyFill="1" applyBorder="1" applyAlignment="1">
      <alignment wrapText="1"/>
    </xf>
    <xf numFmtId="0" fontId="3" fillId="0" borderId="9" xfId="0" applyFont="1" applyFill="1" applyBorder="1" applyAlignment="1">
      <alignment horizontal="left" wrapText="1"/>
    </xf>
    <xf numFmtId="49" fontId="3" fillId="0" borderId="9" xfId="0" applyNumberFormat="1" applyFont="1" applyFill="1" applyBorder="1" applyAlignment="1">
      <alignment wrapText="1"/>
    </xf>
    <xf numFmtId="0" fontId="79" fillId="0" borderId="38" xfId="0" applyFont="1" applyFill="1" applyBorder="1" applyAlignment="1">
      <alignment horizontal="center" wrapText="1"/>
    </xf>
    <xf numFmtId="0" fontId="79" fillId="0" borderId="103" xfId="0" applyFont="1" applyFill="1" applyBorder="1" applyAlignment="1">
      <alignment horizontal="center"/>
    </xf>
    <xf numFmtId="0" fontId="27" fillId="0" borderId="10" xfId="0" applyFont="1" applyFill="1" applyBorder="1" applyAlignment="1">
      <alignment wrapText="1"/>
    </xf>
    <xf numFmtId="0" fontId="27" fillId="0" borderId="11" xfId="0" applyFont="1" applyFill="1" applyBorder="1" applyAlignment="1">
      <alignment wrapText="1"/>
    </xf>
    <xf numFmtId="0" fontId="27" fillId="0" borderId="13" xfId="0" applyFont="1" applyFill="1" applyBorder="1" applyAlignment="1">
      <alignment wrapText="1"/>
    </xf>
    <xf numFmtId="0" fontId="27" fillId="0" borderId="9" xfId="0" applyFont="1" applyFill="1" applyBorder="1" applyAlignment="1">
      <alignment wrapText="1"/>
    </xf>
    <xf numFmtId="49" fontId="3" fillId="0" borderId="10" xfId="0" applyNumberFormat="1" applyFont="1" applyFill="1" applyBorder="1" applyAlignment="1">
      <alignment wrapText="1"/>
    </xf>
    <xf numFmtId="0" fontId="15" fillId="0" borderId="0" xfId="0" applyFont="1" applyFill="1" applyAlignment="1">
      <alignment horizontal="center" wrapText="1"/>
    </xf>
    <xf numFmtId="0" fontId="2" fillId="0" borderId="0" xfId="0" applyFont="1" applyFill="1" applyAlignment="1">
      <alignment horizontal="center" wrapText="1"/>
    </xf>
    <xf numFmtId="0" fontId="3" fillId="0" borderId="10" xfId="0" applyFont="1" applyFill="1" applyBorder="1" applyAlignment="1">
      <alignment wrapText="1"/>
    </xf>
    <xf numFmtId="0" fontId="3" fillId="0" borderId="11" xfId="0" applyFont="1" applyFill="1" applyBorder="1" applyAlignment="1">
      <alignment wrapText="1"/>
    </xf>
    <xf numFmtId="0" fontId="3" fillId="0" borderId="0" xfId="0" applyFont="1" applyFill="1" applyAlignment="1">
      <alignment wrapText="1"/>
    </xf>
    <xf numFmtId="0" fontId="5" fillId="0" borderId="0" xfId="0" applyFont="1" applyFill="1" applyAlignment="1">
      <alignment horizontal="center" wrapText="1"/>
    </xf>
    <xf numFmtId="165" fontId="4" fillId="0" borderId="97" xfId="0" applyNumberFormat="1" applyFont="1" applyFill="1" applyBorder="1" applyAlignment="1">
      <alignment horizontal="center" wrapText="1"/>
    </xf>
    <xf numFmtId="165" fontId="4" fillId="0" borderId="79" xfId="0" applyNumberFormat="1" applyFont="1" applyFill="1" applyBorder="1" applyAlignment="1">
      <alignment horizontal="center" wrapText="1"/>
    </xf>
    <xf numFmtId="0" fontId="4" fillId="0" borderId="93" xfId="0" applyFont="1" applyFill="1" applyBorder="1" applyAlignment="1"/>
    <xf numFmtId="0" fontId="3" fillId="0" borderId="9" xfId="0" applyFont="1" applyFill="1" applyBorder="1" applyAlignment="1"/>
    <xf numFmtId="0" fontId="3" fillId="0" borderId="68" xfId="0" applyFont="1" applyFill="1" applyBorder="1" applyAlignment="1"/>
    <xf numFmtId="165" fontId="8" fillId="0" borderId="97" xfId="0" applyNumberFormat="1" applyFont="1" applyFill="1" applyBorder="1" applyAlignment="1">
      <alignment horizontal="center" wrapText="1"/>
    </xf>
    <xf numFmtId="165" fontId="13" fillId="0" borderId="39" xfId="0" applyNumberFormat="1" applyFont="1" applyFill="1" applyBorder="1" applyAlignment="1">
      <alignment horizontal="center"/>
    </xf>
    <xf numFmtId="165" fontId="4" fillId="0" borderId="97" xfId="0" applyNumberFormat="1" applyFont="1" applyFill="1" applyBorder="1" applyAlignment="1">
      <alignment horizontal="center"/>
    </xf>
    <xf numFmtId="165" fontId="4" fillId="0" borderId="98" xfId="0" applyNumberFormat="1" applyFont="1" applyFill="1" applyBorder="1" applyAlignment="1"/>
    <xf numFmtId="165" fontId="4" fillId="0" borderId="99" xfId="0" applyNumberFormat="1" applyFont="1" applyFill="1" applyBorder="1" applyAlignment="1"/>
    <xf numFmtId="0" fontId="4" fillId="0" borderId="9" xfId="0" applyFont="1" applyFill="1" applyBorder="1" applyAlignment="1"/>
    <xf numFmtId="0" fontId="4" fillId="0" borderId="68" xfId="0" applyFont="1" applyFill="1" applyBorder="1" applyAlignment="1"/>
    <xf numFmtId="165" fontId="8" fillId="0" borderId="169" xfId="0" applyNumberFormat="1" applyFont="1" applyFill="1" applyBorder="1" applyAlignment="1">
      <alignment horizontal="center" wrapText="1"/>
    </xf>
    <xf numFmtId="0" fontId="4" fillId="0" borderId="31" xfId="0" applyFont="1" applyFill="1" applyBorder="1" applyAlignment="1">
      <alignment horizontal="center"/>
    </xf>
    <xf numFmtId="0" fontId="4" fillId="0" borderId="188" xfId="0" applyFont="1" applyFill="1" applyBorder="1" applyAlignment="1">
      <alignment horizontal="center"/>
    </xf>
    <xf numFmtId="0" fontId="4" fillId="0" borderId="32"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4" fillId="0" borderId="32" xfId="0" applyFont="1" applyFill="1" applyBorder="1" applyAlignment="1">
      <alignment horizontal="center"/>
    </xf>
    <xf numFmtId="0" fontId="4" fillId="0" borderId="0" xfId="0" applyFont="1" applyFill="1" applyAlignment="1">
      <alignment horizontal="center"/>
    </xf>
    <xf numFmtId="0" fontId="4" fillId="0" borderId="141" xfId="0" applyFont="1" applyFill="1" applyBorder="1" applyAlignment="1">
      <alignment horizontal="center" vertical="center" wrapText="1"/>
    </xf>
    <xf numFmtId="0" fontId="2" fillId="0" borderId="46" xfId="0" applyFont="1" applyFill="1" applyBorder="1" applyAlignment="1">
      <alignment horizontal="center" vertical="center" wrapText="1"/>
    </xf>
    <xf numFmtId="165" fontId="8" fillId="0" borderId="75" xfId="0" applyNumberFormat="1" applyFont="1" applyFill="1" applyBorder="1" applyAlignment="1">
      <alignment horizontal="center" wrapText="1"/>
    </xf>
    <xf numFmtId="0" fontId="2" fillId="0" borderId="15" xfId="0" applyFont="1" applyFill="1" applyBorder="1" applyAlignment="1">
      <alignment wrapText="1"/>
    </xf>
    <xf numFmtId="0" fontId="2" fillId="0" borderId="64" xfId="0" applyFont="1" applyFill="1" applyBorder="1" applyAlignment="1">
      <alignment wrapText="1"/>
    </xf>
    <xf numFmtId="0" fontId="4" fillId="0" borderId="189" xfId="0" applyFont="1" applyFill="1" applyBorder="1" applyAlignment="1">
      <alignment horizontal="center" wrapText="1"/>
    </xf>
    <xf numFmtId="0" fontId="4" fillId="0" borderId="190" xfId="0" applyFont="1" applyFill="1" applyBorder="1" applyAlignment="1">
      <alignment horizontal="center"/>
    </xf>
    <xf numFmtId="0" fontId="4" fillId="0" borderId="191" xfId="0" applyFont="1" applyFill="1" applyBorder="1" applyAlignment="1">
      <alignment horizontal="center"/>
    </xf>
    <xf numFmtId="0" fontId="4" fillId="0" borderId="169" xfId="0" applyFont="1" applyFill="1" applyBorder="1" applyAlignment="1">
      <alignment horizontal="center"/>
    </xf>
    <xf numFmtId="0" fontId="4" fillId="0" borderId="170" xfId="0" applyFont="1" applyFill="1" applyBorder="1" applyAlignment="1">
      <alignment horizontal="center" vertical="center" wrapText="1"/>
    </xf>
    <xf numFmtId="49" fontId="3" fillId="0" borderId="9" xfId="0" applyNumberFormat="1" applyFont="1" applyFill="1" applyBorder="1" applyAlignment="1">
      <alignment horizontal="left" wrapText="1"/>
    </xf>
    <xf numFmtId="165" fontId="8" fillId="0" borderId="30" xfId="0" applyNumberFormat="1" applyFont="1" applyFill="1" applyBorder="1" applyAlignment="1">
      <alignment horizontal="center" wrapText="1"/>
    </xf>
    <xf numFmtId="165" fontId="2" fillId="0" borderId="44" xfId="0" applyNumberFormat="1" applyFont="1" applyFill="1" applyBorder="1" applyAlignment="1">
      <alignment horizontal="center" wrapText="1"/>
    </xf>
    <xf numFmtId="49" fontId="5" fillId="0" borderId="0" xfId="0" applyNumberFormat="1" applyFont="1" applyFill="1" applyAlignment="1">
      <alignment horizontal="center" wrapText="1"/>
    </xf>
    <xf numFmtId="0" fontId="2" fillId="0" borderId="0" xfId="0" applyFont="1" applyFill="1" applyAlignment="1">
      <alignment wrapText="1"/>
    </xf>
    <xf numFmtId="0" fontId="4" fillId="0" borderId="93" xfId="0" applyFont="1" applyFill="1" applyBorder="1" applyAlignment="1">
      <alignment horizontal="left"/>
    </xf>
    <xf numFmtId="0" fontId="0" fillId="0" borderId="164" xfId="0" applyFill="1" applyBorder="1" applyAlignment="1"/>
    <xf numFmtId="0" fontId="0" fillId="0" borderId="0" xfId="0" applyFill="1" applyAlignment="1"/>
    <xf numFmtId="0" fontId="13" fillId="0" borderId="0" xfId="0" applyFont="1" applyFill="1" applyAlignment="1"/>
    <xf numFmtId="0" fontId="79" fillId="0" borderId="93" xfId="0" applyFont="1" applyFill="1" applyBorder="1" applyAlignment="1">
      <alignment horizontal="left"/>
    </xf>
    <xf numFmtId="0" fontId="27" fillId="0" borderId="164" xfId="0" applyFont="1" applyFill="1" applyBorder="1" applyAlignment="1"/>
    <xf numFmtId="165" fontId="96" fillId="0" borderId="30" xfId="0" applyNumberFormat="1" applyFont="1" applyFill="1" applyBorder="1" applyAlignment="1">
      <alignment horizontal="center" wrapText="1"/>
    </xf>
    <xf numFmtId="165" fontId="27" fillId="0" borderId="44" xfId="0" applyNumberFormat="1" applyFont="1" applyFill="1" applyBorder="1" applyAlignment="1">
      <alignment horizontal="center" wrapText="1"/>
    </xf>
    <xf numFmtId="0" fontId="3" fillId="0" borderId="12" xfId="0" applyFont="1" applyFill="1" applyBorder="1" applyAlignment="1">
      <alignment wrapText="1"/>
    </xf>
    <xf numFmtId="0" fontId="6" fillId="0" borderId="0" xfId="0" applyFont="1" applyFill="1" applyAlignment="1">
      <alignment horizontal="center"/>
    </xf>
    <xf numFmtId="0" fontId="2" fillId="0" borderId="12" xfId="0" applyFont="1" applyFill="1" applyBorder="1" applyAlignment="1">
      <alignment wrapText="1"/>
    </xf>
    <xf numFmtId="165" fontId="8" fillId="0" borderId="31" xfId="0" applyNumberFormat="1" applyFont="1" applyFill="1" applyBorder="1" applyAlignment="1">
      <alignment horizontal="center" wrapText="1"/>
    </xf>
    <xf numFmtId="165" fontId="2" fillId="0" borderId="141" xfId="0" applyNumberFormat="1" applyFont="1" applyFill="1" applyBorder="1" applyAlignment="1">
      <alignment horizontal="center" wrapText="1"/>
    </xf>
    <xf numFmtId="0" fontId="2" fillId="0" borderId="0" xfId="0" applyFont="1" applyFill="1" applyAlignment="1"/>
    <xf numFmtId="165" fontId="8" fillId="0" borderId="80" xfId="0" applyNumberFormat="1" applyFont="1" applyFill="1" applyBorder="1" applyAlignment="1">
      <alignment horizontal="center" wrapText="1"/>
    </xf>
    <xf numFmtId="165" fontId="2" fillId="0" borderId="83" xfId="0" applyNumberFormat="1" applyFont="1" applyFill="1" applyBorder="1" applyAlignment="1">
      <alignment horizontal="center" wrapText="1"/>
    </xf>
    <xf numFmtId="49" fontId="27" fillId="0" borderId="9" xfId="0" applyNumberFormat="1" applyFont="1" applyFill="1" applyBorder="1" applyAlignment="1">
      <alignment wrapText="1"/>
    </xf>
    <xf numFmtId="49" fontId="27" fillId="0" borderId="0" xfId="0" applyNumberFormat="1" applyFont="1" applyFill="1" applyAlignment="1">
      <alignment wrapText="1"/>
    </xf>
    <xf numFmtId="49" fontId="80" fillId="0" borderId="0" xfId="0" applyNumberFormat="1" applyFont="1" applyFill="1" applyAlignment="1">
      <alignment wrapText="1"/>
    </xf>
    <xf numFmtId="0" fontId="27" fillId="0" borderId="12" xfId="0" applyFont="1" applyFill="1" applyBorder="1" applyAlignment="1">
      <alignment wrapText="1"/>
    </xf>
    <xf numFmtId="49" fontId="27" fillId="0" borderId="9" xfId="0" applyNumberFormat="1" applyFont="1" applyFill="1" applyBorder="1" applyAlignment="1"/>
    <xf numFmtId="49" fontId="27" fillId="0" borderId="0" xfId="0" applyNumberFormat="1" applyFont="1" applyFill="1" applyAlignment="1"/>
    <xf numFmtId="0" fontId="27" fillId="0" borderId="12" xfId="0" applyFont="1" applyFill="1" applyBorder="1" applyAlignment="1"/>
    <xf numFmtId="0" fontId="2" fillId="0" borderId="11" xfId="0" applyFont="1" applyFill="1" applyBorder="1" applyAlignment="1">
      <alignment wrapText="1"/>
    </xf>
    <xf numFmtId="0" fontId="2" fillId="0" borderId="13" xfId="0" applyFont="1" applyFill="1" applyBorder="1" applyAlignment="1">
      <alignment wrapText="1"/>
    </xf>
    <xf numFmtId="0" fontId="3" fillId="0" borderId="38" xfId="0" applyFont="1" applyFill="1" applyBorder="1" applyAlignment="1">
      <alignment horizontal="center" wrapText="1"/>
    </xf>
    <xf numFmtId="0" fontId="3" fillId="0" borderId="15" xfId="0" applyFont="1" applyFill="1" applyBorder="1" applyAlignment="1">
      <alignment horizontal="center" wrapText="1"/>
    </xf>
    <xf numFmtId="0" fontId="3" fillId="0" borderId="103" xfId="0" applyFont="1" applyFill="1" applyBorder="1" applyAlignment="1">
      <alignment horizontal="center" wrapText="1"/>
    </xf>
    <xf numFmtId="165" fontId="4" fillId="0" borderId="15" xfId="0" applyNumberFormat="1" applyFont="1" applyFill="1" applyBorder="1" applyAlignment="1">
      <alignment horizontal="center" wrapText="1"/>
    </xf>
    <xf numFmtId="0" fontId="2" fillId="0" borderId="15" xfId="0" applyFont="1" applyFill="1" applyBorder="1" applyAlignment="1">
      <alignment horizontal="center" wrapText="1"/>
    </xf>
    <xf numFmtId="0" fontId="2" fillId="0" borderId="64" xfId="0" applyFont="1" applyFill="1" applyBorder="1" applyAlignment="1">
      <alignment horizontal="center" wrapText="1"/>
    </xf>
    <xf numFmtId="165" fontId="4" fillId="0" borderId="57" xfId="0" applyNumberFormat="1" applyFont="1" applyFill="1" applyBorder="1" applyAlignment="1">
      <alignment horizontal="center"/>
    </xf>
    <xf numFmtId="0" fontId="0" fillId="0" borderId="140" xfId="0" applyFill="1" applyBorder="1" applyAlignment="1">
      <alignment horizontal="center"/>
    </xf>
    <xf numFmtId="165" fontId="4" fillId="0" borderId="21" xfId="0" applyNumberFormat="1" applyFont="1" applyFill="1" applyBorder="1" applyAlignment="1">
      <alignment horizontal="center" wrapText="1"/>
    </xf>
    <xf numFmtId="0" fontId="0" fillId="0" borderId="58" xfId="0" applyFill="1" applyBorder="1" applyAlignment="1">
      <alignment horizontal="center" wrapText="1"/>
    </xf>
    <xf numFmtId="165" fontId="4" fillId="0" borderId="2" xfId="0" applyNumberFormat="1" applyFont="1" applyFill="1" applyBorder="1" applyAlignment="1">
      <alignment horizontal="center" wrapText="1"/>
    </xf>
    <xf numFmtId="0" fontId="0" fillId="0" borderId="8" xfId="0" applyFill="1" applyBorder="1" applyAlignment="1">
      <alignment horizontal="center" wrapText="1"/>
    </xf>
    <xf numFmtId="0" fontId="0" fillId="0" borderId="8" xfId="0" applyFill="1" applyBorder="1" applyAlignment="1">
      <alignment wrapText="1"/>
    </xf>
    <xf numFmtId="165" fontId="4" fillId="0" borderId="19" xfId="0" applyNumberFormat="1" applyFont="1" applyFill="1" applyBorder="1" applyAlignment="1">
      <alignment horizontal="center" wrapText="1"/>
    </xf>
    <xf numFmtId="0" fontId="0" fillId="0" borderId="20" xfId="0" applyFill="1" applyBorder="1" applyAlignment="1">
      <alignment horizontal="center" wrapText="1"/>
    </xf>
    <xf numFmtId="0" fontId="0" fillId="0" borderId="104" xfId="0" applyFill="1" applyBorder="1" applyAlignment="1">
      <alignment wrapText="1"/>
    </xf>
    <xf numFmtId="49" fontId="9" fillId="0" borderId="9" xfId="0" applyNumberFormat="1" applyFont="1" applyFill="1" applyBorder="1" applyAlignment="1">
      <alignment wrapText="1"/>
    </xf>
    <xf numFmtId="49" fontId="3" fillId="0" borderId="9" xfId="0" applyNumberFormat="1" applyFont="1" applyFill="1" applyBorder="1" applyAlignment="1"/>
    <xf numFmtId="0" fontId="2" fillId="0" borderId="12" xfId="0" applyFont="1" applyFill="1" applyBorder="1" applyAlignment="1"/>
    <xf numFmtId="0" fontId="79" fillId="0" borderId="31" xfId="0" applyFont="1" applyFill="1" applyBorder="1" applyAlignment="1">
      <alignment horizontal="center" wrapText="1"/>
    </xf>
    <xf numFmtId="0" fontId="79" fillId="0" borderId="188" xfId="0" applyFont="1" applyFill="1" applyBorder="1" applyAlignment="1">
      <alignment horizontal="center" wrapText="1"/>
    </xf>
    <xf numFmtId="0" fontId="27" fillId="0" borderId="141" xfId="0" applyFont="1" applyFill="1" applyBorder="1" applyAlignment="1">
      <alignment horizontal="center" wrapText="1"/>
    </xf>
    <xf numFmtId="0" fontId="27" fillId="0" borderId="170" xfId="0" applyFont="1" applyFill="1" applyBorder="1" applyAlignment="1">
      <alignment horizontal="center" wrapText="1"/>
    </xf>
    <xf numFmtId="0" fontId="96" fillId="0" borderId="31" xfId="0" applyFont="1" applyFill="1" applyBorder="1" applyAlignment="1">
      <alignment horizontal="center" wrapText="1"/>
    </xf>
    <xf numFmtId="0" fontId="96" fillId="0" borderId="141" xfId="0" applyFont="1" applyFill="1" applyBorder="1" applyAlignment="1">
      <alignment horizontal="center" wrapText="1"/>
    </xf>
    <xf numFmtId="0" fontId="0" fillId="0" borderId="192" xfId="0" applyFill="1" applyBorder="1" applyAlignment="1">
      <alignment vertical="center" wrapText="1"/>
    </xf>
    <xf numFmtId="0" fontId="0" fillId="0" borderId="162" xfId="0" applyFill="1" applyBorder="1" applyAlignment="1">
      <alignment vertical="center"/>
    </xf>
    <xf numFmtId="0" fontId="0" fillId="0" borderId="142" xfId="0" applyFill="1" applyBorder="1" applyAlignment="1">
      <alignment vertical="center"/>
    </xf>
    <xf numFmtId="0" fontId="0" fillId="0" borderId="162" xfId="0" applyFill="1" applyBorder="1" applyAlignment="1">
      <alignment vertical="center" wrapText="1"/>
    </xf>
    <xf numFmtId="0" fontId="0" fillId="0" borderId="142" xfId="0" applyFill="1" applyBorder="1" applyAlignment="1">
      <alignment vertical="center" wrapText="1"/>
    </xf>
    <xf numFmtId="0" fontId="13" fillId="0" borderId="137" xfId="0" applyFont="1" applyFill="1" applyBorder="1" applyAlignment="1"/>
    <xf numFmtId="0" fontId="0" fillId="0" borderId="77" xfId="0" applyFill="1" applyBorder="1" applyAlignment="1"/>
    <xf numFmtId="0" fontId="0" fillId="0" borderId="78" xfId="0" applyFill="1" applyBorder="1" applyAlignment="1"/>
    <xf numFmtId="0" fontId="13" fillId="0" borderId="9" xfId="0" applyFont="1" applyFill="1" applyBorder="1" applyAlignment="1"/>
    <xf numFmtId="0" fontId="0" fillId="0" borderId="12" xfId="0" applyFill="1" applyBorder="1" applyAlignment="1"/>
    <xf numFmtId="0" fontId="67" fillId="0" borderId="19" xfId="0" applyFont="1" applyFill="1" applyBorder="1" applyAlignment="1">
      <alignment horizontal="center" wrapText="1"/>
    </xf>
    <xf numFmtId="0" fontId="94" fillId="0" borderId="20" xfId="0" applyFont="1" applyFill="1" applyBorder="1" applyAlignment="1">
      <alignment wrapText="1"/>
    </xf>
    <xf numFmtId="0" fontId="94" fillId="0" borderId="128" xfId="0" applyFont="1" applyFill="1" applyBorder="1" applyAlignment="1">
      <alignment wrapText="1"/>
    </xf>
    <xf numFmtId="0" fontId="94" fillId="0" borderId="59" xfId="0" applyFont="1" applyFill="1" applyBorder="1" applyAlignment="1">
      <alignment wrapText="1"/>
    </xf>
    <xf numFmtId="0" fontId="94" fillId="0" borderId="105" xfId="0" applyFont="1" applyFill="1" applyBorder="1" applyAlignment="1">
      <alignment wrapText="1"/>
    </xf>
    <xf numFmtId="0" fontId="94" fillId="0" borderId="24" xfId="0" applyFont="1" applyFill="1" applyBorder="1" applyAlignment="1">
      <alignment wrapText="1"/>
    </xf>
    <xf numFmtId="1" fontId="67" fillId="0" borderId="20" xfId="0" applyNumberFormat="1" applyFont="1" applyFill="1" applyBorder="1" applyAlignment="1">
      <alignment horizontal="center" wrapText="1"/>
    </xf>
    <xf numFmtId="0" fontId="70" fillId="0" borderId="59" xfId="0" applyFont="1" applyFill="1" applyBorder="1" applyAlignment="1">
      <alignment horizontal="center" wrapText="1"/>
    </xf>
    <xf numFmtId="0" fontId="1" fillId="0" borderId="59" xfId="0" applyFont="1" applyFill="1" applyBorder="1" applyAlignment="1">
      <alignment horizontal="center" wrapText="1"/>
    </xf>
    <xf numFmtId="49" fontId="108" fillId="0" borderId="9" xfId="0" applyNumberFormat="1" applyFont="1" applyFill="1" applyBorder="1" applyAlignment="1">
      <alignment wrapText="1"/>
    </xf>
    <xf numFmtId="0" fontId="3" fillId="0" borderId="0" xfId="0" applyFont="1" applyFill="1" applyAlignment="1">
      <alignment horizontal="left" wrapText="1"/>
    </xf>
    <xf numFmtId="0" fontId="3" fillId="0" borderId="12" xfId="0" applyFont="1" applyFill="1" applyBorder="1" applyAlignment="1">
      <alignment horizontal="left" wrapText="1"/>
    </xf>
    <xf numFmtId="0" fontId="19" fillId="0" borderId="11" xfId="0" applyFont="1" applyBorder="1" applyAlignment="1" applyProtection="1">
      <alignment horizontal="center"/>
      <protection hidden="1"/>
    </xf>
    <xf numFmtId="0" fontId="0" fillId="0" borderId="11" xfId="0" applyBorder="1" applyAlignment="1">
      <alignment horizontal="center"/>
    </xf>
    <xf numFmtId="165" fontId="4" fillId="0" borderId="75" xfId="0" applyNumberFormat="1" applyFont="1" applyFill="1" applyBorder="1" applyAlignment="1">
      <alignment horizontal="center"/>
    </xf>
    <xf numFmtId="0" fontId="0" fillId="0" borderId="15" xfId="0" applyBorder="1" applyAlignment="1"/>
    <xf numFmtId="0" fontId="0" fillId="0" borderId="64" xfId="0" applyBorder="1" applyAlignment="1"/>
    <xf numFmtId="165" fontId="8" fillId="0" borderId="100" xfId="0" applyNumberFormat="1" applyFont="1" applyFill="1" applyBorder="1" applyAlignment="1">
      <alignment horizontal="center" vertical="center" wrapText="1"/>
    </xf>
    <xf numFmtId="0" fontId="0" fillId="0" borderId="56" xfId="0" applyBorder="1" applyAlignment="1">
      <alignment vertical="center" wrapText="1"/>
    </xf>
    <xf numFmtId="0" fontId="67" fillId="0" borderId="57" xfId="0" applyFont="1" applyFill="1" applyBorder="1" applyAlignment="1">
      <alignment horizontal="center" wrapText="1"/>
    </xf>
    <xf numFmtId="0" fontId="94" fillId="0" borderId="1" xfId="0" applyFont="1" applyFill="1" applyBorder="1" applyAlignment="1">
      <alignment horizontal="center" wrapText="1"/>
    </xf>
    <xf numFmtId="0" fontId="94" fillId="0" borderId="7" xfId="0" applyFont="1" applyFill="1" applyBorder="1" applyAlignment="1">
      <alignment horizontal="center" wrapText="1"/>
    </xf>
    <xf numFmtId="0" fontId="105" fillId="0" borderId="137" xfId="0" applyFont="1" applyFill="1" applyBorder="1" applyAlignment="1">
      <alignment horizontal="center" vertical="center" wrapText="1"/>
    </xf>
    <xf numFmtId="0" fontId="68" fillId="0" borderId="137" xfId="0" applyFont="1" applyFill="1" applyBorder="1" applyAlignment="1">
      <alignment horizontal="center" vertical="center" wrapText="1"/>
    </xf>
    <xf numFmtId="0" fontId="105" fillId="0" borderId="1" xfId="0" applyFont="1" applyFill="1" applyBorder="1" applyAlignment="1">
      <alignment horizontal="center" vertical="center" wrapText="1"/>
    </xf>
    <xf numFmtId="0" fontId="66" fillId="0" borderId="137" xfId="0" applyFont="1" applyFill="1" applyBorder="1" applyAlignment="1">
      <alignment horizontal="center" vertical="center" wrapText="1"/>
    </xf>
    <xf numFmtId="0" fontId="105" fillId="0" borderId="1" xfId="0" applyFont="1" applyFill="1" applyBorder="1" applyAlignment="1">
      <alignment horizontal="center" vertical="center"/>
    </xf>
    <xf numFmtId="0" fontId="105" fillId="0" borderId="9" xfId="0" applyFont="1" applyFill="1" applyBorder="1" applyAlignment="1">
      <alignment horizontal="center" vertical="center" wrapText="1"/>
    </xf>
    <xf numFmtId="0" fontId="68" fillId="0" borderId="1" xfId="0" applyFont="1" applyFill="1" applyBorder="1" applyAlignment="1">
      <alignment horizontal="center" vertical="center" wrapText="1"/>
    </xf>
    <xf numFmtId="0" fontId="68" fillId="0" borderId="16" xfId="0" applyFont="1" applyFill="1" applyBorder="1" applyAlignment="1">
      <alignment horizontal="center" vertical="center" wrapText="1"/>
    </xf>
    <xf numFmtId="0" fontId="67" fillId="0" borderId="21" xfId="0" applyFont="1" applyFill="1" applyBorder="1" applyAlignment="1">
      <alignment horizontal="left" wrapText="1"/>
    </xf>
    <xf numFmtId="0" fontId="87" fillId="0" borderId="87" xfId="0" applyFont="1" applyFill="1" applyBorder="1" applyAlignment="1">
      <alignment horizontal="left" wrapText="1"/>
    </xf>
    <xf numFmtId="0" fontId="87" fillId="0" borderId="101" xfId="0" applyFont="1" applyFill="1" applyBorder="1" applyAlignment="1">
      <alignment horizontal="left" wrapText="1"/>
    </xf>
    <xf numFmtId="49" fontId="105" fillId="0" borderId="123" xfId="0" applyNumberFormat="1" applyFont="1" applyFill="1" applyBorder="1" applyAlignment="1">
      <alignment horizontal="left" vertical="center"/>
    </xf>
    <xf numFmtId="49" fontId="68" fillId="0" borderId="87" xfId="0" applyNumberFormat="1" applyFont="1" applyFill="1" applyBorder="1" applyAlignment="1">
      <alignment horizontal="left" vertical="center"/>
    </xf>
    <xf numFmtId="49" fontId="105" fillId="0" borderId="87" xfId="0" applyNumberFormat="1" applyFont="1" applyFill="1" applyBorder="1" applyAlignment="1">
      <alignment horizontal="left" vertical="center"/>
    </xf>
    <xf numFmtId="49" fontId="66" fillId="0" borderId="123" xfId="0" applyNumberFormat="1" applyFont="1" applyFill="1" applyBorder="1" applyAlignment="1">
      <alignment horizontal="left" vertical="center"/>
    </xf>
    <xf numFmtId="0" fontId="68" fillId="0" borderId="123" xfId="0" applyFont="1" applyFill="1" applyBorder="1" applyAlignment="1">
      <alignment horizontal="left" vertical="center" wrapText="1"/>
    </xf>
    <xf numFmtId="49" fontId="105" fillId="0" borderId="87" xfId="0" applyNumberFormat="1"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00FF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61"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1</xdr:row>
      <xdr:rowOff>381000</xdr:rowOff>
    </xdr:from>
    <xdr:to>
      <xdr:col>10</xdr:col>
      <xdr:colOff>866775</xdr:colOff>
      <xdr:row>2</xdr:row>
      <xdr:rowOff>514350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86450" y="457200"/>
          <a:ext cx="704850" cy="695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76200</xdr:colOff>
      <xdr:row>2</xdr:row>
      <xdr:rowOff>47625</xdr:rowOff>
    </xdr:from>
    <xdr:to>
      <xdr:col>9</xdr:col>
      <xdr:colOff>781050</xdr:colOff>
      <xdr:row>2</xdr:row>
      <xdr:rowOff>466725</xdr:rowOff>
    </xdr:to>
    <xdr:pic>
      <xdr:nvPicPr>
        <xdr:cNvPr id="4105" name="Picture 1">
          <a:extLst>
            <a:ext uri="{FF2B5EF4-FFF2-40B4-BE49-F238E27FC236}">
              <a16:creationId xmlns:a16="http://schemas.microsoft.com/office/drawing/2014/main" id="{00000000-0008-0000-0600-000009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14975" y="685800"/>
          <a:ext cx="704850" cy="419100"/>
        </a:xfrm>
        <a:prstGeom prst="rect">
          <a:avLst/>
        </a:prstGeom>
        <a:noFill/>
        <a:ln w="9525">
          <a:noFill/>
          <a:miter lim="800000"/>
          <a:headEnd/>
          <a:tailEnd/>
        </a:ln>
      </xdr:spPr>
    </xdr:pic>
    <xdr:clientData/>
  </xdr:twoCellAnchor>
  <xdr:twoCellAnchor editAs="oneCell">
    <xdr:from>
      <xdr:col>9</xdr:col>
      <xdr:colOff>0</xdr:colOff>
      <xdr:row>2</xdr:row>
      <xdr:rowOff>57150</xdr:rowOff>
    </xdr:from>
    <xdr:to>
      <xdr:col>9</xdr:col>
      <xdr:colOff>704850</xdr:colOff>
      <xdr:row>2</xdr:row>
      <xdr:rowOff>476250</xdr:rowOff>
    </xdr:to>
    <xdr:pic>
      <xdr:nvPicPr>
        <xdr:cNvPr id="4106" name="Picture 4">
          <a:extLst>
            <a:ext uri="{FF2B5EF4-FFF2-40B4-BE49-F238E27FC236}">
              <a16:creationId xmlns:a16="http://schemas.microsoft.com/office/drawing/2014/main" id="{00000000-0008-0000-0600-00000A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38775" y="695325"/>
          <a:ext cx="704850" cy="419100"/>
        </a:xfrm>
        <a:prstGeom prst="rect">
          <a:avLst/>
        </a:prstGeom>
        <a:noFill/>
        <a:ln w="9525">
          <a:noFill/>
          <a:miter lim="800000"/>
          <a:headEnd/>
          <a:tailEnd/>
        </a:ln>
      </xdr:spPr>
    </xdr:pic>
    <xdr:clientData/>
  </xdr:twoCellAnchor>
  <xdr:twoCellAnchor editAs="oneCell">
    <xdr:from>
      <xdr:col>9</xdr:col>
      <xdr:colOff>76200</xdr:colOff>
      <xdr:row>2</xdr:row>
      <xdr:rowOff>47625</xdr:rowOff>
    </xdr:from>
    <xdr:to>
      <xdr:col>9</xdr:col>
      <xdr:colOff>781050</xdr:colOff>
      <xdr:row>2</xdr:row>
      <xdr:rowOff>466725</xdr:rowOff>
    </xdr:to>
    <xdr:pic>
      <xdr:nvPicPr>
        <xdr:cNvPr id="4107" name="Picture 5">
          <a:extLst>
            <a:ext uri="{FF2B5EF4-FFF2-40B4-BE49-F238E27FC236}">
              <a16:creationId xmlns:a16="http://schemas.microsoft.com/office/drawing/2014/main" id="{00000000-0008-0000-0600-00000B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14975" y="685800"/>
          <a:ext cx="704850" cy="4191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133350</xdr:colOff>
      <xdr:row>0</xdr:row>
      <xdr:rowOff>219075</xdr:rowOff>
    </xdr:from>
    <xdr:to>
      <xdr:col>9</xdr:col>
      <xdr:colOff>838200</xdr:colOff>
      <xdr:row>0</xdr:row>
      <xdr:rowOff>638175</xdr:rowOff>
    </xdr:to>
    <xdr:pic>
      <xdr:nvPicPr>
        <xdr:cNvPr id="3163" name="Picture 1">
          <a:extLst>
            <a:ext uri="{FF2B5EF4-FFF2-40B4-BE49-F238E27FC236}">
              <a16:creationId xmlns:a16="http://schemas.microsoft.com/office/drawing/2014/main" id="{00000000-0008-0000-0700-00005B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91125" y="219075"/>
          <a:ext cx="704850" cy="419100"/>
        </a:xfrm>
        <a:prstGeom prst="rect">
          <a:avLst/>
        </a:prstGeom>
        <a:noFill/>
        <a:ln w="9525">
          <a:noFill/>
          <a:miter lim="800000"/>
          <a:headEnd/>
          <a:tailEnd/>
        </a:ln>
      </xdr:spPr>
    </xdr:pic>
    <xdr:clientData/>
  </xdr:twoCellAnchor>
  <xdr:twoCellAnchor>
    <xdr:from>
      <xdr:col>4</xdr:col>
      <xdr:colOff>0</xdr:colOff>
      <xdr:row>4</xdr:row>
      <xdr:rowOff>228600</xdr:rowOff>
    </xdr:from>
    <xdr:to>
      <xdr:col>5</xdr:col>
      <xdr:colOff>104775</xdr:colOff>
      <xdr:row>4</xdr:row>
      <xdr:rowOff>228600</xdr:rowOff>
    </xdr:to>
    <xdr:sp macro="" textlink="">
      <xdr:nvSpPr>
        <xdr:cNvPr id="3164" name="Line 2">
          <a:extLst>
            <a:ext uri="{FF2B5EF4-FFF2-40B4-BE49-F238E27FC236}">
              <a16:creationId xmlns:a16="http://schemas.microsoft.com/office/drawing/2014/main" id="{00000000-0008-0000-0700-00005C0C0000}"/>
            </a:ext>
          </a:extLst>
        </xdr:cNvPr>
        <xdr:cNvSpPr>
          <a:spLocks noChangeShapeType="1"/>
        </xdr:cNvSpPr>
      </xdr:nvSpPr>
      <xdr:spPr bwMode="auto">
        <a:xfrm>
          <a:off x="2724150" y="1990725"/>
          <a:ext cx="276225" cy="0"/>
        </a:xfrm>
        <a:prstGeom prst="line">
          <a:avLst/>
        </a:prstGeom>
        <a:noFill/>
        <a:ln w="9525">
          <a:solidFill>
            <a:srgbClr val="000000"/>
          </a:solidFill>
          <a:round/>
          <a:headEnd type="stealth" w="med" len="med"/>
          <a:tailEnd/>
        </a:ln>
      </xdr:spPr>
    </xdr:sp>
    <xdr:clientData/>
  </xdr:twoCellAnchor>
  <xdr:twoCellAnchor>
    <xdr:from>
      <xdr:col>4</xdr:col>
      <xdr:colOff>0</xdr:colOff>
      <xdr:row>9</xdr:row>
      <xdr:rowOff>209550</xdr:rowOff>
    </xdr:from>
    <xdr:to>
      <xdr:col>5</xdr:col>
      <xdr:colOff>133350</xdr:colOff>
      <xdr:row>9</xdr:row>
      <xdr:rowOff>209550</xdr:rowOff>
    </xdr:to>
    <xdr:sp macro="" textlink="">
      <xdr:nvSpPr>
        <xdr:cNvPr id="3165" name="Line 3">
          <a:extLst>
            <a:ext uri="{FF2B5EF4-FFF2-40B4-BE49-F238E27FC236}">
              <a16:creationId xmlns:a16="http://schemas.microsoft.com/office/drawing/2014/main" id="{00000000-0008-0000-0700-00005D0C0000}"/>
            </a:ext>
          </a:extLst>
        </xdr:cNvPr>
        <xdr:cNvSpPr>
          <a:spLocks noChangeShapeType="1"/>
        </xdr:cNvSpPr>
      </xdr:nvSpPr>
      <xdr:spPr bwMode="auto">
        <a:xfrm>
          <a:off x="2724150" y="2971800"/>
          <a:ext cx="304800" cy="0"/>
        </a:xfrm>
        <a:prstGeom prst="line">
          <a:avLst/>
        </a:prstGeom>
        <a:noFill/>
        <a:ln w="9525">
          <a:solidFill>
            <a:srgbClr val="000000"/>
          </a:solidFill>
          <a:round/>
          <a:headEnd type="stealth" w="med" len="med"/>
          <a:tailEnd/>
        </a:ln>
      </xdr:spPr>
    </xdr:sp>
    <xdr:clientData/>
  </xdr:twoCellAnchor>
  <xdr:twoCellAnchor>
    <xdr:from>
      <xdr:col>5</xdr:col>
      <xdr:colOff>9525</xdr:colOff>
      <xdr:row>15</xdr:row>
      <xdr:rowOff>85725</xdr:rowOff>
    </xdr:from>
    <xdr:to>
      <xdr:col>5</xdr:col>
      <xdr:colOff>133350</xdr:colOff>
      <xdr:row>15</xdr:row>
      <xdr:rowOff>95250</xdr:rowOff>
    </xdr:to>
    <xdr:sp macro="" textlink="">
      <xdr:nvSpPr>
        <xdr:cNvPr id="3166" name="Line 4">
          <a:extLst>
            <a:ext uri="{FF2B5EF4-FFF2-40B4-BE49-F238E27FC236}">
              <a16:creationId xmlns:a16="http://schemas.microsoft.com/office/drawing/2014/main" id="{00000000-0008-0000-0700-00005E0C0000}"/>
            </a:ext>
          </a:extLst>
        </xdr:cNvPr>
        <xdr:cNvSpPr>
          <a:spLocks noChangeShapeType="1"/>
        </xdr:cNvSpPr>
      </xdr:nvSpPr>
      <xdr:spPr bwMode="auto">
        <a:xfrm flipV="1">
          <a:off x="3257550" y="4191000"/>
          <a:ext cx="123825" cy="9525"/>
        </a:xfrm>
        <a:prstGeom prst="line">
          <a:avLst/>
        </a:prstGeom>
        <a:noFill/>
        <a:ln w="9525">
          <a:solidFill>
            <a:srgbClr val="000000"/>
          </a:solidFill>
          <a:round/>
          <a:headEnd type="stealth" w="med" len="med"/>
          <a:tailEnd/>
        </a:ln>
      </xdr:spPr>
    </xdr:sp>
    <xdr:clientData/>
  </xdr:twoCellAnchor>
  <xdr:twoCellAnchor>
    <xdr:from>
      <xdr:col>4</xdr:col>
      <xdr:colOff>38100</xdr:colOff>
      <xdr:row>21</xdr:row>
      <xdr:rowOff>95250</xdr:rowOff>
    </xdr:from>
    <xdr:to>
      <xdr:col>5</xdr:col>
      <xdr:colOff>161925</xdr:colOff>
      <xdr:row>21</xdr:row>
      <xdr:rowOff>95250</xdr:rowOff>
    </xdr:to>
    <xdr:sp macro="" textlink="">
      <xdr:nvSpPr>
        <xdr:cNvPr id="3167" name="Line 5">
          <a:extLst>
            <a:ext uri="{FF2B5EF4-FFF2-40B4-BE49-F238E27FC236}">
              <a16:creationId xmlns:a16="http://schemas.microsoft.com/office/drawing/2014/main" id="{00000000-0008-0000-0700-00005F0C0000}"/>
            </a:ext>
          </a:extLst>
        </xdr:cNvPr>
        <xdr:cNvSpPr>
          <a:spLocks noChangeShapeType="1"/>
        </xdr:cNvSpPr>
      </xdr:nvSpPr>
      <xdr:spPr bwMode="auto">
        <a:xfrm>
          <a:off x="2762250" y="5000625"/>
          <a:ext cx="295275" cy="0"/>
        </a:xfrm>
        <a:prstGeom prst="line">
          <a:avLst/>
        </a:prstGeom>
        <a:noFill/>
        <a:ln w="9525">
          <a:solidFill>
            <a:srgbClr val="000000"/>
          </a:solidFill>
          <a:round/>
          <a:headEnd type="stealth" w="med" len="med"/>
          <a:tailEnd/>
        </a:ln>
      </xdr:spPr>
    </xdr:sp>
    <xdr:clientData/>
  </xdr:twoCellAnchor>
  <xdr:twoCellAnchor>
    <xdr:from>
      <xdr:col>4</xdr:col>
      <xdr:colOff>38100</xdr:colOff>
      <xdr:row>23</xdr:row>
      <xdr:rowOff>104775</xdr:rowOff>
    </xdr:from>
    <xdr:to>
      <xdr:col>5</xdr:col>
      <xdr:colOff>161925</xdr:colOff>
      <xdr:row>23</xdr:row>
      <xdr:rowOff>104775</xdr:rowOff>
    </xdr:to>
    <xdr:sp macro="" textlink="">
      <xdr:nvSpPr>
        <xdr:cNvPr id="3168" name="Line 6">
          <a:extLst>
            <a:ext uri="{FF2B5EF4-FFF2-40B4-BE49-F238E27FC236}">
              <a16:creationId xmlns:a16="http://schemas.microsoft.com/office/drawing/2014/main" id="{00000000-0008-0000-0700-0000600C0000}"/>
            </a:ext>
          </a:extLst>
        </xdr:cNvPr>
        <xdr:cNvSpPr>
          <a:spLocks noChangeShapeType="1"/>
        </xdr:cNvSpPr>
      </xdr:nvSpPr>
      <xdr:spPr bwMode="auto">
        <a:xfrm>
          <a:off x="2762250" y="5314950"/>
          <a:ext cx="295275" cy="0"/>
        </a:xfrm>
        <a:prstGeom prst="line">
          <a:avLst/>
        </a:prstGeom>
        <a:noFill/>
        <a:ln w="9525">
          <a:solidFill>
            <a:srgbClr val="000000"/>
          </a:solidFill>
          <a:round/>
          <a:headEnd type="stealth" w="med" len="med"/>
          <a:tailEnd/>
        </a:ln>
      </xdr:spPr>
    </xdr:sp>
    <xdr:clientData/>
  </xdr:twoCellAnchor>
  <xdr:twoCellAnchor>
    <xdr:from>
      <xdr:col>4</xdr:col>
      <xdr:colOff>0</xdr:colOff>
      <xdr:row>6</xdr:row>
      <xdr:rowOff>180975</xdr:rowOff>
    </xdr:from>
    <xdr:to>
      <xdr:col>5</xdr:col>
      <xdr:colOff>133350</xdr:colOff>
      <xdr:row>6</xdr:row>
      <xdr:rowOff>180975</xdr:rowOff>
    </xdr:to>
    <xdr:sp macro="" textlink="">
      <xdr:nvSpPr>
        <xdr:cNvPr id="3169" name="Line 7">
          <a:extLst>
            <a:ext uri="{FF2B5EF4-FFF2-40B4-BE49-F238E27FC236}">
              <a16:creationId xmlns:a16="http://schemas.microsoft.com/office/drawing/2014/main" id="{00000000-0008-0000-0700-0000610C0000}"/>
            </a:ext>
          </a:extLst>
        </xdr:cNvPr>
        <xdr:cNvSpPr>
          <a:spLocks noChangeShapeType="1"/>
        </xdr:cNvSpPr>
      </xdr:nvSpPr>
      <xdr:spPr bwMode="auto">
        <a:xfrm>
          <a:off x="2724150" y="2476500"/>
          <a:ext cx="304800" cy="0"/>
        </a:xfrm>
        <a:prstGeom prst="line">
          <a:avLst/>
        </a:prstGeom>
        <a:noFill/>
        <a:ln w="9525">
          <a:solidFill>
            <a:srgbClr val="000000"/>
          </a:solidFill>
          <a:round/>
          <a:headEnd type="stealth" w="med" len="med"/>
          <a:tailEnd/>
        </a:ln>
      </xdr:spPr>
    </xdr:sp>
    <xdr:clientData/>
  </xdr:twoCellAnchor>
  <xdr:twoCellAnchor>
    <xdr:from>
      <xdr:col>4</xdr:col>
      <xdr:colOff>47625</xdr:colOff>
      <xdr:row>25</xdr:row>
      <xdr:rowOff>123825</xdr:rowOff>
    </xdr:from>
    <xdr:to>
      <xdr:col>6</xdr:col>
      <xdr:colOff>0</xdr:colOff>
      <xdr:row>25</xdr:row>
      <xdr:rowOff>123825</xdr:rowOff>
    </xdr:to>
    <xdr:sp macro="" textlink="">
      <xdr:nvSpPr>
        <xdr:cNvPr id="3170" name="Line 56">
          <a:extLst>
            <a:ext uri="{FF2B5EF4-FFF2-40B4-BE49-F238E27FC236}">
              <a16:creationId xmlns:a16="http://schemas.microsoft.com/office/drawing/2014/main" id="{00000000-0008-0000-0700-0000620C0000}"/>
            </a:ext>
          </a:extLst>
        </xdr:cNvPr>
        <xdr:cNvSpPr>
          <a:spLocks noChangeShapeType="1"/>
        </xdr:cNvSpPr>
      </xdr:nvSpPr>
      <xdr:spPr bwMode="auto">
        <a:xfrm>
          <a:off x="2771775" y="5638800"/>
          <a:ext cx="295275" cy="0"/>
        </a:xfrm>
        <a:prstGeom prst="line">
          <a:avLst/>
        </a:prstGeom>
        <a:noFill/>
        <a:ln w="9525">
          <a:solidFill>
            <a:srgbClr val="000000"/>
          </a:solidFill>
          <a:round/>
          <a:headEnd type="stealth" w="med" len="med"/>
          <a:tailEnd/>
        </a:ln>
      </xdr:spPr>
    </xdr:sp>
    <xdr:clientData/>
  </xdr:twoCellAnchor>
  <xdr:twoCellAnchor>
    <xdr:from>
      <xdr:col>4</xdr:col>
      <xdr:colOff>4763</xdr:colOff>
      <xdr:row>13</xdr:row>
      <xdr:rowOff>242889</xdr:rowOff>
    </xdr:from>
    <xdr:to>
      <xdr:col>5</xdr:col>
      <xdr:colOff>138113</xdr:colOff>
      <xdr:row>13</xdr:row>
      <xdr:rowOff>242889</xdr:rowOff>
    </xdr:to>
    <xdr:sp macro="" textlink="">
      <xdr:nvSpPr>
        <xdr:cNvPr id="10" name="Line 3">
          <a:extLst>
            <a:ext uri="{FF2B5EF4-FFF2-40B4-BE49-F238E27FC236}">
              <a16:creationId xmlns:a16="http://schemas.microsoft.com/office/drawing/2014/main" id="{00000000-0008-0000-0700-00000A000000}"/>
            </a:ext>
          </a:extLst>
        </xdr:cNvPr>
        <xdr:cNvSpPr>
          <a:spLocks noChangeShapeType="1"/>
        </xdr:cNvSpPr>
      </xdr:nvSpPr>
      <xdr:spPr bwMode="auto">
        <a:xfrm>
          <a:off x="2928938" y="3852864"/>
          <a:ext cx="319088" cy="0"/>
        </a:xfrm>
        <a:prstGeom prst="line">
          <a:avLst/>
        </a:prstGeom>
        <a:noFill/>
        <a:ln w="9525">
          <a:solidFill>
            <a:srgbClr val="000000"/>
          </a:solidFill>
          <a:round/>
          <a:headEnd type="stealth" w="med" len="me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600075</xdr:colOff>
      <xdr:row>7</xdr:row>
      <xdr:rowOff>9525</xdr:rowOff>
    </xdr:from>
    <xdr:to>
      <xdr:col>9</xdr:col>
      <xdr:colOff>762000</xdr:colOff>
      <xdr:row>11</xdr:row>
      <xdr:rowOff>9525</xdr:rowOff>
    </xdr:to>
    <xdr:sp macro="" textlink="">
      <xdr:nvSpPr>
        <xdr:cNvPr id="2107" name="Line 2">
          <a:extLst>
            <a:ext uri="{FF2B5EF4-FFF2-40B4-BE49-F238E27FC236}">
              <a16:creationId xmlns:a16="http://schemas.microsoft.com/office/drawing/2014/main" id="{00000000-0008-0000-0800-00003B080000}"/>
            </a:ext>
          </a:extLst>
        </xdr:cNvPr>
        <xdr:cNvSpPr>
          <a:spLocks noChangeShapeType="1"/>
        </xdr:cNvSpPr>
      </xdr:nvSpPr>
      <xdr:spPr bwMode="auto">
        <a:xfrm flipH="1" flipV="1">
          <a:off x="3362325" y="2238375"/>
          <a:ext cx="161925" cy="695325"/>
        </a:xfrm>
        <a:prstGeom prst="line">
          <a:avLst/>
        </a:prstGeom>
        <a:noFill/>
        <a:ln w="9525">
          <a:solidFill>
            <a:srgbClr val="000000"/>
          </a:solidFill>
          <a:round/>
          <a:headEnd/>
          <a:tailEnd type="triangle" w="med" len="med"/>
        </a:ln>
      </xdr:spPr>
    </xdr:sp>
    <xdr:clientData/>
  </xdr:twoCellAnchor>
  <xdr:twoCellAnchor>
    <xdr:from>
      <xdr:col>6</xdr:col>
      <xdr:colOff>9525</xdr:colOff>
      <xdr:row>8</xdr:row>
      <xdr:rowOff>342900</xdr:rowOff>
    </xdr:from>
    <xdr:to>
      <xdr:col>9</xdr:col>
      <xdr:colOff>781050</xdr:colOff>
      <xdr:row>10</xdr:row>
      <xdr:rowOff>38100</xdr:rowOff>
    </xdr:to>
    <xdr:sp macro="" textlink="">
      <xdr:nvSpPr>
        <xdr:cNvPr id="2108" name="Line 3">
          <a:extLst>
            <a:ext uri="{FF2B5EF4-FFF2-40B4-BE49-F238E27FC236}">
              <a16:creationId xmlns:a16="http://schemas.microsoft.com/office/drawing/2014/main" id="{00000000-0008-0000-0800-00003C080000}"/>
            </a:ext>
          </a:extLst>
        </xdr:cNvPr>
        <xdr:cNvSpPr>
          <a:spLocks noChangeShapeType="1"/>
        </xdr:cNvSpPr>
      </xdr:nvSpPr>
      <xdr:spPr bwMode="auto">
        <a:xfrm flipH="1" flipV="1">
          <a:off x="2390775" y="2676525"/>
          <a:ext cx="1152525" cy="228600"/>
        </a:xfrm>
        <a:prstGeom prst="line">
          <a:avLst/>
        </a:prstGeom>
        <a:noFill/>
        <a:ln w="9525">
          <a:solidFill>
            <a:srgbClr val="000000"/>
          </a:solidFill>
          <a:round/>
          <a:headEnd/>
          <a:tailEnd type="triangle" w="med" len="med"/>
        </a:ln>
      </xdr:spPr>
    </xdr:sp>
    <xdr:clientData/>
  </xdr:twoCellAnchor>
  <xdr:twoCellAnchor>
    <xdr:from>
      <xdr:col>9</xdr:col>
      <xdr:colOff>752475</xdr:colOff>
      <xdr:row>8</xdr:row>
      <xdr:rowOff>304800</xdr:rowOff>
    </xdr:from>
    <xdr:to>
      <xdr:col>11</xdr:col>
      <xdr:colOff>0</xdr:colOff>
      <xdr:row>10</xdr:row>
      <xdr:rowOff>38100</xdr:rowOff>
    </xdr:to>
    <xdr:sp macro="" textlink="">
      <xdr:nvSpPr>
        <xdr:cNvPr id="2109" name="Line 4">
          <a:extLst>
            <a:ext uri="{FF2B5EF4-FFF2-40B4-BE49-F238E27FC236}">
              <a16:creationId xmlns:a16="http://schemas.microsoft.com/office/drawing/2014/main" id="{00000000-0008-0000-0800-00003D080000}"/>
            </a:ext>
          </a:extLst>
        </xdr:cNvPr>
        <xdr:cNvSpPr>
          <a:spLocks noChangeShapeType="1"/>
        </xdr:cNvSpPr>
      </xdr:nvSpPr>
      <xdr:spPr bwMode="auto">
        <a:xfrm flipV="1">
          <a:off x="3514725" y="2638425"/>
          <a:ext cx="942975" cy="266700"/>
        </a:xfrm>
        <a:prstGeom prst="line">
          <a:avLst/>
        </a:prstGeom>
        <a:noFill/>
        <a:ln w="9525">
          <a:solidFill>
            <a:srgbClr val="000000"/>
          </a:solidFill>
          <a:round/>
          <a:headEnd/>
          <a:tailEnd type="triangle" w="med" len="med"/>
        </a:ln>
      </xdr:spPr>
    </xdr:sp>
    <xdr:clientData/>
  </xdr:twoCellAnchor>
  <xdr:twoCellAnchor>
    <xdr:from>
      <xdr:col>12</xdr:col>
      <xdr:colOff>9525</xdr:colOff>
      <xdr:row>5</xdr:row>
      <xdr:rowOff>361950</xdr:rowOff>
    </xdr:from>
    <xdr:to>
      <xdr:col>14</xdr:col>
      <xdr:colOff>0</xdr:colOff>
      <xdr:row>8</xdr:row>
      <xdr:rowOff>295275</xdr:rowOff>
    </xdr:to>
    <xdr:sp macro="" textlink="">
      <xdr:nvSpPr>
        <xdr:cNvPr id="2110" name="Line 5">
          <a:extLst>
            <a:ext uri="{FF2B5EF4-FFF2-40B4-BE49-F238E27FC236}">
              <a16:creationId xmlns:a16="http://schemas.microsoft.com/office/drawing/2014/main" id="{00000000-0008-0000-0800-00003E080000}"/>
            </a:ext>
          </a:extLst>
        </xdr:cNvPr>
        <xdr:cNvSpPr>
          <a:spLocks noChangeShapeType="1"/>
        </xdr:cNvSpPr>
      </xdr:nvSpPr>
      <xdr:spPr bwMode="auto">
        <a:xfrm flipV="1">
          <a:off x="5381625" y="1866900"/>
          <a:ext cx="228600" cy="762000"/>
        </a:xfrm>
        <a:prstGeom prst="line">
          <a:avLst/>
        </a:prstGeom>
        <a:noFill/>
        <a:ln w="9525">
          <a:solidFill>
            <a:srgbClr val="000000"/>
          </a:solidFill>
          <a:round/>
          <a:headEnd/>
          <a:tailEnd type="triangle" w="med" len="med"/>
        </a:ln>
      </xdr:spPr>
    </xdr:sp>
    <xdr:clientData/>
  </xdr:twoCellAnchor>
  <xdr:twoCellAnchor>
    <xdr:from>
      <xdr:col>12</xdr:col>
      <xdr:colOff>9525</xdr:colOff>
      <xdr:row>8</xdr:row>
      <xdr:rowOff>295275</xdr:rowOff>
    </xdr:from>
    <xdr:to>
      <xdr:col>14</xdr:col>
      <xdr:colOff>9525</xdr:colOff>
      <xdr:row>8</xdr:row>
      <xdr:rowOff>295275</xdr:rowOff>
    </xdr:to>
    <xdr:sp macro="" textlink="">
      <xdr:nvSpPr>
        <xdr:cNvPr id="2111" name="Line 6">
          <a:extLst>
            <a:ext uri="{FF2B5EF4-FFF2-40B4-BE49-F238E27FC236}">
              <a16:creationId xmlns:a16="http://schemas.microsoft.com/office/drawing/2014/main" id="{00000000-0008-0000-0800-00003F080000}"/>
            </a:ext>
          </a:extLst>
        </xdr:cNvPr>
        <xdr:cNvSpPr>
          <a:spLocks noChangeShapeType="1"/>
        </xdr:cNvSpPr>
      </xdr:nvSpPr>
      <xdr:spPr bwMode="auto">
        <a:xfrm flipV="1">
          <a:off x="5381625" y="2628900"/>
          <a:ext cx="238125" cy="0"/>
        </a:xfrm>
        <a:prstGeom prst="line">
          <a:avLst/>
        </a:prstGeom>
        <a:noFill/>
        <a:ln w="9525">
          <a:solidFill>
            <a:srgbClr val="000000"/>
          </a:solidFill>
          <a:round/>
          <a:headEnd/>
          <a:tailEnd type="triangle" w="med" len="med"/>
        </a:ln>
      </xdr:spPr>
    </xdr:sp>
    <xdr:clientData/>
  </xdr:twoCellAnchor>
  <xdr:twoCellAnchor>
    <xdr:from>
      <xdr:col>9</xdr:col>
      <xdr:colOff>800100</xdr:colOff>
      <xdr:row>17</xdr:row>
      <xdr:rowOff>0</xdr:rowOff>
    </xdr:from>
    <xdr:to>
      <xdr:col>9</xdr:col>
      <xdr:colOff>800100</xdr:colOff>
      <xdr:row>18</xdr:row>
      <xdr:rowOff>0</xdr:rowOff>
    </xdr:to>
    <xdr:sp macro="" textlink="">
      <xdr:nvSpPr>
        <xdr:cNvPr id="2112" name="Line 7">
          <a:extLst>
            <a:ext uri="{FF2B5EF4-FFF2-40B4-BE49-F238E27FC236}">
              <a16:creationId xmlns:a16="http://schemas.microsoft.com/office/drawing/2014/main" id="{00000000-0008-0000-0800-000040080000}"/>
            </a:ext>
          </a:extLst>
        </xdr:cNvPr>
        <xdr:cNvSpPr>
          <a:spLocks noChangeShapeType="1"/>
        </xdr:cNvSpPr>
      </xdr:nvSpPr>
      <xdr:spPr bwMode="auto">
        <a:xfrm>
          <a:off x="3562350" y="3800475"/>
          <a:ext cx="0" cy="161925"/>
        </a:xfrm>
        <a:prstGeom prst="line">
          <a:avLst/>
        </a:prstGeom>
        <a:noFill/>
        <a:ln w="9525">
          <a:solidFill>
            <a:srgbClr val="000000"/>
          </a:solidFill>
          <a:round/>
          <a:headEnd/>
          <a:tailEnd type="triangle" w="med" len="med"/>
        </a:ln>
      </xdr:spPr>
    </xdr:sp>
    <xdr:clientData/>
  </xdr:twoCellAnchor>
  <xdr:twoCellAnchor>
    <xdr:from>
      <xdr:col>6</xdr:col>
      <xdr:colOff>28575</xdr:colOff>
      <xdr:row>21</xdr:row>
      <xdr:rowOff>0</xdr:rowOff>
    </xdr:from>
    <xdr:to>
      <xdr:col>9</xdr:col>
      <xdr:colOff>685800</xdr:colOff>
      <xdr:row>22</xdr:row>
      <xdr:rowOff>285750</xdr:rowOff>
    </xdr:to>
    <xdr:sp macro="" textlink="">
      <xdr:nvSpPr>
        <xdr:cNvPr id="2113" name="Line 8">
          <a:extLst>
            <a:ext uri="{FF2B5EF4-FFF2-40B4-BE49-F238E27FC236}">
              <a16:creationId xmlns:a16="http://schemas.microsoft.com/office/drawing/2014/main" id="{00000000-0008-0000-0800-000041080000}"/>
            </a:ext>
          </a:extLst>
        </xdr:cNvPr>
        <xdr:cNvSpPr>
          <a:spLocks noChangeShapeType="1"/>
        </xdr:cNvSpPr>
      </xdr:nvSpPr>
      <xdr:spPr bwMode="auto">
        <a:xfrm flipH="1">
          <a:off x="2409825" y="4733925"/>
          <a:ext cx="1038225" cy="390525"/>
        </a:xfrm>
        <a:prstGeom prst="line">
          <a:avLst/>
        </a:prstGeom>
        <a:noFill/>
        <a:ln w="9525">
          <a:solidFill>
            <a:srgbClr val="000000"/>
          </a:solidFill>
          <a:round/>
          <a:headEnd/>
          <a:tailEnd type="triangle" w="med" len="med"/>
        </a:ln>
      </xdr:spPr>
    </xdr:sp>
    <xdr:clientData/>
  </xdr:twoCellAnchor>
  <xdr:twoCellAnchor>
    <xdr:from>
      <xdr:col>5</xdr:col>
      <xdr:colOff>0</xdr:colOff>
      <xdr:row>19</xdr:row>
      <xdr:rowOff>276225</xdr:rowOff>
    </xdr:from>
    <xdr:to>
      <xdr:col>6</xdr:col>
      <xdr:colOff>133350</xdr:colOff>
      <xdr:row>19</xdr:row>
      <xdr:rowOff>276225</xdr:rowOff>
    </xdr:to>
    <xdr:sp macro="" textlink="">
      <xdr:nvSpPr>
        <xdr:cNvPr id="2114" name="Line 9">
          <a:extLst>
            <a:ext uri="{FF2B5EF4-FFF2-40B4-BE49-F238E27FC236}">
              <a16:creationId xmlns:a16="http://schemas.microsoft.com/office/drawing/2014/main" id="{00000000-0008-0000-0800-000042080000}"/>
            </a:ext>
          </a:extLst>
        </xdr:cNvPr>
        <xdr:cNvSpPr>
          <a:spLocks noChangeShapeType="1"/>
        </xdr:cNvSpPr>
      </xdr:nvSpPr>
      <xdr:spPr bwMode="auto">
        <a:xfrm flipH="1" flipV="1">
          <a:off x="1419225" y="4305300"/>
          <a:ext cx="1095375" cy="0"/>
        </a:xfrm>
        <a:prstGeom prst="line">
          <a:avLst/>
        </a:prstGeom>
        <a:noFill/>
        <a:ln w="9525">
          <a:solidFill>
            <a:srgbClr val="000000"/>
          </a:solidFill>
          <a:round/>
          <a:headEnd/>
          <a:tailEnd type="triangle" w="med" len="med"/>
        </a:ln>
      </xdr:spPr>
    </xdr:sp>
    <xdr:clientData/>
  </xdr:twoCellAnchor>
  <xdr:twoCellAnchor>
    <xdr:from>
      <xdr:col>9</xdr:col>
      <xdr:colOff>685800</xdr:colOff>
      <xdr:row>20</xdr:row>
      <xdr:rowOff>209550</xdr:rowOff>
    </xdr:from>
    <xdr:to>
      <xdr:col>11</xdr:col>
      <xdr:colOff>0</xdr:colOff>
      <xdr:row>22</xdr:row>
      <xdr:rowOff>333375</xdr:rowOff>
    </xdr:to>
    <xdr:sp macro="" textlink="">
      <xdr:nvSpPr>
        <xdr:cNvPr id="2115" name="Line 10">
          <a:extLst>
            <a:ext uri="{FF2B5EF4-FFF2-40B4-BE49-F238E27FC236}">
              <a16:creationId xmlns:a16="http://schemas.microsoft.com/office/drawing/2014/main" id="{00000000-0008-0000-0800-000043080000}"/>
            </a:ext>
          </a:extLst>
        </xdr:cNvPr>
        <xdr:cNvSpPr>
          <a:spLocks noChangeShapeType="1"/>
        </xdr:cNvSpPr>
      </xdr:nvSpPr>
      <xdr:spPr bwMode="auto">
        <a:xfrm>
          <a:off x="3448050" y="4724400"/>
          <a:ext cx="1009650" cy="447675"/>
        </a:xfrm>
        <a:prstGeom prst="line">
          <a:avLst/>
        </a:prstGeom>
        <a:noFill/>
        <a:ln w="9525">
          <a:solidFill>
            <a:srgbClr val="000000"/>
          </a:solidFill>
          <a:round/>
          <a:headEnd/>
          <a:tailEnd type="triangle" w="med" len="med"/>
        </a:ln>
      </xdr:spPr>
    </xdr:sp>
    <xdr:clientData/>
  </xdr:twoCellAnchor>
  <xdr:twoCellAnchor>
    <xdr:from>
      <xdr:col>12</xdr:col>
      <xdr:colOff>9525</xdr:colOff>
      <xdr:row>20</xdr:row>
      <xdr:rowOff>0</xdr:rowOff>
    </xdr:from>
    <xdr:to>
      <xdr:col>14</xdr:col>
      <xdr:colOff>0</xdr:colOff>
      <xdr:row>22</xdr:row>
      <xdr:rowOff>361950</xdr:rowOff>
    </xdr:to>
    <xdr:sp macro="" textlink="">
      <xdr:nvSpPr>
        <xdr:cNvPr id="2116" name="Line 11">
          <a:extLst>
            <a:ext uri="{FF2B5EF4-FFF2-40B4-BE49-F238E27FC236}">
              <a16:creationId xmlns:a16="http://schemas.microsoft.com/office/drawing/2014/main" id="{00000000-0008-0000-0800-000044080000}"/>
            </a:ext>
          </a:extLst>
        </xdr:cNvPr>
        <xdr:cNvSpPr>
          <a:spLocks noChangeShapeType="1"/>
        </xdr:cNvSpPr>
      </xdr:nvSpPr>
      <xdr:spPr bwMode="auto">
        <a:xfrm flipV="1">
          <a:off x="5381625" y="4514850"/>
          <a:ext cx="228600" cy="685800"/>
        </a:xfrm>
        <a:prstGeom prst="line">
          <a:avLst/>
        </a:prstGeom>
        <a:noFill/>
        <a:ln w="9525">
          <a:solidFill>
            <a:srgbClr val="000000"/>
          </a:solidFill>
          <a:round/>
          <a:headEnd/>
          <a:tailEnd type="triangle" w="med" len="med"/>
        </a:ln>
      </xdr:spPr>
    </xdr:sp>
    <xdr:clientData/>
  </xdr:twoCellAnchor>
  <xdr:twoCellAnchor>
    <xdr:from>
      <xdr:col>12</xdr:col>
      <xdr:colOff>9525</xdr:colOff>
      <xdr:row>22</xdr:row>
      <xdr:rowOff>352425</xdr:rowOff>
    </xdr:from>
    <xdr:to>
      <xdr:col>14</xdr:col>
      <xdr:colOff>0</xdr:colOff>
      <xdr:row>22</xdr:row>
      <xdr:rowOff>352425</xdr:rowOff>
    </xdr:to>
    <xdr:sp macro="" textlink="">
      <xdr:nvSpPr>
        <xdr:cNvPr id="2117" name="Line 12">
          <a:extLst>
            <a:ext uri="{FF2B5EF4-FFF2-40B4-BE49-F238E27FC236}">
              <a16:creationId xmlns:a16="http://schemas.microsoft.com/office/drawing/2014/main" id="{00000000-0008-0000-0800-000045080000}"/>
            </a:ext>
          </a:extLst>
        </xdr:cNvPr>
        <xdr:cNvSpPr>
          <a:spLocks noChangeShapeType="1"/>
        </xdr:cNvSpPr>
      </xdr:nvSpPr>
      <xdr:spPr bwMode="auto">
        <a:xfrm>
          <a:off x="5381625" y="5191125"/>
          <a:ext cx="228600" cy="0"/>
        </a:xfrm>
        <a:prstGeom prst="line">
          <a:avLst/>
        </a:prstGeom>
        <a:noFill/>
        <a:ln w="9525">
          <a:solidFill>
            <a:srgbClr val="000000"/>
          </a:solidFill>
          <a:round/>
          <a:headEnd/>
          <a:tailEnd type="triangle" w="med" len="med"/>
        </a:ln>
      </xdr:spPr>
    </xdr:sp>
    <xdr:clientData/>
  </xdr:twoCellAnchor>
  <xdr:twoCellAnchor>
    <xdr:from>
      <xdr:col>1</xdr:col>
      <xdr:colOff>9525</xdr:colOff>
      <xdr:row>18</xdr:row>
      <xdr:rowOff>0</xdr:rowOff>
    </xdr:from>
    <xdr:to>
      <xdr:col>16</xdr:col>
      <xdr:colOff>0</xdr:colOff>
      <xdr:row>18</xdr:row>
      <xdr:rowOff>9525</xdr:rowOff>
    </xdr:to>
    <xdr:sp macro="" textlink="">
      <xdr:nvSpPr>
        <xdr:cNvPr id="2118" name="Line 13">
          <a:extLst>
            <a:ext uri="{FF2B5EF4-FFF2-40B4-BE49-F238E27FC236}">
              <a16:creationId xmlns:a16="http://schemas.microsoft.com/office/drawing/2014/main" id="{00000000-0008-0000-0800-000046080000}"/>
            </a:ext>
          </a:extLst>
        </xdr:cNvPr>
        <xdr:cNvSpPr>
          <a:spLocks noChangeShapeType="1"/>
        </xdr:cNvSpPr>
      </xdr:nvSpPr>
      <xdr:spPr bwMode="auto">
        <a:xfrm flipV="1">
          <a:off x="95250" y="3962400"/>
          <a:ext cx="6715125" cy="9525"/>
        </a:xfrm>
        <a:prstGeom prst="line">
          <a:avLst/>
        </a:prstGeom>
        <a:noFill/>
        <a:ln w="28575">
          <a:solidFill>
            <a:srgbClr val="000000"/>
          </a:solidFill>
          <a:prstDash val="sysDot"/>
          <a:round/>
          <a:headEnd/>
          <a:tailEnd/>
        </a:ln>
      </xdr:spPr>
    </xdr:sp>
    <xdr:clientData/>
  </xdr:twoCellAnchor>
  <xdr:twoCellAnchor>
    <xdr:from>
      <xdr:col>0</xdr:col>
      <xdr:colOff>76200</xdr:colOff>
      <xdr:row>11</xdr:row>
      <xdr:rowOff>0</xdr:rowOff>
    </xdr:from>
    <xdr:to>
      <xdr:col>15</xdr:col>
      <xdr:colOff>9525</xdr:colOff>
      <xdr:row>11</xdr:row>
      <xdr:rowOff>0</xdr:rowOff>
    </xdr:to>
    <xdr:sp macro="" textlink="">
      <xdr:nvSpPr>
        <xdr:cNvPr id="2119" name="Line 14">
          <a:extLst>
            <a:ext uri="{FF2B5EF4-FFF2-40B4-BE49-F238E27FC236}">
              <a16:creationId xmlns:a16="http://schemas.microsoft.com/office/drawing/2014/main" id="{00000000-0008-0000-0800-000047080000}"/>
            </a:ext>
          </a:extLst>
        </xdr:cNvPr>
        <xdr:cNvSpPr>
          <a:spLocks noChangeShapeType="1"/>
        </xdr:cNvSpPr>
      </xdr:nvSpPr>
      <xdr:spPr bwMode="auto">
        <a:xfrm flipV="1">
          <a:off x="76200" y="2924175"/>
          <a:ext cx="6686550" cy="0"/>
        </a:xfrm>
        <a:prstGeom prst="line">
          <a:avLst/>
        </a:prstGeom>
        <a:noFill/>
        <a:ln w="28575">
          <a:solidFill>
            <a:srgbClr val="000000"/>
          </a:solidFill>
          <a:prstDash val="sysDot"/>
          <a:round/>
          <a:headEnd/>
          <a:tailEnd/>
        </a:ln>
      </xdr:spPr>
    </xdr:sp>
    <xdr:clientData/>
  </xdr:twoCellAnchor>
  <xdr:twoCellAnchor editAs="oneCell">
    <xdr:from>
      <xdr:col>14</xdr:col>
      <xdr:colOff>219075</xdr:colOff>
      <xdr:row>1</xdr:row>
      <xdr:rowOff>76200</xdr:rowOff>
    </xdr:from>
    <xdr:to>
      <xdr:col>14</xdr:col>
      <xdr:colOff>923925</xdr:colOff>
      <xdr:row>1</xdr:row>
      <xdr:rowOff>495300</xdr:rowOff>
    </xdr:to>
    <xdr:pic>
      <xdr:nvPicPr>
        <xdr:cNvPr id="2120" name="Picture 43">
          <a:extLst>
            <a:ext uri="{FF2B5EF4-FFF2-40B4-BE49-F238E27FC236}">
              <a16:creationId xmlns:a16="http://schemas.microsoft.com/office/drawing/2014/main" id="{00000000-0008-0000-0800-00004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29300" y="676275"/>
          <a:ext cx="704850" cy="4191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571500</xdr:colOff>
      <xdr:row>1</xdr:row>
      <xdr:rowOff>133350</xdr:rowOff>
    </xdr:from>
    <xdr:to>
      <xdr:col>12</xdr:col>
      <xdr:colOff>257175</xdr:colOff>
      <xdr:row>1</xdr:row>
      <xdr:rowOff>552450</xdr:rowOff>
    </xdr:to>
    <xdr:pic>
      <xdr:nvPicPr>
        <xdr:cNvPr id="7173" name="Picture 1">
          <a:extLst>
            <a:ext uri="{FF2B5EF4-FFF2-40B4-BE49-F238E27FC236}">
              <a16:creationId xmlns:a16="http://schemas.microsoft.com/office/drawing/2014/main" id="{00000000-0008-0000-0B00-000005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38775" y="876300"/>
          <a:ext cx="704850" cy="419100"/>
        </a:xfrm>
        <a:prstGeom prst="rect">
          <a:avLst/>
        </a:prstGeom>
        <a:noFill/>
        <a:ln w="9525">
          <a:noFill/>
          <a:miter lim="800000"/>
          <a:headEnd/>
          <a:tailEnd/>
        </a:ln>
      </xdr:spPr>
    </xdr:pic>
    <xdr:clientData/>
  </xdr:twoCellAnchor>
  <xdr:twoCellAnchor editAs="oneCell">
    <xdr:from>
      <xdr:col>10</xdr:col>
      <xdr:colOff>419100</xdr:colOff>
      <xdr:row>1</xdr:row>
      <xdr:rowOff>114300</xdr:rowOff>
    </xdr:from>
    <xdr:to>
      <xdr:col>12</xdr:col>
      <xdr:colOff>228600</xdr:colOff>
      <xdr:row>1</xdr:row>
      <xdr:rowOff>533400</xdr:rowOff>
    </xdr:to>
    <xdr:pic>
      <xdr:nvPicPr>
        <xdr:cNvPr id="7174" name="Picture 2">
          <a:extLst>
            <a:ext uri="{FF2B5EF4-FFF2-40B4-BE49-F238E27FC236}">
              <a16:creationId xmlns:a16="http://schemas.microsoft.com/office/drawing/2014/main" id="{00000000-0008-0000-0B00-000006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10200" y="857250"/>
          <a:ext cx="704850" cy="419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0328D-9797-42A0-A3DB-55529F0081DA}">
  <sheetPr>
    <tabColor rgb="FF92D050"/>
  </sheetPr>
  <dimension ref="B1:I90"/>
  <sheetViews>
    <sheetView workbookViewId="0">
      <selection activeCell="B11" sqref="B11:B23"/>
    </sheetView>
  </sheetViews>
  <sheetFormatPr defaultColWidth="33" defaultRowHeight="12.75" x14ac:dyDescent="0.2"/>
  <cols>
    <col min="1" max="1" width="9" customWidth="1"/>
    <col min="2" max="2" width="13.42578125" style="334" customWidth="1"/>
    <col min="3" max="3" width="32.5703125" style="334" customWidth="1"/>
    <col min="4" max="5" width="12.7109375" style="334" customWidth="1"/>
    <col min="6" max="6" width="9.7109375" style="334" customWidth="1"/>
    <col min="7" max="7" width="43.42578125" style="1" customWidth="1"/>
    <col min="8" max="9" width="12.7109375" style="1" customWidth="1"/>
  </cols>
  <sheetData>
    <row r="1" spans="2:9" x14ac:dyDescent="0.2">
      <c r="G1" s="447"/>
    </row>
    <row r="2" spans="2:9" x14ac:dyDescent="0.2">
      <c r="I2" s="465"/>
    </row>
    <row r="3" spans="2:9" ht="16.5" thickBot="1" x14ac:dyDescent="0.3">
      <c r="B3" s="467" t="s">
        <v>0</v>
      </c>
      <c r="C3" s="467"/>
      <c r="D3" s="467"/>
      <c r="E3" s="467"/>
      <c r="F3" s="467"/>
      <c r="G3" s="447"/>
      <c r="H3" s="335"/>
    </row>
    <row r="4" spans="2:9" ht="14.25" thickTop="1" thickBot="1" x14ac:dyDescent="0.25">
      <c r="B4" s="352" t="s">
        <v>1</v>
      </c>
      <c r="C4" s="353" t="s">
        <v>2</v>
      </c>
      <c r="D4" s="354" t="s">
        <v>3</v>
      </c>
      <c r="E4" s="355" t="s">
        <v>4</v>
      </c>
      <c r="F4" s="356"/>
      <c r="G4" s="357" t="s">
        <v>5</v>
      </c>
      <c r="H4" s="354" t="s">
        <v>3</v>
      </c>
      <c r="I4" s="355" t="s">
        <v>4</v>
      </c>
    </row>
    <row r="5" spans="2:9" ht="14.25" x14ac:dyDescent="0.2">
      <c r="B5" s="1309" t="s">
        <v>6</v>
      </c>
      <c r="C5" s="358" t="s">
        <v>7</v>
      </c>
      <c r="D5" s="359" t="s">
        <v>8</v>
      </c>
      <c r="E5" s="360" t="s">
        <v>9</v>
      </c>
      <c r="F5" s="361"/>
      <c r="G5" s="362" t="s">
        <v>10</v>
      </c>
      <c r="H5" s="359" t="s">
        <v>11</v>
      </c>
      <c r="I5" s="360" t="s">
        <v>12</v>
      </c>
    </row>
    <row r="6" spans="2:9" ht="14.25" x14ac:dyDescent="0.2">
      <c r="B6" s="1309"/>
      <c r="C6" s="363" t="s">
        <v>13</v>
      </c>
      <c r="D6" s="359">
        <v>1035556</v>
      </c>
      <c r="E6" s="365" t="s">
        <v>14</v>
      </c>
      <c r="F6" s="361"/>
      <c r="G6" s="366" t="s">
        <v>15</v>
      </c>
      <c r="H6" s="359" t="s">
        <v>16</v>
      </c>
      <c r="I6" s="365" t="s">
        <v>17</v>
      </c>
    </row>
    <row r="7" spans="2:9" ht="14.25" x14ac:dyDescent="0.2">
      <c r="B7" s="1310"/>
      <c r="C7" s="363" t="s">
        <v>18</v>
      </c>
      <c r="D7" s="364" t="s">
        <v>19</v>
      </c>
      <c r="E7" s="365" t="s">
        <v>20</v>
      </c>
      <c r="F7" s="361"/>
      <c r="G7" s="366" t="s">
        <v>21</v>
      </c>
      <c r="H7" s="364" t="s">
        <v>22</v>
      </c>
      <c r="I7" s="365" t="s">
        <v>23</v>
      </c>
    </row>
    <row r="8" spans="2:9" ht="14.25" x14ac:dyDescent="0.2">
      <c r="B8" s="1310"/>
      <c r="C8" s="363" t="s">
        <v>24</v>
      </c>
      <c r="D8" s="364" t="s">
        <v>25</v>
      </c>
      <c r="E8" s="365" t="s">
        <v>26</v>
      </c>
      <c r="F8" s="361"/>
      <c r="G8" s="366" t="s">
        <v>27</v>
      </c>
      <c r="H8" s="364" t="s">
        <v>28</v>
      </c>
      <c r="I8" s="365" t="s">
        <v>29</v>
      </c>
    </row>
    <row r="9" spans="2:9" ht="14.25" x14ac:dyDescent="0.2">
      <c r="B9" s="1310"/>
      <c r="C9" s="363" t="s">
        <v>30</v>
      </c>
      <c r="D9" s="364" t="s">
        <v>31</v>
      </c>
      <c r="E9" s="365" t="s">
        <v>32</v>
      </c>
      <c r="F9" s="361"/>
      <c r="G9" s="366" t="s">
        <v>33</v>
      </c>
      <c r="H9" s="364" t="s">
        <v>34</v>
      </c>
      <c r="I9" s="365" t="s">
        <v>35</v>
      </c>
    </row>
    <row r="10" spans="2:9" ht="15" thickBot="1" x14ac:dyDescent="0.25">
      <c r="B10" s="1311"/>
      <c r="C10" s="367" t="s">
        <v>36</v>
      </c>
      <c r="D10" s="368" t="s">
        <v>37</v>
      </c>
      <c r="E10" s="369" t="s">
        <v>38</v>
      </c>
      <c r="F10" s="361"/>
      <c r="G10" s="370" t="s">
        <v>39</v>
      </c>
      <c r="H10" s="368" t="s">
        <v>40</v>
      </c>
      <c r="I10" s="369" t="s">
        <v>41</v>
      </c>
    </row>
    <row r="11" spans="2:9" ht="14.25" x14ac:dyDescent="0.2">
      <c r="B11" s="1316" t="s">
        <v>42</v>
      </c>
      <c r="C11" s="371" t="s">
        <v>43</v>
      </c>
      <c r="D11" s="372" t="s">
        <v>44</v>
      </c>
      <c r="E11" s="373" t="s">
        <v>45</v>
      </c>
      <c r="F11" s="361"/>
      <c r="G11" s="374" t="s">
        <v>46</v>
      </c>
      <c r="H11" s="372" t="s">
        <v>47</v>
      </c>
      <c r="I11" s="373" t="s">
        <v>48</v>
      </c>
    </row>
    <row r="12" spans="2:9" ht="14.45" customHeight="1" x14ac:dyDescent="0.2">
      <c r="B12" s="1317"/>
      <c r="C12" s="363" t="s">
        <v>49</v>
      </c>
      <c r="D12" s="364" t="s">
        <v>50</v>
      </c>
      <c r="E12" s="365" t="s">
        <v>51</v>
      </c>
      <c r="F12" s="361"/>
      <c r="G12" s="366" t="s">
        <v>52</v>
      </c>
      <c r="H12" s="364" t="s">
        <v>53</v>
      </c>
      <c r="I12" s="365" t="s">
        <v>54</v>
      </c>
    </row>
    <row r="13" spans="2:9" ht="15.6" customHeight="1" x14ac:dyDescent="0.2">
      <c r="B13" s="1317"/>
      <c r="C13" s="363" t="s">
        <v>55</v>
      </c>
      <c r="D13" s="364" t="s">
        <v>56</v>
      </c>
      <c r="E13" s="365" t="s">
        <v>57</v>
      </c>
      <c r="F13" s="361"/>
      <c r="G13" s="366" t="s">
        <v>58</v>
      </c>
      <c r="H13" s="364" t="s">
        <v>59</v>
      </c>
      <c r="I13" s="365" t="s">
        <v>60</v>
      </c>
    </row>
    <row r="14" spans="2:9" ht="14.25" x14ac:dyDescent="0.2">
      <c r="B14" s="1317"/>
      <c r="C14" s="363" t="s">
        <v>61</v>
      </c>
      <c r="D14" s="364" t="s">
        <v>62</v>
      </c>
      <c r="E14" s="365" t="s">
        <v>63</v>
      </c>
      <c r="F14" s="361"/>
      <c r="G14" s="366" t="s">
        <v>64</v>
      </c>
      <c r="H14" s="364" t="s">
        <v>65</v>
      </c>
      <c r="I14" s="365" t="s">
        <v>66</v>
      </c>
    </row>
    <row r="15" spans="2:9" ht="14.25" x14ac:dyDescent="0.2">
      <c r="B15" s="1317"/>
      <c r="C15" s="363" t="s">
        <v>67</v>
      </c>
      <c r="D15" s="364" t="s">
        <v>68</v>
      </c>
      <c r="E15" s="365" t="s">
        <v>69</v>
      </c>
      <c r="F15" s="361"/>
      <c r="G15" s="366" t="s">
        <v>70</v>
      </c>
      <c r="H15" s="364" t="s">
        <v>71</v>
      </c>
      <c r="I15" s="365" t="s">
        <v>72</v>
      </c>
    </row>
    <row r="16" spans="2:9" ht="14.25" x14ac:dyDescent="0.2">
      <c r="B16" s="1317"/>
      <c r="C16" s="363" t="s">
        <v>73</v>
      </c>
      <c r="D16" s="364" t="s">
        <v>74</v>
      </c>
      <c r="E16" s="365" t="s">
        <v>75</v>
      </c>
      <c r="F16" s="361"/>
      <c r="G16" s="366" t="s">
        <v>76</v>
      </c>
      <c r="H16" s="364" t="s">
        <v>77</v>
      </c>
      <c r="I16" s="365" t="s">
        <v>78</v>
      </c>
    </row>
    <row r="17" spans="2:9" ht="14.25" x14ac:dyDescent="0.2">
      <c r="B17" s="1317"/>
      <c r="C17" s="363" t="s">
        <v>79</v>
      </c>
      <c r="D17" s="364" t="s">
        <v>80</v>
      </c>
      <c r="E17" s="365" t="s">
        <v>81</v>
      </c>
      <c r="F17" s="361"/>
      <c r="G17" s="366" t="s">
        <v>82</v>
      </c>
      <c r="H17" s="364" t="s">
        <v>83</v>
      </c>
      <c r="I17" s="365" t="s">
        <v>84</v>
      </c>
    </row>
    <row r="18" spans="2:9" ht="14.25" x14ac:dyDescent="0.2">
      <c r="B18" s="1317"/>
      <c r="C18" s="363" t="s">
        <v>85</v>
      </c>
      <c r="D18" s="364" t="s">
        <v>86</v>
      </c>
      <c r="E18" s="365" t="s">
        <v>87</v>
      </c>
      <c r="F18" s="361"/>
      <c r="G18" s="366" t="s">
        <v>88</v>
      </c>
      <c r="H18" s="364" t="s">
        <v>89</v>
      </c>
      <c r="I18" s="365" t="s">
        <v>90</v>
      </c>
    </row>
    <row r="19" spans="2:9" ht="14.25" x14ac:dyDescent="0.2">
      <c r="B19" s="1317"/>
      <c r="C19" s="363" t="s">
        <v>91</v>
      </c>
      <c r="D19" s="364" t="s">
        <v>92</v>
      </c>
      <c r="E19" s="365" t="s">
        <v>93</v>
      </c>
      <c r="F19" s="361"/>
      <c r="G19" s="366" t="s">
        <v>94</v>
      </c>
      <c r="H19" s="364" t="s">
        <v>95</v>
      </c>
      <c r="I19" s="365" t="s">
        <v>96</v>
      </c>
    </row>
    <row r="20" spans="2:9" ht="14.25" x14ac:dyDescent="0.2">
      <c r="B20" s="1317"/>
      <c r="C20" s="363" t="s">
        <v>97</v>
      </c>
      <c r="D20" s="364" t="s">
        <v>98</v>
      </c>
      <c r="E20" s="365" t="s">
        <v>99</v>
      </c>
      <c r="F20" s="361"/>
      <c r="G20" s="366" t="s">
        <v>100</v>
      </c>
      <c r="H20" s="364" t="s">
        <v>101</v>
      </c>
      <c r="I20" s="365" t="s">
        <v>102</v>
      </c>
    </row>
    <row r="21" spans="2:9" ht="14.25" x14ac:dyDescent="0.2">
      <c r="B21" s="1317"/>
      <c r="C21" s="363" t="s">
        <v>103</v>
      </c>
      <c r="D21" s="364" t="s">
        <v>104</v>
      </c>
      <c r="E21" s="365" t="s">
        <v>105</v>
      </c>
      <c r="F21" s="361"/>
      <c r="G21" s="366" t="s">
        <v>106</v>
      </c>
      <c r="H21" s="364" t="s">
        <v>107</v>
      </c>
      <c r="I21" s="365" t="s">
        <v>108</v>
      </c>
    </row>
    <row r="22" spans="2:9" ht="14.25" x14ac:dyDescent="0.2">
      <c r="B22" s="1317"/>
      <c r="C22" s="363" t="s">
        <v>109</v>
      </c>
      <c r="D22" s="364" t="s">
        <v>110</v>
      </c>
      <c r="E22" s="365" t="s">
        <v>111</v>
      </c>
      <c r="F22" s="361"/>
      <c r="G22" s="366" t="s">
        <v>112</v>
      </c>
      <c r="H22" s="364" t="s">
        <v>113</v>
      </c>
      <c r="I22" s="365" t="s">
        <v>114</v>
      </c>
    </row>
    <row r="23" spans="2:9" ht="15" thickBot="1" x14ac:dyDescent="0.25">
      <c r="B23" s="1318"/>
      <c r="C23" s="367" t="s">
        <v>115</v>
      </c>
      <c r="D23" s="368" t="s">
        <v>116</v>
      </c>
      <c r="E23" s="369" t="s">
        <v>117</v>
      </c>
      <c r="F23" s="361"/>
      <c r="G23" s="370" t="s">
        <v>118</v>
      </c>
      <c r="H23" s="368" t="s">
        <v>119</v>
      </c>
      <c r="I23" s="369" t="s">
        <v>120</v>
      </c>
    </row>
    <row r="24" spans="2:9" ht="14.25" x14ac:dyDescent="0.2">
      <c r="B24" s="1312" t="s">
        <v>121</v>
      </c>
      <c r="C24" s="371" t="s">
        <v>122</v>
      </c>
      <c r="D24" s="372" t="s">
        <v>123</v>
      </c>
      <c r="E24" s="373" t="s">
        <v>124</v>
      </c>
      <c r="F24" s="361"/>
      <c r="G24" s="374" t="s">
        <v>33</v>
      </c>
      <c r="H24" s="372" t="s">
        <v>34</v>
      </c>
      <c r="I24" s="373" t="s">
        <v>35</v>
      </c>
    </row>
    <row r="25" spans="2:9" ht="14.25" x14ac:dyDescent="0.2">
      <c r="B25" s="1313"/>
      <c r="C25" s="375" t="s">
        <v>125</v>
      </c>
      <c r="D25" s="364" t="s">
        <v>126</v>
      </c>
      <c r="E25" s="376" t="s">
        <v>127</v>
      </c>
      <c r="F25" s="377"/>
      <c r="G25" s="378" t="s">
        <v>128</v>
      </c>
      <c r="H25" s="379" t="s">
        <v>129</v>
      </c>
      <c r="I25" s="376" t="s">
        <v>130</v>
      </c>
    </row>
    <row r="26" spans="2:9" ht="14.25" x14ac:dyDescent="0.2">
      <c r="B26" s="1314"/>
      <c r="C26" s="363" t="s">
        <v>131</v>
      </c>
      <c r="D26" s="364" t="s">
        <v>132</v>
      </c>
      <c r="E26" s="365" t="s">
        <v>133</v>
      </c>
      <c r="F26" s="380"/>
      <c r="G26" s="378" t="s">
        <v>134</v>
      </c>
      <c r="H26" s="364" t="s">
        <v>132</v>
      </c>
      <c r="I26" s="365" t="s">
        <v>135</v>
      </c>
    </row>
    <row r="27" spans="2:9" x14ac:dyDescent="0.2">
      <c r="B27" s="1314"/>
      <c r="C27" s="381" t="s">
        <v>136</v>
      </c>
      <c r="D27" s="364" t="s">
        <v>137</v>
      </c>
      <c r="E27" s="365" t="s">
        <v>138</v>
      </c>
      <c r="F27" s="380"/>
      <c r="G27" s="378" t="s">
        <v>139</v>
      </c>
      <c r="H27" s="364" t="s">
        <v>140</v>
      </c>
      <c r="I27" s="365" t="s">
        <v>141</v>
      </c>
    </row>
    <row r="28" spans="2:9" ht="14.25" x14ac:dyDescent="0.2">
      <c r="B28" s="1314"/>
      <c r="C28" s="382" t="s">
        <v>142</v>
      </c>
      <c r="D28" s="383" t="s">
        <v>143</v>
      </c>
      <c r="E28" s="384" t="s">
        <v>144</v>
      </c>
      <c r="F28" s="380"/>
      <c r="G28" s="385" t="s">
        <v>142</v>
      </c>
      <c r="H28" s="383" t="s">
        <v>143</v>
      </c>
      <c r="I28" s="384" t="s">
        <v>144</v>
      </c>
    </row>
    <row r="29" spans="2:9" ht="14.25" x14ac:dyDescent="0.2">
      <c r="B29" s="1314"/>
      <c r="C29" s="382" t="s">
        <v>145</v>
      </c>
      <c r="D29" s="383" t="s">
        <v>146</v>
      </c>
      <c r="E29" s="384" t="s">
        <v>147</v>
      </c>
      <c r="F29" s="380"/>
      <c r="G29" s="385" t="s">
        <v>145</v>
      </c>
      <c r="H29" s="383" t="s">
        <v>146</v>
      </c>
      <c r="I29" s="384" t="s">
        <v>147</v>
      </c>
    </row>
    <row r="30" spans="2:9" s="142" customFormat="1" ht="26.25" thickBot="1" x14ac:dyDescent="0.25">
      <c r="B30" s="1315"/>
      <c r="C30" s="386" t="s">
        <v>148</v>
      </c>
      <c r="D30" s="387" t="s">
        <v>149</v>
      </c>
      <c r="E30" s="388" t="s">
        <v>150</v>
      </c>
      <c r="F30" s="389"/>
      <c r="G30" s="390" t="s">
        <v>151</v>
      </c>
      <c r="H30" s="391" t="s">
        <v>152</v>
      </c>
      <c r="I30" s="388" t="s">
        <v>153</v>
      </c>
    </row>
    <row r="31" spans="2:9" ht="13.5" thickTop="1" x14ac:dyDescent="0.2"/>
    <row r="32" spans="2:9" x14ac:dyDescent="0.2">
      <c r="B32" s="3" t="s">
        <v>154</v>
      </c>
    </row>
    <row r="38" spans="2:9" x14ac:dyDescent="0.2">
      <c r="G38" s="330"/>
      <c r="H38" s="330"/>
      <c r="I38" s="330"/>
    </row>
    <row r="39" spans="2:9" x14ac:dyDescent="0.2">
      <c r="B39" s="464"/>
      <c r="C39" s="464"/>
      <c r="D39" s="464"/>
      <c r="E39" s="464"/>
      <c r="F39" s="464"/>
      <c r="G39" s="330"/>
      <c r="H39" s="330"/>
      <c r="I39" s="330"/>
    </row>
    <row r="40" spans="2:9" x14ac:dyDescent="0.2">
      <c r="B40" s="464"/>
      <c r="C40" s="464"/>
      <c r="D40" s="464"/>
      <c r="E40" s="464"/>
      <c r="F40" s="464"/>
      <c r="G40" s="330"/>
      <c r="H40" s="330"/>
      <c r="I40" s="330"/>
    </row>
    <row r="41" spans="2:9" x14ac:dyDescent="0.2">
      <c r="B41" s="464"/>
      <c r="C41" s="464"/>
      <c r="D41" s="464"/>
      <c r="E41" s="464"/>
      <c r="F41" s="464"/>
      <c r="G41" s="330"/>
      <c r="H41" s="330"/>
      <c r="I41" s="330"/>
    </row>
    <row r="42" spans="2:9" x14ac:dyDescent="0.2">
      <c r="B42" s="464"/>
      <c r="C42" s="464"/>
      <c r="D42" s="464"/>
      <c r="E42" s="464"/>
      <c r="F42" s="464"/>
      <c r="G42" s="330"/>
      <c r="H42" s="330"/>
      <c r="I42" s="330"/>
    </row>
    <row r="43" spans="2:9" x14ac:dyDescent="0.2">
      <c r="B43" s="464"/>
      <c r="C43" s="464"/>
      <c r="D43" s="464"/>
      <c r="E43" s="464"/>
      <c r="F43" s="464"/>
      <c r="G43" s="330"/>
      <c r="H43" s="330"/>
      <c r="I43" s="330"/>
    </row>
    <row r="44" spans="2:9" x14ac:dyDescent="0.2">
      <c r="B44" s="464"/>
      <c r="C44" s="464"/>
      <c r="D44" s="464"/>
      <c r="E44" s="464"/>
      <c r="F44" s="464"/>
      <c r="G44" s="330"/>
      <c r="H44" s="330"/>
      <c r="I44" s="330"/>
    </row>
    <row r="45" spans="2:9" x14ac:dyDescent="0.2">
      <c r="B45" s="464"/>
      <c r="C45" s="464"/>
      <c r="D45" s="464"/>
      <c r="E45" s="464"/>
      <c r="F45" s="464"/>
      <c r="G45" s="330"/>
      <c r="H45" s="330"/>
      <c r="I45" s="330"/>
    </row>
    <row r="46" spans="2:9" x14ac:dyDescent="0.2">
      <c r="B46" s="464"/>
      <c r="C46" s="464"/>
      <c r="D46" s="464"/>
      <c r="E46" s="464"/>
      <c r="F46" s="464"/>
      <c r="G46" s="330"/>
      <c r="H46" s="330"/>
      <c r="I46" s="330"/>
    </row>
    <row r="47" spans="2:9" x14ac:dyDescent="0.2">
      <c r="B47" s="464"/>
      <c r="C47" s="464"/>
      <c r="D47" s="464"/>
      <c r="E47" s="464"/>
      <c r="F47" s="464"/>
      <c r="G47" s="330"/>
      <c r="H47" s="330"/>
      <c r="I47" s="330"/>
    </row>
    <row r="48" spans="2:9" x14ac:dyDescent="0.2">
      <c r="B48" s="464"/>
      <c r="C48" s="464"/>
      <c r="D48" s="464"/>
      <c r="E48" s="464"/>
      <c r="F48" s="464"/>
      <c r="G48" s="330"/>
      <c r="H48" s="330"/>
      <c r="I48" s="330"/>
    </row>
    <row r="49" spans="2:9" x14ac:dyDescent="0.2">
      <c r="B49" s="464"/>
      <c r="C49" s="464"/>
      <c r="D49" s="464"/>
      <c r="E49" s="464"/>
      <c r="F49" s="464"/>
      <c r="G49" s="330"/>
      <c r="H49" s="330"/>
      <c r="I49" s="330"/>
    </row>
    <row r="50" spans="2:9" x14ac:dyDescent="0.2">
      <c r="B50" s="464"/>
      <c r="C50" s="464"/>
      <c r="D50" s="464"/>
      <c r="E50" s="464"/>
      <c r="F50" s="464"/>
      <c r="G50" s="330"/>
      <c r="H50" s="330"/>
      <c r="I50" s="330"/>
    </row>
    <row r="51" spans="2:9" x14ac:dyDescent="0.2">
      <c r="B51" s="464"/>
      <c r="C51" s="464"/>
      <c r="D51" s="464"/>
      <c r="E51" s="464"/>
      <c r="F51" s="464"/>
      <c r="G51" s="330"/>
      <c r="H51" s="330"/>
      <c r="I51" s="330"/>
    </row>
    <row r="52" spans="2:9" x14ac:dyDescent="0.2">
      <c r="B52" s="464"/>
      <c r="C52" s="464"/>
      <c r="D52" s="464"/>
      <c r="E52" s="464"/>
      <c r="F52" s="464"/>
      <c r="G52" s="330"/>
      <c r="H52" s="330"/>
      <c r="I52" s="330"/>
    </row>
    <row r="53" spans="2:9" x14ac:dyDescent="0.2">
      <c r="B53" s="464"/>
      <c r="C53" s="464"/>
      <c r="D53" s="464"/>
      <c r="E53" s="464"/>
      <c r="F53" s="464"/>
      <c r="G53" s="330"/>
      <c r="H53" s="330"/>
      <c r="I53" s="330"/>
    </row>
    <row r="54" spans="2:9" x14ac:dyDescent="0.2">
      <c r="B54" s="464"/>
      <c r="C54" s="464"/>
      <c r="D54" s="464"/>
      <c r="E54" s="464"/>
      <c r="F54" s="464"/>
      <c r="G54" s="330"/>
      <c r="H54" s="330"/>
      <c r="I54" s="330"/>
    </row>
    <row r="55" spans="2:9" x14ac:dyDescent="0.2">
      <c r="B55" s="464"/>
      <c r="C55" s="464"/>
      <c r="D55" s="464"/>
      <c r="E55" s="464"/>
      <c r="F55" s="464"/>
      <c r="G55" s="330"/>
      <c r="H55" s="330"/>
      <c r="I55" s="330"/>
    </row>
    <row r="56" spans="2:9" x14ac:dyDescent="0.2">
      <c r="B56" s="464"/>
      <c r="C56" s="464"/>
      <c r="D56" s="464"/>
      <c r="E56" s="464"/>
      <c r="F56" s="464"/>
      <c r="G56" s="330"/>
      <c r="H56" s="330"/>
      <c r="I56" s="330"/>
    </row>
    <row r="57" spans="2:9" x14ac:dyDescent="0.2">
      <c r="B57" s="464"/>
      <c r="C57" s="464"/>
      <c r="D57" s="464"/>
      <c r="E57" s="464"/>
      <c r="F57" s="464"/>
      <c r="G57" s="330"/>
      <c r="H57" s="330"/>
      <c r="I57" s="330"/>
    </row>
    <row r="58" spans="2:9" x14ac:dyDescent="0.2">
      <c r="B58" s="464"/>
      <c r="C58" s="464"/>
      <c r="D58" s="464"/>
      <c r="E58" s="464"/>
      <c r="F58" s="464"/>
      <c r="G58" s="330"/>
      <c r="H58" s="330"/>
      <c r="I58" s="330"/>
    </row>
    <row r="59" spans="2:9" x14ac:dyDescent="0.2">
      <c r="B59" s="464"/>
      <c r="C59" s="464"/>
      <c r="D59" s="464"/>
      <c r="E59" s="464"/>
      <c r="F59" s="464"/>
      <c r="G59" s="330"/>
      <c r="H59" s="330"/>
      <c r="I59" s="330"/>
    </row>
    <row r="60" spans="2:9" x14ac:dyDescent="0.2">
      <c r="B60" s="464"/>
      <c r="C60" s="464"/>
      <c r="D60" s="464"/>
      <c r="E60" s="464"/>
      <c r="F60" s="464"/>
      <c r="G60" s="330"/>
      <c r="H60" s="330"/>
      <c r="I60" s="330"/>
    </row>
    <row r="61" spans="2:9" x14ac:dyDescent="0.2">
      <c r="B61" s="464"/>
      <c r="C61" s="464"/>
      <c r="D61" s="464"/>
      <c r="E61" s="464"/>
      <c r="F61" s="464"/>
      <c r="G61" s="330"/>
      <c r="H61" s="330"/>
      <c r="I61" s="330"/>
    </row>
    <row r="62" spans="2:9" x14ac:dyDescent="0.2">
      <c r="B62" s="464"/>
      <c r="C62" s="464"/>
      <c r="D62" s="464"/>
      <c r="E62" s="464"/>
      <c r="F62" s="464"/>
      <c r="G62" s="330"/>
      <c r="H62" s="330"/>
      <c r="I62" s="330"/>
    </row>
    <row r="63" spans="2:9" x14ac:dyDescent="0.2">
      <c r="B63" s="464"/>
      <c r="C63" s="464"/>
      <c r="D63" s="464"/>
      <c r="E63" s="464"/>
      <c r="F63" s="464"/>
      <c r="G63" s="330"/>
      <c r="H63" s="330"/>
      <c r="I63" s="330"/>
    </row>
    <row r="64" spans="2:9" x14ac:dyDescent="0.2">
      <c r="B64" s="464"/>
      <c r="C64" s="464"/>
      <c r="D64" s="464"/>
      <c r="E64" s="464"/>
      <c r="F64" s="464"/>
      <c r="G64" s="330"/>
      <c r="H64" s="330"/>
      <c r="I64" s="330"/>
    </row>
    <row r="65" spans="2:9" x14ac:dyDescent="0.2">
      <c r="B65" s="464"/>
      <c r="C65" s="464"/>
      <c r="D65" s="464"/>
      <c r="E65" s="464"/>
      <c r="F65" s="464"/>
      <c r="G65" s="330"/>
      <c r="H65" s="330"/>
      <c r="I65" s="330"/>
    </row>
    <row r="66" spans="2:9" x14ac:dyDescent="0.2">
      <c r="B66" s="464"/>
      <c r="C66" s="464"/>
      <c r="D66" s="464"/>
      <c r="E66" s="464"/>
      <c r="F66" s="464"/>
      <c r="G66" s="330"/>
      <c r="H66" s="330"/>
      <c r="I66" s="330"/>
    </row>
    <row r="67" spans="2:9" x14ac:dyDescent="0.2">
      <c r="B67" s="464"/>
      <c r="C67" s="464"/>
      <c r="D67" s="464"/>
      <c r="E67" s="464"/>
      <c r="F67" s="464"/>
      <c r="G67" s="330"/>
      <c r="H67" s="330"/>
      <c r="I67" s="330"/>
    </row>
    <row r="68" spans="2:9" x14ac:dyDescent="0.2">
      <c r="B68" s="464"/>
      <c r="C68" s="464"/>
      <c r="D68" s="464"/>
      <c r="E68" s="464"/>
      <c r="F68" s="464"/>
      <c r="G68" s="330"/>
      <c r="H68" s="330"/>
      <c r="I68" s="330"/>
    </row>
    <row r="69" spans="2:9" x14ac:dyDescent="0.2">
      <c r="B69" s="464"/>
      <c r="C69" s="464"/>
      <c r="D69" s="464"/>
      <c r="E69" s="464"/>
      <c r="F69" s="464"/>
      <c r="G69" s="330"/>
      <c r="H69" s="330"/>
      <c r="I69" s="330"/>
    </row>
    <row r="70" spans="2:9" x14ac:dyDescent="0.2">
      <c r="B70" s="464"/>
      <c r="C70" s="464"/>
      <c r="D70" s="464"/>
      <c r="E70" s="464"/>
      <c r="F70" s="464"/>
      <c r="G70" s="330"/>
      <c r="H70" s="330"/>
      <c r="I70" s="330"/>
    </row>
    <row r="71" spans="2:9" x14ac:dyDescent="0.2">
      <c r="B71" s="464"/>
      <c r="C71" s="464"/>
      <c r="D71" s="464"/>
      <c r="E71" s="464"/>
      <c r="F71" s="464"/>
      <c r="G71" s="330"/>
      <c r="H71" s="330"/>
      <c r="I71" s="330"/>
    </row>
    <row r="72" spans="2:9" x14ac:dyDescent="0.2">
      <c r="B72" s="464"/>
      <c r="C72" s="464"/>
      <c r="D72" s="464"/>
      <c r="E72" s="464"/>
      <c r="F72" s="464"/>
      <c r="G72" s="330"/>
      <c r="H72" s="330"/>
      <c r="I72" s="330"/>
    </row>
    <row r="73" spans="2:9" x14ac:dyDescent="0.2">
      <c r="B73" s="464"/>
      <c r="C73" s="464"/>
      <c r="D73" s="464"/>
      <c r="E73" s="464"/>
      <c r="F73" s="464"/>
      <c r="G73" s="330"/>
      <c r="H73" s="330"/>
      <c r="I73" s="330"/>
    </row>
    <row r="74" spans="2:9" x14ac:dyDescent="0.2">
      <c r="B74" s="464"/>
      <c r="C74" s="464"/>
      <c r="D74" s="464"/>
      <c r="E74" s="464"/>
      <c r="F74" s="464"/>
      <c r="G74" s="330"/>
      <c r="H74" s="330"/>
      <c r="I74" s="330"/>
    </row>
    <row r="75" spans="2:9" x14ac:dyDescent="0.2">
      <c r="B75" s="464"/>
      <c r="C75" s="464"/>
      <c r="D75" s="464"/>
      <c r="E75" s="464"/>
      <c r="F75" s="464"/>
      <c r="G75" s="330"/>
      <c r="H75" s="330"/>
      <c r="I75" s="330"/>
    </row>
    <row r="76" spans="2:9" x14ac:dyDescent="0.2">
      <c r="B76" s="464"/>
      <c r="C76" s="464"/>
      <c r="D76" s="464"/>
      <c r="E76" s="464"/>
      <c r="F76" s="464"/>
      <c r="G76" s="330"/>
      <c r="H76" s="330"/>
      <c r="I76" s="330"/>
    </row>
    <row r="77" spans="2:9" x14ac:dyDescent="0.2">
      <c r="B77" s="464"/>
      <c r="C77" s="464"/>
      <c r="D77" s="464"/>
      <c r="E77" s="464"/>
      <c r="F77" s="464"/>
      <c r="G77" s="330"/>
      <c r="H77" s="330"/>
      <c r="I77" s="330"/>
    </row>
    <row r="78" spans="2:9" x14ac:dyDescent="0.2">
      <c r="B78" s="464"/>
      <c r="C78" s="464"/>
      <c r="D78" s="464"/>
      <c r="E78" s="464"/>
      <c r="F78" s="464"/>
      <c r="G78" s="330"/>
      <c r="H78" s="330"/>
      <c r="I78" s="330"/>
    </row>
    <row r="79" spans="2:9" x14ac:dyDescent="0.2">
      <c r="B79" s="464"/>
      <c r="C79" s="464"/>
      <c r="D79" s="464"/>
      <c r="E79" s="464"/>
      <c r="F79" s="464"/>
      <c r="G79" s="330"/>
      <c r="H79" s="330"/>
      <c r="I79" s="330"/>
    </row>
    <row r="80" spans="2:9" x14ac:dyDescent="0.2">
      <c r="B80" s="464"/>
      <c r="C80" s="464"/>
      <c r="D80" s="464"/>
      <c r="E80" s="464"/>
      <c r="F80" s="464"/>
      <c r="G80" s="330"/>
      <c r="H80" s="330"/>
      <c r="I80" s="330"/>
    </row>
    <row r="81" spans="2:9" x14ac:dyDescent="0.2">
      <c r="B81" s="464"/>
      <c r="C81" s="464"/>
      <c r="D81" s="464"/>
      <c r="E81" s="464"/>
      <c r="F81" s="464"/>
      <c r="G81" s="330"/>
      <c r="H81" s="330"/>
      <c r="I81" s="330"/>
    </row>
    <row r="82" spans="2:9" x14ac:dyDescent="0.2">
      <c r="B82" s="464"/>
      <c r="C82" s="464"/>
      <c r="D82" s="464"/>
      <c r="E82" s="464"/>
      <c r="F82" s="464"/>
      <c r="G82" s="330"/>
      <c r="H82" s="330"/>
      <c r="I82" s="330"/>
    </row>
    <row r="83" spans="2:9" x14ac:dyDescent="0.2">
      <c r="B83" s="464"/>
      <c r="C83" s="464"/>
      <c r="D83" s="464"/>
      <c r="E83" s="464"/>
      <c r="F83" s="464"/>
      <c r="G83" s="330"/>
      <c r="H83" s="330"/>
      <c r="I83" s="330"/>
    </row>
    <row r="84" spans="2:9" x14ac:dyDescent="0.2">
      <c r="B84" s="464"/>
      <c r="C84" s="464"/>
      <c r="D84" s="464"/>
      <c r="E84" s="464"/>
      <c r="F84" s="464"/>
      <c r="G84" s="330"/>
      <c r="H84" s="330"/>
      <c r="I84" s="330"/>
    </row>
    <row r="85" spans="2:9" x14ac:dyDescent="0.2">
      <c r="B85" s="464"/>
      <c r="C85" s="464"/>
      <c r="D85" s="464"/>
      <c r="E85" s="464"/>
      <c r="F85" s="464"/>
      <c r="G85" s="330"/>
      <c r="H85" s="330"/>
      <c r="I85" s="330"/>
    </row>
    <row r="86" spans="2:9" x14ac:dyDescent="0.2">
      <c r="B86" s="464"/>
      <c r="C86" s="464"/>
      <c r="D86" s="464"/>
      <c r="E86" s="464"/>
      <c r="F86" s="464"/>
      <c r="G86" s="330"/>
      <c r="H86" s="330"/>
      <c r="I86" s="330"/>
    </row>
    <row r="87" spans="2:9" x14ac:dyDescent="0.2">
      <c r="B87" s="464"/>
      <c r="C87" s="464"/>
      <c r="D87" s="464"/>
      <c r="E87" s="464"/>
      <c r="F87" s="464"/>
      <c r="G87" s="330"/>
      <c r="H87" s="330"/>
      <c r="I87" s="330"/>
    </row>
    <row r="88" spans="2:9" x14ac:dyDescent="0.2">
      <c r="B88" s="464"/>
      <c r="C88" s="464"/>
      <c r="D88" s="464"/>
      <c r="E88" s="464"/>
      <c r="F88" s="464"/>
      <c r="G88" s="330"/>
      <c r="H88" s="330"/>
      <c r="I88" s="330"/>
    </row>
    <row r="89" spans="2:9" x14ac:dyDescent="0.2">
      <c r="B89" s="464"/>
      <c r="C89" s="464"/>
      <c r="D89" s="464"/>
      <c r="E89" s="464"/>
      <c r="F89" s="464"/>
      <c r="G89" s="330"/>
      <c r="H89" s="330"/>
      <c r="I89" s="330"/>
    </row>
    <row r="90" spans="2:9" x14ac:dyDescent="0.2">
      <c r="B90" s="464"/>
      <c r="C90" s="464"/>
      <c r="D90" s="464"/>
      <c r="E90" s="464"/>
      <c r="F90" s="464"/>
    </row>
  </sheetData>
  <sheetProtection algorithmName="SHA-512" hashValue="lgP8wQUlfQaa5EHBTFAQGZKZb+NyFJLciPR5ZCDGam4/oW7+3IH8i8ppuju9PDyi+gUjvmx8ya/OlzoOwN1NxA==" saltValue="cQA42noHJeNB7JQoSd/n5g==" spinCount="100000" sheet="1" objects="1" scenarios="1"/>
  <mergeCells count="3">
    <mergeCell ref="B5:B10"/>
    <mergeCell ref="B24:B30"/>
    <mergeCell ref="B11:B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5"/>
    <pageSetUpPr fitToPage="1"/>
  </sheetPr>
  <dimension ref="B1:J100"/>
  <sheetViews>
    <sheetView zoomScaleNormal="100" workbookViewId="0">
      <selection activeCell="C34" sqref="C34"/>
    </sheetView>
  </sheetViews>
  <sheetFormatPr defaultColWidth="9.140625" defaultRowHeight="12.75" x14ac:dyDescent="0.2"/>
  <cols>
    <col min="1" max="1" width="2.28515625" style="2" customWidth="1"/>
    <col min="2" max="2" width="40" style="2" customWidth="1"/>
    <col min="3" max="3" width="30.85546875" style="159" customWidth="1"/>
    <col min="4" max="4" width="24.28515625" style="159" customWidth="1"/>
    <col min="5" max="5" width="15.7109375" style="159" customWidth="1"/>
    <col min="6" max="6" width="8.85546875" customWidth="1"/>
    <col min="7" max="7" width="3.85546875" customWidth="1"/>
    <col min="8" max="8" width="11" customWidth="1"/>
    <col min="9" max="9" width="13.5703125" customWidth="1"/>
    <col min="10" max="10" width="9" customWidth="1"/>
    <col min="11" max="16384" width="9.140625" style="2"/>
  </cols>
  <sheetData>
    <row r="1" spans="2:6" x14ac:dyDescent="0.2">
      <c r="B1" s="260" t="s">
        <v>391</v>
      </c>
      <c r="C1" s="464"/>
      <c r="D1" s="5"/>
      <c r="E1" s="447"/>
      <c r="F1" s="447"/>
    </row>
    <row r="2" spans="2:6" ht="13.5" thickBot="1" x14ac:dyDescent="0.25">
      <c r="B2" s="466"/>
      <c r="C2" s="464"/>
      <c r="D2" s="464"/>
      <c r="E2" s="464"/>
      <c r="F2" s="447"/>
    </row>
    <row r="3" spans="2:6" ht="13.5" thickTop="1" x14ac:dyDescent="0.2">
      <c r="B3" s="160" t="s">
        <v>392</v>
      </c>
      <c r="C3" s="407"/>
      <c r="D3" s="464"/>
      <c r="E3" s="464"/>
      <c r="F3" s="447"/>
    </row>
    <row r="4" spans="2:6" ht="26.1" customHeight="1" x14ac:dyDescent="0.2">
      <c r="B4" s="408" t="s">
        <v>393</v>
      </c>
      <c r="C4" s="409" t="str">
        <f>'2. EAL Surfer - Summary EALs'!H3</f>
        <v>Perfluoro ethanoate (PFEtA-) (Trifluoroacetate)</v>
      </c>
      <c r="D4" s="464"/>
      <c r="E4" s="464"/>
      <c r="F4" s="447"/>
    </row>
    <row r="5" spans="2:6" x14ac:dyDescent="0.2">
      <c r="B5" s="408" t="s">
        <v>269</v>
      </c>
      <c r="C5" s="409" t="str">
        <f>'2. EAL Surfer - Summary EALs'!D5</f>
        <v>Unrestricted</v>
      </c>
      <c r="D5" s="464"/>
      <c r="E5" s="464"/>
      <c r="F5" s="447"/>
    </row>
    <row r="6" spans="2:6" x14ac:dyDescent="0.2">
      <c r="B6" s="408" t="s">
        <v>191</v>
      </c>
      <c r="C6" s="410" t="str">
        <f>'2. EAL Surfer - Summary EALs'!D7</f>
        <v>Drinking Water Resource</v>
      </c>
      <c r="D6" s="464"/>
      <c r="E6" s="464"/>
      <c r="F6" s="447"/>
    </row>
    <row r="7" spans="2:6" ht="26.25" thickBot="1" x14ac:dyDescent="0.25">
      <c r="B7" s="411" t="s">
        <v>281</v>
      </c>
      <c r="C7" s="412" t="str">
        <f>'2. EAL Surfer - Summary EALs'!D10</f>
        <v>&lt; 150m</v>
      </c>
      <c r="D7" s="464"/>
      <c r="E7" s="464"/>
      <c r="F7" s="447"/>
    </row>
    <row r="8" spans="2:6" ht="13.5" thickTop="1" x14ac:dyDescent="0.2">
      <c r="B8" s="413" t="s">
        <v>394</v>
      </c>
      <c r="C8" s="407" t="str">
        <f>IF('2. EAL Surfer - Summary EALs'!D22=0,"-",'2. EAL Surfer - Summary EALs'!D22)</f>
        <v>-</v>
      </c>
      <c r="D8" s="464"/>
      <c r="E8" s="464"/>
      <c r="F8" s="447"/>
    </row>
    <row r="9" spans="2:6" x14ac:dyDescent="0.2">
      <c r="B9" s="414" t="s">
        <v>395</v>
      </c>
      <c r="C9" s="410" t="str">
        <f>IF('2. EAL Surfer - Summary EALs'!D24=0,"-",'2. EAL Surfer - Summary EALs'!D24)</f>
        <v>-</v>
      </c>
      <c r="D9" s="464"/>
      <c r="E9" s="464"/>
      <c r="F9" s="447"/>
    </row>
    <row r="10" spans="2:6" ht="15" thickBot="1" x14ac:dyDescent="0.25">
      <c r="B10" s="411" t="s">
        <v>396</v>
      </c>
      <c r="C10" s="415" t="str">
        <f>IF('2. EAL Surfer - Summary EALs'!D26=0,"-",'2. EAL Surfer - Summary EALs'!D26)</f>
        <v>-</v>
      </c>
      <c r="D10" s="464"/>
      <c r="E10" s="464"/>
      <c r="F10" s="447"/>
    </row>
    <row r="11" spans="2:6" ht="14.25" thickTop="1" thickBot="1" x14ac:dyDescent="0.25">
      <c r="B11" s="416"/>
      <c r="C11" s="464"/>
      <c r="D11" s="464"/>
      <c r="E11" s="464"/>
      <c r="F11" s="447"/>
    </row>
    <row r="12" spans="2:6" ht="27" customHeight="1" thickTop="1" x14ac:dyDescent="0.2">
      <c r="B12" s="161" t="s">
        <v>397</v>
      </c>
      <c r="C12" s="162" t="s">
        <v>191</v>
      </c>
      <c r="D12" s="163" t="s">
        <v>281</v>
      </c>
      <c r="E12" s="163" t="s">
        <v>398</v>
      </c>
      <c r="F12" s="450"/>
    </row>
    <row r="13" spans="2:6" x14ac:dyDescent="0.2">
      <c r="B13" s="414" t="s">
        <v>399</v>
      </c>
      <c r="C13" s="330" t="s">
        <v>186</v>
      </c>
      <c r="D13" s="464" t="s">
        <v>199</v>
      </c>
      <c r="E13" s="464" t="str">
        <f>IF(AND($C$6=C13,$C$7=D13),"YES","NO")</f>
        <v>NO</v>
      </c>
      <c r="F13" s="450"/>
    </row>
    <row r="14" spans="2:6" x14ac:dyDescent="0.2">
      <c r="B14" s="414" t="s">
        <v>400</v>
      </c>
      <c r="C14" s="330" t="s">
        <v>186</v>
      </c>
      <c r="D14" s="464" t="s">
        <v>189</v>
      </c>
      <c r="E14" s="464" t="str">
        <f>IF(AND($C$6=C14,$C$7=D14),"YES","NO")</f>
        <v>YES</v>
      </c>
      <c r="F14" s="450"/>
    </row>
    <row r="15" spans="2:6" x14ac:dyDescent="0.2">
      <c r="B15" s="414" t="s">
        <v>401</v>
      </c>
      <c r="C15" s="464" t="s">
        <v>198</v>
      </c>
      <c r="D15" s="464" t="s">
        <v>199</v>
      </c>
      <c r="E15" s="464" t="str">
        <f>IF(AND($C$6=C15,$C$7=D15),"YES","NO")</f>
        <v>NO</v>
      </c>
      <c r="F15" s="450"/>
    </row>
    <row r="16" spans="2:6" x14ac:dyDescent="0.2">
      <c r="B16" s="414" t="s">
        <v>402</v>
      </c>
      <c r="C16" s="464" t="s">
        <v>198</v>
      </c>
      <c r="D16" s="464" t="s">
        <v>189</v>
      </c>
      <c r="E16" s="464" t="str">
        <f>IF(AND($C$6=H2,$C$7=D16),"YES","NO")</f>
        <v>NO</v>
      </c>
      <c r="F16" s="450"/>
    </row>
    <row r="17" spans="2:10" x14ac:dyDescent="0.2">
      <c r="B17" s="414"/>
      <c r="C17" s="464"/>
      <c r="D17" s="464"/>
      <c r="E17" s="464"/>
      <c r="F17" s="450"/>
      <c r="G17" s="447"/>
      <c r="H17" s="447"/>
      <c r="I17" s="447"/>
      <c r="J17" s="447"/>
    </row>
    <row r="18" spans="2:10" x14ac:dyDescent="0.2">
      <c r="B18" s="164" t="s">
        <v>403</v>
      </c>
      <c r="C18" s="464" t="str">
        <f>IF(E13="YES","Table A-1",IF(E14="YES","Table A-2",IF(E15="YES","Table B-1","Table B-2")))</f>
        <v>Table A-2</v>
      </c>
      <c r="D18" s="464"/>
      <c r="E18" s="464"/>
      <c r="F18" s="450"/>
      <c r="G18" s="447"/>
      <c r="H18" s="447"/>
      <c r="I18" s="447"/>
      <c r="J18" s="447"/>
    </row>
    <row r="19" spans="2:10" x14ac:dyDescent="0.2">
      <c r="B19" s="408" t="s">
        <v>289</v>
      </c>
      <c r="C19" s="417">
        <f>IF(C46=0,"-",C46)</f>
        <v>29.086715505210876</v>
      </c>
      <c r="D19" s="447"/>
      <c r="E19" s="447"/>
      <c r="F19" s="450"/>
      <c r="G19" s="447"/>
      <c r="H19" s="447"/>
      <c r="I19" s="447"/>
      <c r="J19" s="447"/>
    </row>
    <row r="20" spans="2:10" x14ac:dyDescent="0.2">
      <c r="B20" s="408" t="s">
        <v>404</v>
      </c>
      <c r="C20" s="418" t="str">
        <f>IF(C50=0,"-",C50)</f>
        <v>NA</v>
      </c>
      <c r="D20" s="447"/>
      <c r="E20" s="447"/>
      <c r="F20" s="450"/>
      <c r="G20" s="447"/>
      <c r="H20" s="447"/>
      <c r="I20" s="447"/>
      <c r="J20" s="66"/>
    </row>
    <row r="21" spans="2:10" x14ac:dyDescent="0.2">
      <c r="B21" s="408" t="s">
        <v>362</v>
      </c>
      <c r="C21" s="418">
        <f>IF(C56=0,"-",C56)</f>
        <v>0.39205565102639289</v>
      </c>
      <c r="D21" s="447"/>
      <c r="E21" s="447"/>
      <c r="F21" s="450"/>
      <c r="G21" s="447"/>
      <c r="H21" s="447"/>
      <c r="I21" s="447"/>
      <c r="J21" s="447"/>
    </row>
    <row r="22" spans="2:10" x14ac:dyDescent="0.2">
      <c r="B22" s="408" t="s">
        <v>292</v>
      </c>
      <c r="C22" s="418" t="str">
        <f>IF(C60=0,"-",C60)</f>
        <v>-</v>
      </c>
      <c r="D22" s="447"/>
      <c r="E22" s="447"/>
      <c r="F22" s="450"/>
      <c r="G22" s="447"/>
      <c r="H22" s="447"/>
      <c r="I22" s="447"/>
      <c r="J22" s="447"/>
    </row>
    <row r="23" spans="2:10" x14ac:dyDescent="0.2">
      <c r="B23" s="408" t="s">
        <v>293</v>
      </c>
      <c r="C23" s="418">
        <f>IF(C68=0,"-",C68)</f>
        <v>1000</v>
      </c>
      <c r="D23" s="464"/>
      <c r="E23" s="464"/>
      <c r="F23" s="419"/>
      <c r="G23" s="447"/>
      <c r="H23" s="447"/>
      <c r="I23" s="447"/>
      <c r="J23" s="447"/>
    </row>
    <row r="24" spans="2:10" x14ac:dyDescent="0.2">
      <c r="B24" s="408" t="s">
        <v>295</v>
      </c>
      <c r="C24" s="418" t="str">
        <f>IF(C70=0,"-",C70)</f>
        <v>-</v>
      </c>
      <c r="D24" s="192" t="s">
        <v>405</v>
      </c>
      <c r="E24" s="464"/>
      <c r="F24" s="419"/>
      <c r="G24" s="447"/>
      <c r="H24" s="447"/>
      <c r="I24" s="447"/>
      <c r="J24" s="447"/>
    </row>
    <row r="25" spans="2:10" ht="13.5" thickBot="1" x14ac:dyDescent="0.25">
      <c r="B25" s="174" t="s">
        <v>406</v>
      </c>
      <c r="C25" s="175">
        <f>C71</f>
        <v>0.39205565102639289</v>
      </c>
      <c r="D25" s="191" t="str">
        <f>C72</f>
        <v>Leaching</v>
      </c>
      <c r="E25" s="420"/>
      <c r="F25" s="450"/>
      <c r="G25" s="447"/>
      <c r="H25" s="447"/>
      <c r="I25" s="447"/>
      <c r="J25" s="447"/>
    </row>
    <row r="26" spans="2:10" ht="14.25" thickTop="1" thickBot="1" x14ac:dyDescent="0.25">
      <c r="B26" s="421"/>
      <c r="C26" s="418"/>
      <c r="D26" s="418"/>
      <c r="E26" s="418"/>
      <c r="F26" s="447"/>
      <c r="G26" s="447"/>
      <c r="H26" s="447"/>
      <c r="I26" s="447"/>
      <c r="J26" s="447"/>
    </row>
    <row r="27" spans="2:10" ht="26.25" thickTop="1" x14ac:dyDescent="0.2">
      <c r="B27" s="161" t="s">
        <v>407</v>
      </c>
      <c r="C27" s="162" t="s">
        <v>191</v>
      </c>
      <c r="D27" s="163" t="s">
        <v>281</v>
      </c>
      <c r="E27" s="165" t="s">
        <v>398</v>
      </c>
      <c r="F27" s="447"/>
      <c r="G27" s="447"/>
      <c r="H27" s="447"/>
      <c r="I27" s="447"/>
      <c r="J27" s="447"/>
    </row>
    <row r="28" spans="2:10" x14ac:dyDescent="0.2">
      <c r="B28" s="414" t="s">
        <v>408</v>
      </c>
      <c r="C28" s="330" t="s">
        <v>186</v>
      </c>
      <c r="D28" s="464" t="s">
        <v>189</v>
      </c>
      <c r="E28" s="410" t="str">
        <f>IF(AND($C$6=C28,$C$7=D28),"YES","NO")</f>
        <v>YES</v>
      </c>
      <c r="F28" s="447"/>
      <c r="G28" s="447"/>
      <c r="H28" s="447"/>
      <c r="I28" s="447"/>
      <c r="J28" s="447"/>
    </row>
    <row r="29" spans="2:10" x14ac:dyDescent="0.2">
      <c r="B29" s="414" t="s">
        <v>409</v>
      </c>
      <c r="C29" s="330" t="s">
        <v>186</v>
      </c>
      <c r="D29" s="464" t="s">
        <v>199</v>
      </c>
      <c r="E29" s="410" t="str">
        <f>IF(AND($C$6=C29,$C$7=D29),"YES","NO")</f>
        <v>NO</v>
      </c>
      <c r="F29" s="447"/>
      <c r="G29" s="447"/>
      <c r="H29" s="447"/>
      <c r="I29" s="447"/>
      <c r="J29" s="447"/>
    </row>
    <row r="30" spans="2:10" x14ac:dyDescent="0.2">
      <c r="B30" s="414" t="s">
        <v>410</v>
      </c>
      <c r="C30" s="464" t="s">
        <v>198</v>
      </c>
      <c r="D30" s="464" t="s">
        <v>189</v>
      </c>
      <c r="E30" s="410" t="str">
        <f>IF(AND($C$6=C30,$C$7=D30),"YES","NO")</f>
        <v>NO</v>
      </c>
      <c r="F30" s="447"/>
      <c r="G30" s="447"/>
      <c r="H30" s="447"/>
      <c r="I30" s="447"/>
      <c r="J30" s="447"/>
    </row>
    <row r="31" spans="2:10" x14ac:dyDescent="0.2">
      <c r="B31" s="414" t="s">
        <v>411</v>
      </c>
      <c r="C31" s="464" t="s">
        <v>198</v>
      </c>
      <c r="D31" s="464" t="s">
        <v>199</v>
      </c>
      <c r="E31" s="410" t="str">
        <f>IF(AND($C$6=C31,$C$7=D31),"YES","NO")</f>
        <v>NO</v>
      </c>
      <c r="F31" s="447"/>
      <c r="G31" s="447"/>
      <c r="H31" s="447"/>
      <c r="I31" s="447"/>
      <c r="J31" s="447"/>
    </row>
    <row r="32" spans="2:10" x14ac:dyDescent="0.2">
      <c r="B32" s="408"/>
      <c r="C32" s="418"/>
      <c r="D32" s="418"/>
      <c r="E32" s="422"/>
      <c r="F32" s="447"/>
      <c r="G32" s="447"/>
      <c r="H32" s="447"/>
      <c r="I32" s="447"/>
      <c r="J32" s="447"/>
    </row>
    <row r="33" spans="2:9" x14ac:dyDescent="0.2">
      <c r="B33" s="164" t="s">
        <v>412</v>
      </c>
      <c r="C33" s="418" t="str">
        <f>IF(E28="YES","Table D-1a",IF(E29="YES","Table D-1b",IF(E30="YES","Table D-1c","Table D-1d")))</f>
        <v>Table D-1a</v>
      </c>
      <c r="D33" s="418"/>
      <c r="E33" s="422"/>
      <c r="F33" s="447"/>
      <c r="G33" s="447"/>
      <c r="H33" s="447"/>
      <c r="I33" s="447"/>
    </row>
    <row r="34" spans="2:9" x14ac:dyDescent="0.2">
      <c r="B34" s="408" t="s">
        <v>413</v>
      </c>
      <c r="C34" s="418">
        <f>IF(C75=0,"-",C75)</f>
        <v>18.475073313782989</v>
      </c>
      <c r="D34" s="418"/>
      <c r="E34" s="422"/>
      <c r="F34" s="447"/>
      <c r="G34" s="447"/>
      <c r="H34" s="447"/>
      <c r="I34" s="447"/>
    </row>
    <row r="35" spans="2:9" x14ac:dyDescent="0.2">
      <c r="B35" s="408" t="s">
        <v>404</v>
      </c>
      <c r="C35" s="418" t="str">
        <f>IF(C79=0,"-",C79)</f>
        <v>NA</v>
      </c>
      <c r="D35" s="418"/>
      <c r="E35" s="422"/>
      <c r="F35" s="447"/>
      <c r="G35" s="447"/>
      <c r="H35" s="447"/>
      <c r="I35" s="447"/>
    </row>
    <row r="36" spans="2:9" x14ac:dyDescent="0.2">
      <c r="B36" s="408" t="s">
        <v>301</v>
      </c>
      <c r="C36" s="418">
        <f>IF(C83=0,"-",C83)</f>
        <v>100</v>
      </c>
      <c r="D36" s="418"/>
      <c r="E36" s="422"/>
      <c r="F36" s="447"/>
      <c r="G36" s="447"/>
      <c r="H36" s="447"/>
      <c r="I36" s="447"/>
    </row>
    <row r="37" spans="2:9" x14ac:dyDescent="0.2">
      <c r="B37" s="408" t="s">
        <v>293</v>
      </c>
      <c r="C37" s="418">
        <f>IF(C87=0,"-",C87)</f>
        <v>50000</v>
      </c>
      <c r="D37" s="192" t="s">
        <v>405</v>
      </c>
      <c r="E37" s="422"/>
      <c r="F37" s="447"/>
      <c r="G37" s="447"/>
      <c r="H37" s="447"/>
      <c r="I37" s="447"/>
    </row>
    <row r="38" spans="2:9" ht="13.5" thickBot="1" x14ac:dyDescent="0.25">
      <c r="B38" s="174" t="s">
        <v>266</v>
      </c>
      <c r="C38" s="175">
        <f>C88</f>
        <v>18.475073313782989</v>
      </c>
      <c r="D38" s="191" t="str">
        <f>C89</f>
        <v>Drinking Water Toxicity</v>
      </c>
      <c r="E38" s="423"/>
      <c r="F38" s="447"/>
      <c r="G38" s="447"/>
      <c r="H38" s="447"/>
      <c r="I38" s="447"/>
    </row>
    <row r="39" spans="2:9" ht="13.5" thickTop="1" x14ac:dyDescent="0.2">
      <c r="B39" s="421"/>
      <c r="C39" s="418"/>
      <c r="D39" s="418"/>
      <c r="E39" s="418"/>
      <c r="F39" s="447"/>
      <c r="G39" s="447"/>
      <c r="H39" s="447"/>
      <c r="I39" s="447"/>
    </row>
    <row r="40" spans="2:9" ht="13.5" thickBot="1" x14ac:dyDescent="0.25">
      <c r="B40" s="466"/>
      <c r="C40" s="464"/>
      <c r="D40" s="464"/>
      <c r="E40" s="464"/>
      <c r="F40" s="447"/>
      <c r="G40" s="447"/>
      <c r="H40" s="447"/>
      <c r="I40" s="447"/>
    </row>
    <row r="41" spans="2:9" ht="14.25" thickTop="1" thickBot="1" x14ac:dyDescent="0.25">
      <c r="B41" s="169" t="s">
        <v>414</v>
      </c>
      <c r="C41" s="170"/>
      <c r="D41" s="179" t="s">
        <v>415</v>
      </c>
      <c r="E41" s="332"/>
      <c r="F41" s="447"/>
      <c r="G41" s="447"/>
      <c r="H41" s="447"/>
      <c r="I41" s="447"/>
    </row>
    <row r="42" spans="2:9" ht="13.5" thickTop="1" x14ac:dyDescent="0.2">
      <c r="B42" s="136" t="s">
        <v>416</v>
      </c>
      <c r="C42" s="424"/>
      <c r="D42" s="4"/>
      <c r="E42" s="464"/>
      <c r="F42" s="447"/>
      <c r="G42" s="447"/>
      <c r="H42" s="329"/>
      <c r="I42" s="466"/>
    </row>
    <row r="43" spans="2:9" x14ac:dyDescent="0.2">
      <c r="B43" s="425" t="s">
        <v>417</v>
      </c>
      <c r="C43" s="417">
        <f>IF(VLOOKUP('2. EAL Surfer - Summary EALs'!H3,'Table I-1 (Unrestricted SoilDE)'!A6:H31,2,FALSE)="","-",VLOOKUP('2. EAL Surfer - Summary EALs'!H3,'Table I-1 (Unrestricted SoilDE)'!A6:H31,2,FALSE))</f>
        <v>29.086715505210876</v>
      </c>
      <c r="D43" s="6" t="s">
        <v>418</v>
      </c>
      <c r="E43" s="464"/>
      <c r="F43" s="447"/>
      <c r="G43" s="447"/>
      <c r="H43" s="329"/>
      <c r="I43" s="466"/>
    </row>
    <row r="44" spans="2:9" x14ac:dyDescent="0.2">
      <c r="B44" s="425" t="s">
        <v>419</v>
      </c>
      <c r="C44" s="417">
        <f>IF(VLOOKUP('2. EAL Surfer - Summary EALs'!H3,'Table I-2 (C-I Soil DE)'!A6:G31,2,FALSE)=0,"-",VLOOKUP('2. EAL Surfer - Summary EALs'!H3,'Table I-2 (C-I Soil DE)'!A6:G31,2,FALSE))</f>
        <v>131.03096035843424</v>
      </c>
      <c r="D44" s="6" t="s">
        <v>420</v>
      </c>
      <c r="E44" s="464"/>
      <c r="F44" s="447"/>
      <c r="G44" s="447"/>
      <c r="H44" s="329"/>
      <c r="I44" s="466"/>
    </row>
    <row r="45" spans="2:9" x14ac:dyDescent="0.2">
      <c r="B45" s="425" t="s">
        <v>421</v>
      </c>
      <c r="C45" s="417">
        <f>IF(VLOOKUP('2. EAL Surfer - Summary EALs'!H3,'Table I-3 (Construction DE)'!A6:G31,2,FALSE)=0,"-",VLOOKUP('2. EAL Surfer - Summary EALs'!H3,'Table I-3 (Construction DE)'!A6:G31,2,FALSE))</f>
        <v>197.93870304450087</v>
      </c>
      <c r="D45" s="6" t="s">
        <v>422</v>
      </c>
      <c r="E45" s="464"/>
      <c r="F45" s="447"/>
      <c r="G45" s="447"/>
      <c r="H45" s="329"/>
      <c r="I45" s="466"/>
    </row>
    <row r="46" spans="2:9" ht="13.5" thickBot="1" x14ac:dyDescent="0.25">
      <c r="B46" s="116" t="s">
        <v>423</v>
      </c>
      <c r="C46" s="171">
        <f>IF((IF('2. EAL Surfer - Summary EALs'!D5='2. EAL Surfer - Summary EALs'!P13,C43,C44))=0,"-",(IF('2. EAL Surfer - Summary EALs'!D5='2. EAL Surfer - Summary EALs'!P13,C43,C44)))</f>
        <v>29.086715505210876</v>
      </c>
      <c r="D46" s="117" t="str">
        <f>IF('2. EAL Surfer - Summary EALs'!D5='2. EAL Surfer - Summary EALs'!P13,"Table I-1","Table I-2")</f>
        <v>Table I-1</v>
      </c>
      <c r="E46" s="464"/>
      <c r="F46" s="447"/>
      <c r="G46" s="447"/>
      <c r="H46" s="329"/>
      <c r="I46" s="466"/>
    </row>
    <row r="47" spans="2:9" ht="13.5" thickTop="1" x14ac:dyDescent="0.2">
      <c r="B47" s="137" t="s">
        <v>424</v>
      </c>
      <c r="C47" s="417"/>
      <c r="D47" s="426"/>
      <c r="E47" s="464"/>
      <c r="F47" s="447"/>
      <c r="G47" s="447"/>
      <c r="H47" s="329"/>
      <c r="I47" s="466"/>
    </row>
    <row r="48" spans="2:9" x14ac:dyDescent="0.2">
      <c r="B48" s="425" t="s">
        <v>417</v>
      </c>
      <c r="C48" s="417" t="str">
        <f>IF(VLOOKUP('2. EAL Surfer - Summary EALs'!H3,'Table C-1b (Soil to IA)'!A5:F30,5,FALSE)="","-",VLOOKUP('2. EAL Surfer - Summary EALs'!H3,'Table C-1b (Soil to IA)'!A5:F30,5,FALSE))</f>
        <v>NA</v>
      </c>
      <c r="D48" s="427" t="s">
        <v>425</v>
      </c>
      <c r="E48" s="464"/>
      <c r="F48" s="447"/>
      <c r="G48" s="447"/>
      <c r="H48" s="329"/>
      <c r="I48" s="466"/>
    </row>
    <row r="49" spans="2:9" x14ac:dyDescent="0.2">
      <c r="B49" s="425" t="s">
        <v>419</v>
      </c>
      <c r="C49" s="417" t="str">
        <f>IF(VLOOKUP('2. EAL Surfer - Summary EALs'!H3,'Table C-1b (Soil to IA)'!A5:F30,6,FALSE)="","-",VLOOKUP('2. EAL Surfer - Summary EALs'!H3,'Table C-1b (Soil to IA)'!A5:F30,6,FALSE))</f>
        <v>NA</v>
      </c>
      <c r="D49" s="427" t="s">
        <v>425</v>
      </c>
      <c r="E49" s="464"/>
      <c r="F49" s="447"/>
      <c r="G49" s="447"/>
      <c r="H49" s="329"/>
      <c r="I49" s="466"/>
    </row>
    <row r="50" spans="2:9" ht="13.5" thickBot="1" x14ac:dyDescent="0.25">
      <c r="B50" s="115" t="s">
        <v>426</v>
      </c>
      <c r="C50" s="172" t="str">
        <f>IF((IF('2. EAL Surfer - Summary EALs'!D5='2. EAL Surfer - Summary EALs'!P13,C48,C49))=0,"-",(IF('2. EAL Surfer - Summary EALs'!D5='2. EAL Surfer - Summary EALs'!P13,C48,C49)))</f>
        <v>NA</v>
      </c>
      <c r="D50" s="427" t="s">
        <v>425</v>
      </c>
      <c r="E50" s="464"/>
      <c r="F50" s="447"/>
      <c r="G50" s="447"/>
      <c r="H50" s="329"/>
      <c r="I50" s="466"/>
    </row>
    <row r="51" spans="2:9" ht="13.5" thickTop="1" x14ac:dyDescent="0.2">
      <c r="B51" s="136" t="s">
        <v>263</v>
      </c>
      <c r="C51" s="428"/>
      <c r="D51" s="429"/>
      <c r="E51" s="464"/>
      <c r="F51" s="447"/>
      <c r="G51" s="447"/>
      <c r="H51" s="329"/>
      <c r="I51" s="466"/>
    </row>
    <row r="52" spans="2:9" x14ac:dyDescent="0.2">
      <c r="B52" s="425" t="s">
        <v>427</v>
      </c>
      <c r="C52" s="417">
        <f>IF(VLOOKUP('2. EAL Surfer - Summary EALs'!H3,'Table E-1 Leaching Soil'!B7:P32,12,FALSE)="","-",VLOOKUP('2. EAL Surfer - Summary EALs'!H3,'Table E-1 Leaching Soil'!B7:P32,12,FALSE))</f>
        <v>0.39205565102639289</v>
      </c>
      <c r="D52" s="427" t="s">
        <v>428</v>
      </c>
      <c r="E52" s="464"/>
      <c r="F52" s="447"/>
      <c r="G52" s="447"/>
      <c r="H52" s="329"/>
      <c r="I52" s="466"/>
    </row>
    <row r="53" spans="2:9" x14ac:dyDescent="0.2">
      <c r="B53" s="425" t="s">
        <v>429</v>
      </c>
      <c r="C53" s="417">
        <f>IF(VLOOKUP('2. EAL Surfer - Summary EALs'!H3,'Table E-1 Leaching Soil'!B7:P32,13,FALSE)="","-",VLOOKUP('2. EAL Surfer - Summary EALs'!H3,'Table E-1 Leaching Soil'!B7:P32,13,FALSE))</f>
        <v>0.39205565102639289</v>
      </c>
      <c r="D53" s="427" t="s">
        <v>428</v>
      </c>
      <c r="E53" s="464"/>
      <c r="F53" s="447"/>
      <c r="G53" s="447"/>
      <c r="H53" s="329"/>
      <c r="I53" s="447"/>
    </row>
    <row r="54" spans="2:9" x14ac:dyDescent="0.2">
      <c r="B54" s="425" t="s">
        <v>430</v>
      </c>
      <c r="C54" s="417">
        <f>IF(VLOOKUP('2. EAL Surfer - Summary EALs'!H3,'Table E-1 Leaching Soil'!B7:P32,14,FALSE)="","-",VLOOKUP('2. EAL Surfer - Summary EALs'!H3,'Table E-1 Leaching Soil'!B7:P32,14,FALSE))</f>
        <v>2.1220789999999998</v>
      </c>
      <c r="D54" s="427" t="s">
        <v>428</v>
      </c>
      <c r="E54" s="464"/>
      <c r="F54" s="447"/>
      <c r="G54" s="447"/>
      <c r="H54" s="329"/>
      <c r="I54" s="447"/>
    </row>
    <row r="55" spans="2:9" x14ac:dyDescent="0.2">
      <c r="B55" s="425" t="s">
        <v>431</v>
      </c>
      <c r="C55" s="417">
        <f>IF(VLOOKUP('2. EAL Surfer - Summary EALs'!H3,'Table E-1 Leaching Soil'!B7:P32,15,FALSE)="","-",VLOOKUP('2. EAL Surfer - Summary EALs'!H3,'Table E-1 Leaching Soil'!B7:P32,15,FALSE))</f>
        <v>2.1220789999999998</v>
      </c>
      <c r="D55" s="427" t="s">
        <v>428</v>
      </c>
      <c r="E55" s="464"/>
      <c r="F55" s="447"/>
      <c r="G55" s="447"/>
      <c r="H55" s="329"/>
      <c r="I55" s="447"/>
    </row>
    <row r="56" spans="2:9" ht="13.5" thickBot="1" x14ac:dyDescent="0.25">
      <c r="B56" s="116" t="s">
        <v>432</v>
      </c>
      <c r="C56" s="171">
        <f>IF(IF(E28="YES",C52,IF(E29="YES",C53,IF(E30="YES",C54,C55)))=0,"-",IF(E28="YES",C52,IF(E29="YES",C53,IF(E30="YES",C54,C55))))</f>
        <v>0.39205565102639289</v>
      </c>
      <c r="D56" s="187" t="s">
        <v>428</v>
      </c>
      <c r="E56" s="464"/>
      <c r="F56" s="447"/>
      <c r="G56" s="447"/>
      <c r="H56" s="329"/>
      <c r="I56" s="447"/>
    </row>
    <row r="57" spans="2:9" ht="13.5" thickTop="1" x14ac:dyDescent="0.2">
      <c r="B57" s="137" t="s">
        <v>433</v>
      </c>
      <c r="C57" s="417"/>
      <c r="D57" s="427"/>
      <c r="E57" s="464"/>
      <c r="F57" s="447"/>
      <c r="G57" s="447"/>
      <c r="H57" s="329"/>
      <c r="I57" s="447"/>
    </row>
    <row r="58" spans="2:9" x14ac:dyDescent="0.2">
      <c r="B58" s="425" t="s">
        <v>417</v>
      </c>
      <c r="C58" s="417" t="str">
        <f>IF(VLOOKUP('2. EAL Surfer - Summary EALs'!H3,'Table L (Soil Ecotoxicity)'!A5:C30,2,FALSE)=0,"-",VLOOKUP('2. EAL Surfer - Summary EALs'!H3,'Table L (Soil Ecotoxicity)'!A5:C30,2,FALSE))</f>
        <v>-</v>
      </c>
      <c r="D58" s="427" t="s">
        <v>434</v>
      </c>
      <c r="E58" s="464"/>
      <c r="F58" s="447"/>
      <c r="G58" s="447"/>
      <c r="H58" s="329"/>
      <c r="I58" s="447"/>
    </row>
    <row r="59" spans="2:9" x14ac:dyDescent="0.2">
      <c r="B59" s="425" t="s">
        <v>419</v>
      </c>
      <c r="C59" s="417" t="str">
        <f>IF(VLOOKUP('2. EAL Surfer - Summary EALs'!H3,'Table L (Soil Ecotoxicity)'!A5:C30,3,FALSE)=0,"-",VLOOKUP('2. EAL Surfer - Summary EALs'!H3,'Table L (Soil Ecotoxicity)'!A5:C30,3,FALSE))</f>
        <v>-</v>
      </c>
      <c r="D59" s="427" t="s">
        <v>434</v>
      </c>
      <c r="E59" s="464"/>
      <c r="F59" s="447"/>
      <c r="G59" s="447"/>
      <c r="H59" s="329"/>
      <c r="I59" s="447"/>
    </row>
    <row r="60" spans="2:9" ht="13.5" thickBot="1" x14ac:dyDescent="0.25">
      <c r="B60" s="115" t="s">
        <v>435</v>
      </c>
      <c r="C60" s="172" t="str">
        <f>IF((IF('2. EAL Surfer - Summary EALs'!D5='2. EAL Surfer - Summary EALs'!P13,'Surfer Compiler HDOH'!C58,'Surfer Compiler HDOH'!C59))=0,"-",(IF('2. EAL Surfer - Summary EALs'!D5='2. EAL Surfer - Summary EALs'!P13,'Surfer Compiler HDOH'!C58,'Surfer Compiler HDOH'!C59)))</f>
        <v>-</v>
      </c>
      <c r="D60" s="427" t="s">
        <v>434</v>
      </c>
      <c r="E60" s="464"/>
      <c r="F60" s="447"/>
      <c r="G60" s="447"/>
      <c r="H60" s="329"/>
      <c r="I60" s="447"/>
    </row>
    <row r="61" spans="2:9" ht="13.5" thickTop="1" x14ac:dyDescent="0.2">
      <c r="B61" s="136" t="s">
        <v>257</v>
      </c>
      <c r="C61" s="428"/>
      <c r="D61" s="429"/>
      <c r="E61" s="464"/>
      <c r="F61" s="447"/>
      <c r="G61" s="447"/>
      <c r="H61" s="329"/>
      <c r="I61" s="447"/>
    </row>
    <row r="62" spans="2:9" x14ac:dyDescent="0.2">
      <c r="B62" s="425" t="s">
        <v>436</v>
      </c>
      <c r="C62" s="417">
        <f>IF(VLOOKUP('2. EAL Surfer - Summary EALs'!H3,'Table F-2 (Exposed Soils)'!A4:J29,2,FALSE)="","-",VLOOKUP('2. EAL Surfer - Summary EALs'!H3,'Table F-2 (Exposed Soils)'!A4:J29,2,FALSE))</f>
        <v>1000</v>
      </c>
      <c r="D62" s="427" t="s">
        <v>437</v>
      </c>
      <c r="E62" s="464"/>
      <c r="F62" s="447"/>
      <c r="G62" s="447"/>
      <c r="H62" s="329"/>
      <c r="I62" s="447"/>
    </row>
    <row r="63" spans="2:9" x14ac:dyDescent="0.2">
      <c r="B63" s="425" t="s">
        <v>438</v>
      </c>
      <c r="C63" s="417">
        <f>IF(VLOOKUP('2. EAL Surfer - Summary EALs'!H3,'Table F-3 (Isolated Soils)'!A4:J29,2,FALSE)="","-",VLOOKUP('2. EAL Surfer - Summary EALs'!H3,'Table F-3 (Isolated Soils)'!A4:J29,2,FALSE))</f>
        <v>2500</v>
      </c>
      <c r="D63" s="427" t="s">
        <v>439</v>
      </c>
      <c r="E63" s="464"/>
      <c r="F63" s="447"/>
      <c r="G63" s="447"/>
      <c r="H63" s="329"/>
      <c r="I63" s="447"/>
    </row>
    <row r="64" spans="2:9" x14ac:dyDescent="0.2">
      <c r="B64" s="115" t="s">
        <v>440</v>
      </c>
      <c r="C64" s="172">
        <f>C62</f>
        <v>1000</v>
      </c>
      <c r="D64" s="427"/>
      <c r="E64" s="464"/>
      <c r="F64" s="447"/>
      <c r="G64" s="447"/>
      <c r="H64" s="329"/>
      <c r="I64" s="447"/>
    </row>
    <row r="65" spans="2:4" x14ac:dyDescent="0.2">
      <c r="B65" s="425" t="s">
        <v>441</v>
      </c>
      <c r="C65" s="417">
        <f>IF(VLOOKUP('2. EAL Surfer - Summary EALs'!H3,'Table F-2 (Exposed Soils)'!A4:J29,3,FALSE)="","-",VLOOKUP('2. EAL Surfer - Summary EALs'!H3,'Table F-2 (Exposed Soils)'!A4:J29,3,FALSE))</f>
        <v>2500</v>
      </c>
      <c r="D65" s="427" t="s">
        <v>437</v>
      </c>
    </row>
    <row r="66" spans="2:4" x14ac:dyDescent="0.2">
      <c r="B66" s="425" t="s">
        <v>442</v>
      </c>
      <c r="C66" s="417">
        <f>IF(VLOOKUP('2. EAL Surfer - Summary EALs'!H3,'Table F-3 (Isolated Soils)'!A4:J29,3,FALSE)="","-",VLOOKUP('2. EAL Surfer - Summary EALs'!H3,'Table F-3 (Isolated Soils)'!A4:J29,3,FALSE))</f>
        <v>5000</v>
      </c>
      <c r="D66" s="427" t="s">
        <v>439</v>
      </c>
    </row>
    <row r="67" spans="2:4" x14ac:dyDescent="0.2">
      <c r="B67" s="115" t="s">
        <v>443</v>
      </c>
      <c r="C67" s="172">
        <f>C65</f>
        <v>2500</v>
      </c>
      <c r="D67" s="427"/>
    </row>
    <row r="68" spans="2:4" ht="13.5" thickBot="1" x14ac:dyDescent="0.25">
      <c r="B68" s="116" t="s">
        <v>444</v>
      </c>
      <c r="C68" s="171">
        <f>IF((IF('2. EAL Surfer - Summary EALs'!D5='2. EAL Surfer - Summary EALs'!P13,'Surfer Compiler HDOH'!C64,'Surfer Compiler HDOH'!C67))=0,"-",(IF('2. EAL Surfer - Summary EALs'!D5='2. EAL Surfer - Summary EALs'!P13,'Surfer Compiler HDOH'!C64,'Surfer Compiler HDOH'!C67)))</f>
        <v>1000</v>
      </c>
      <c r="D68" s="187" t="s">
        <v>437</v>
      </c>
    </row>
    <row r="69" spans="2:4" ht="13.5" thickTop="1" x14ac:dyDescent="0.2">
      <c r="B69" s="115" t="s">
        <v>406</v>
      </c>
      <c r="C69" s="138">
        <f>MIN(C46,C50,C56,C60,C68)</f>
        <v>0.39205565102639289</v>
      </c>
      <c r="D69" s="430"/>
    </row>
    <row r="70" spans="2:4" x14ac:dyDescent="0.2">
      <c r="B70" s="115" t="s">
        <v>295</v>
      </c>
      <c r="C70" s="138" t="str">
        <f>IF(VLOOKUP('2. EAL Surfer - Summary EALs'!H3,'2. EAL Surfer - Summary EALs'!P34:AA59,10,FALSE)=2,(IF(VLOOKUP('2. EAL Surfer - Summary EALs'!H3,'Table K (Soil Background)'!A4:E29,5,FALSE)="","?",VLOOKUP('2. EAL Surfer - Summary EALs'!H3,'Table K (Soil Background)'!A4:E29,5,FALSE))),"-")</f>
        <v>-</v>
      </c>
      <c r="D70" s="430"/>
    </row>
    <row r="71" spans="2:4" x14ac:dyDescent="0.2">
      <c r="B71" s="115" t="s">
        <v>445</v>
      </c>
      <c r="C71" s="138">
        <f>IF(OR(C70="-",C70="?"),C69,IF(C70&gt;C69,C70,C69))</f>
        <v>0.39205565102639289</v>
      </c>
      <c r="D71" s="431"/>
    </row>
    <row r="72" spans="2:4" ht="14.25" customHeight="1" thickBot="1" x14ac:dyDescent="0.25">
      <c r="B72" s="116" t="s">
        <v>297</v>
      </c>
      <c r="C72" s="117" t="str">
        <f>IF(C71=C70,"Background",(IF(C71=C46,B42,IF(C71=C50,B47,IF(C71=C56,B51,IF(C71=C60,B57,B61))))))</f>
        <v>Leaching</v>
      </c>
      <c r="D72" s="417"/>
    </row>
    <row r="73" spans="2:4" ht="14.25" thickTop="1" thickBot="1" x14ac:dyDescent="0.25">
      <c r="B73" s="432"/>
      <c r="C73" s="417"/>
      <c r="D73" s="417"/>
    </row>
    <row r="74" spans="2:4" ht="15.75" customHeight="1" thickTop="1" thickBot="1" x14ac:dyDescent="0.25">
      <c r="B74" s="168" t="s">
        <v>446</v>
      </c>
      <c r="C74" s="173"/>
      <c r="D74" s="179" t="s">
        <v>415</v>
      </c>
    </row>
    <row r="75" spans="2:4" ht="14.25" thickTop="1" thickBot="1" x14ac:dyDescent="0.25">
      <c r="B75" s="136" t="s">
        <v>447</v>
      </c>
      <c r="C75" s="190">
        <f>IF('2. EAL Surfer - Summary EALs'!D7='2. EAL Surfer - Summary EALs'!Q14,"-",(IF(VLOOKUP('2. EAL Surfer - Summary EALs'!H3,'Table D-3a (Final DW-Toxicity)'!A5:H30,2,FALSE)="","-",VLOOKUP('2. EAL Surfer - Summary EALs'!H3,'Table D-3a (Final DW-Toxicity)'!A5:H30,2,FALSE))))</f>
        <v>18.475073313782989</v>
      </c>
      <c r="D75" s="140" t="s">
        <v>448</v>
      </c>
    </row>
    <row r="76" spans="2:4" x14ac:dyDescent="0.2">
      <c r="B76" s="176" t="s">
        <v>424</v>
      </c>
      <c r="C76" s="433"/>
      <c r="D76" s="434"/>
    </row>
    <row r="77" spans="2:4" x14ac:dyDescent="0.2">
      <c r="B77" s="425" t="s">
        <v>417</v>
      </c>
      <c r="C77" s="417" t="str">
        <f>IF(VLOOKUP('2. EAL Surfer - Summary EALs'!H3,'Table C-1a (GW to IA)'!A5:F30,5,FALSE)="","-",VLOOKUP('2. EAL Surfer - Summary EALs'!H3,'Table C-1a (GW to IA)'!A5:F30,5,FALSE))</f>
        <v>NA</v>
      </c>
      <c r="D77" s="426" t="s">
        <v>449</v>
      </c>
    </row>
    <row r="78" spans="2:4" x14ac:dyDescent="0.2">
      <c r="B78" s="425" t="s">
        <v>419</v>
      </c>
      <c r="C78" s="417" t="str">
        <f>IF(VLOOKUP('2. EAL Surfer - Summary EALs'!H3,'Table C-1a (GW to IA)'!A5:F30,6,FALSE)="","-",VLOOKUP('2. EAL Surfer - Summary EALs'!H3,'Table C-1a (GW to IA)'!A5:F30,6,FALSE))</f>
        <v>NA</v>
      </c>
      <c r="D78" s="426" t="s">
        <v>449</v>
      </c>
    </row>
    <row r="79" spans="2:4" ht="13.5" thickBot="1" x14ac:dyDescent="0.25">
      <c r="B79" s="177" t="s">
        <v>426</v>
      </c>
      <c r="C79" s="189" t="str">
        <f>IF(IF('2. EAL Surfer - Summary EALs'!D5='2. EAL Surfer - Summary EALs'!P13,C77,C78)=0,"-",IF('2. EAL Surfer - Summary EALs'!D5='2. EAL Surfer - Summary EALs'!P13,C77,C78))</f>
        <v>NA</v>
      </c>
      <c r="D79" s="188" t="s">
        <v>449</v>
      </c>
    </row>
    <row r="80" spans="2:4" x14ac:dyDescent="0.2">
      <c r="B80" s="137" t="s">
        <v>450</v>
      </c>
      <c r="C80" s="417"/>
      <c r="D80" s="426"/>
    </row>
    <row r="81" spans="2:4" x14ac:dyDescent="0.2">
      <c r="B81" s="425" t="s">
        <v>451</v>
      </c>
      <c r="C81" s="417">
        <f>IF(VLOOKUP('2. EAL Surfer - Summary EALs'!H3,'Table D-4a (Aquatic Goals Sum)'!A5:G30,2,FALSE)="","-",VLOOKUP('2. EAL Surfer - Summary EALs'!H3,'Table D-4a (Aquatic Goals Sum)'!A5:G30,2,FALSE))</f>
        <v>100</v>
      </c>
      <c r="D81" s="426" t="s">
        <v>334</v>
      </c>
    </row>
    <row r="82" spans="2:4" x14ac:dyDescent="0.2">
      <c r="B82" s="425" t="s">
        <v>452</v>
      </c>
      <c r="C82" s="417">
        <f>IF(VLOOKUP('2. EAL Surfer - Summary EALs'!H3,'Table D-4a (Aquatic Goals Sum)'!A5:G30,3,FALSE)="","-",VLOOKUP('2. EAL Surfer - Summary EALs'!H3,'Table D-4a (Aquatic Goals Sum)'!A5:G30,3,FALSE))</f>
        <v>100</v>
      </c>
      <c r="D82" s="426" t="s">
        <v>334</v>
      </c>
    </row>
    <row r="83" spans="2:4" ht="13.5" thickBot="1" x14ac:dyDescent="0.25">
      <c r="B83" s="115" t="s">
        <v>453</v>
      </c>
      <c r="C83" s="172">
        <f>IF(IF('2. EAL Surfer - Summary EALs'!D10='2. EAL Surfer - Summary EALs'!U13,C81,C82)=0,"-",IF('2. EAL Surfer - Summary EALs'!D10='2. EAL Surfer - Summary EALs'!U13,C81,C82))</f>
        <v>100</v>
      </c>
      <c r="D83" s="426" t="s">
        <v>334</v>
      </c>
    </row>
    <row r="84" spans="2:4" x14ac:dyDescent="0.2">
      <c r="B84" s="176" t="s">
        <v>257</v>
      </c>
      <c r="C84" s="433"/>
      <c r="D84" s="434"/>
    </row>
    <row r="85" spans="2:4" x14ac:dyDescent="0.2">
      <c r="B85" s="425" t="s">
        <v>413</v>
      </c>
      <c r="C85" s="417">
        <f>VLOOKUP('2. EAL Surfer - Summary EALs'!H3,'Table G-1 (GW-DW Ceiling)'!A4:G29,2,FALSE)</f>
        <v>50000</v>
      </c>
      <c r="D85" s="426" t="s">
        <v>454</v>
      </c>
    </row>
    <row r="86" spans="2:4" x14ac:dyDescent="0.2">
      <c r="B86" s="425" t="s">
        <v>455</v>
      </c>
      <c r="C86" s="417">
        <f>VLOOKUP('2. EAL Surfer - Summary EALs'!H3,'Table G-2 (GW-NDW Ceiling)'!A4:G29,2,FALSE)</f>
        <v>50000</v>
      </c>
      <c r="D86" s="426" t="s">
        <v>456</v>
      </c>
    </row>
    <row r="87" spans="2:4" ht="13.5" thickBot="1" x14ac:dyDescent="0.25">
      <c r="B87" s="116" t="s">
        <v>457</v>
      </c>
      <c r="C87" s="171">
        <f>IF(IF('2. EAL Surfer - Summary EALs'!D7='2. EAL Surfer - Summary EALs'!Q13,C85,C86)=0,"-",IF('2. EAL Surfer - Summary EALs'!D7='2. EAL Surfer - Summary EALs'!Q13,C85,C86))</f>
        <v>50000</v>
      </c>
      <c r="D87" s="117" t="str">
        <f>IF('2. EAL Surfer - Summary EALs'!D7='2. EAL Surfer - Summary EALs'!Q13,"Table G-1","Table G-2")</f>
        <v>Table G-1</v>
      </c>
    </row>
    <row r="88" spans="2:4" ht="13.5" thickTop="1" x14ac:dyDescent="0.2">
      <c r="B88" s="114" t="s">
        <v>458</v>
      </c>
      <c r="C88" s="140">
        <f>MIN(C75,C79,C83,C87)</f>
        <v>18.475073313782989</v>
      </c>
      <c r="D88" s="431"/>
    </row>
    <row r="89" spans="2:4" ht="13.5" thickBot="1" x14ac:dyDescent="0.25">
      <c r="B89" s="116" t="s">
        <v>297</v>
      </c>
      <c r="C89" s="117" t="str">
        <f>IF(C88=C75,B75,IF(C88=C79,B79,IF(C88=C83,B80,B84)))</f>
        <v>Drinking Water Toxicity</v>
      </c>
      <c r="D89" s="417"/>
    </row>
    <row r="90" spans="2:4" ht="14.25" thickTop="1" thickBot="1" x14ac:dyDescent="0.25">
      <c r="B90" s="432"/>
      <c r="C90" s="417"/>
      <c r="D90" s="417"/>
    </row>
    <row r="91" spans="2:4" ht="15.75" thickTop="1" thickBot="1" x14ac:dyDescent="0.25">
      <c r="B91" s="178" t="s">
        <v>459</v>
      </c>
      <c r="C91" s="435"/>
      <c r="D91" s="179" t="s">
        <v>415</v>
      </c>
    </row>
    <row r="92" spans="2:4" x14ac:dyDescent="0.2">
      <c r="B92" s="176" t="s">
        <v>460</v>
      </c>
      <c r="C92" s="433"/>
      <c r="D92" s="434"/>
    </row>
    <row r="93" spans="2:4" x14ac:dyDescent="0.2">
      <c r="B93" s="425" t="s">
        <v>417</v>
      </c>
      <c r="C93" s="417">
        <f>IF(VLOOKUP('2. EAL Surfer - Summary EALs'!H3,'Table C-3 (Indoor Air Goals)'!A8:L33,6,FALSE)="","-",VLOOKUP('2. EAL Surfer - Summary EALs'!H3,'Table C-3 (Indoor Air Goals)'!A8:L33,6,FALSE))</f>
        <v>65.7</v>
      </c>
      <c r="D93" s="426" t="s">
        <v>461</v>
      </c>
    </row>
    <row r="94" spans="2:4" x14ac:dyDescent="0.2">
      <c r="B94" s="425" t="s">
        <v>419</v>
      </c>
      <c r="C94" s="417">
        <f>IF(VLOOKUP('2. EAL Surfer - Summary EALs'!H3,'Table C-3 (Indoor Air Goals)'!A8:L33,9,FALSE)="","-",VLOOKUP('2. EAL Surfer - Summary EALs'!H3,'Table C-3 (Indoor Air Goals)'!A8:L33,9,FALSE))</f>
        <v>275.94000000000005</v>
      </c>
      <c r="D94" s="426" t="s">
        <v>461</v>
      </c>
    </row>
    <row r="95" spans="2:4" ht="13.5" thickBot="1" x14ac:dyDescent="0.25">
      <c r="B95" s="177" t="s">
        <v>462</v>
      </c>
      <c r="C95" s="189">
        <f>IF(IF('2. EAL Surfer - Summary EALs'!D5='2. EAL Surfer - Summary EALs'!P13,C93,C94)=0,"",IF('2. EAL Surfer - Summary EALs'!D5='2. EAL Surfer - Summary EALs'!P13,C93,C94))</f>
        <v>65.7</v>
      </c>
      <c r="D95" s="188" t="s">
        <v>461</v>
      </c>
    </row>
    <row r="96" spans="2:4" x14ac:dyDescent="0.2">
      <c r="B96" s="137" t="s">
        <v>463</v>
      </c>
      <c r="C96" s="417"/>
      <c r="D96" s="426"/>
    </row>
    <row r="97" spans="2:4" x14ac:dyDescent="0.2">
      <c r="B97" s="425" t="s">
        <v>417</v>
      </c>
      <c r="C97" s="417">
        <f>IF(VLOOKUP('2. EAL Surfer - Summary EALs'!H3,'Table C-2 (Soil Vapor to IA)'!A7:I32,4,FALSE)="","-",VLOOKUP('2. EAL Surfer - Summary EALs'!H3,'Table C-2 (Soil Vapor to IA)'!A7:I32,4,FALSE))</f>
        <v>131400</v>
      </c>
      <c r="D97" s="426" t="s">
        <v>464</v>
      </c>
    </row>
    <row r="98" spans="2:4" x14ac:dyDescent="0.2">
      <c r="B98" s="425" t="s">
        <v>419</v>
      </c>
      <c r="C98" s="417">
        <f>IF(VLOOKUP('2. EAL Surfer - Summary EALs'!H3,'Table C-2 (Soil Vapor to IA)'!A7:I32,7,FALSE)="","-",VLOOKUP('2. EAL Surfer - Summary EALs'!H3,'Table C-2 (Soil Vapor to IA)'!A7:I32,7,FALSE))</f>
        <v>1103760.0000000002</v>
      </c>
      <c r="D98" s="426" t="s">
        <v>464</v>
      </c>
    </row>
    <row r="99" spans="2:4" ht="13.5" thickBot="1" x14ac:dyDescent="0.25">
      <c r="B99" s="116" t="s">
        <v>465</v>
      </c>
      <c r="C99" s="171">
        <f>IF(IF('2. EAL Surfer - Summary EALs'!D5='2. EAL Surfer - Summary EALs'!P13,C97,C98)=0,"",IF('2. EAL Surfer - Summary EALs'!D5='2. EAL Surfer - Summary EALs'!P13,C97,C98))</f>
        <v>131400</v>
      </c>
      <c r="D99" s="117" t="s">
        <v>464</v>
      </c>
    </row>
    <row r="100" spans="2:4" ht="13.5" thickTop="1" x14ac:dyDescent="0.2">
      <c r="B100" s="466"/>
      <c r="C100" s="464"/>
      <c r="D100" s="464"/>
    </row>
  </sheetData>
  <sheetProtection algorithmName="SHA-512" hashValue="PoAslpSoEm03sIqRG4WVtfJ5xDCY113b5vt0F3mmpoeaXLfWzjcj538mdi3e+vsRv5LjECMZjDKjuyvwlSX/6w==" saltValue="GlHIdSL0dEljQ2CbhhCp2w==" spinCount="100000" sheet="1" objects="1" scenarios="1"/>
  <phoneticPr fontId="16" type="noConversion"/>
  <pageMargins left="0.75" right="0.75" top="0.24" bottom="0.28000000000000003" header="0.17" footer="0.16"/>
  <pageSetup scale="5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1"/>
  </sheetPr>
  <dimension ref="A1:G45"/>
  <sheetViews>
    <sheetView zoomScaleNormal="100" workbookViewId="0">
      <selection activeCell="B14" sqref="B14"/>
    </sheetView>
  </sheetViews>
  <sheetFormatPr defaultColWidth="8.7109375" defaultRowHeight="11.25" x14ac:dyDescent="0.2"/>
  <cols>
    <col min="1" max="1" width="50.5703125" style="470" customWidth="1"/>
    <col min="2" max="3" width="15.7109375" style="505" customWidth="1"/>
    <col min="4" max="4" width="15.7109375" style="515" customWidth="1"/>
    <col min="5" max="5" width="15.7109375" style="470" customWidth="1"/>
    <col min="6" max="16384" width="8.7109375" style="470"/>
  </cols>
  <sheetData>
    <row r="1" spans="1:6" ht="30" x14ac:dyDescent="0.25">
      <c r="A1" s="530" t="s">
        <v>466</v>
      </c>
      <c r="B1" s="531"/>
      <c r="C1" s="531"/>
      <c r="D1" s="472"/>
      <c r="E1" s="472"/>
      <c r="F1" s="519"/>
    </row>
    <row r="2" spans="1:6" ht="15.75" thickBot="1" x14ac:dyDescent="0.3">
      <c r="A2" s="530"/>
      <c r="B2" s="470"/>
      <c r="C2" s="470"/>
      <c r="D2" s="472"/>
      <c r="E2" s="472"/>
      <c r="F2" s="519"/>
    </row>
    <row r="3" spans="1:6" ht="15.75" customHeight="1" thickTop="1" thickBot="1" x14ac:dyDescent="0.25">
      <c r="B3" s="532" t="s">
        <v>467</v>
      </c>
      <c r="C3" s="533"/>
      <c r="D3" s="534" t="s">
        <v>468</v>
      </c>
      <c r="E3" s="535"/>
      <c r="F3" s="519"/>
    </row>
    <row r="4" spans="1:6" ht="25.5" customHeight="1" thickTop="1" thickBot="1" x14ac:dyDescent="0.25">
      <c r="A4" s="536" t="s">
        <v>469</v>
      </c>
      <c r="B4" s="537" t="s">
        <v>470</v>
      </c>
      <c r="C4" s="538" t="s">
        <v>471</v>
      </c>
      <c r="D4" s="539" t="s">
        <v>470</v>
      </c>
      <c r="E4" s="540" t="s">
        <v>471</v>
      </c>
      <c r="F4" s="519"/>
    </row>
    <row r="5" spans="1:6" ht="12" customHeight="1" x14ac:dyDescent="0.2">
      <c r="A5" s="541" t="s">
        <v>472</v>
      </c>
      <c r="B5" s="542">
        <v>0.16268000366213003</v>
      </c>
      <c r="C5" s="543">
        <v>2</v>
      </c>
      <c r="D5" s="544">
        <v>0.16268000366213003</v>
      </c>
      <c r="E5" s="545">
        <v>2</v>
      </c>
    </row>
    <row r="6" spans="1:6" ht="12" customHeight="1" x14ac:dyDescent="0.2">
      <c r="A6" s="546" t="s">
        <v>473</v>
      </c>
      <c r="B6" s="547">
        <v>0.10122807769451152</v>
      </c>
      <c r="C6" s="548">
        <v>0.58076923076923059</v>
      </c>
      <c r="D6" s="549">
        <v>0.10122807769451152</v>
      </c>
      <c r="E6" s="550">
        <v>0.58076923076923059</v>
      </c>
    </row>
    <row r="7" spans="1:6" ht="12" customHeight="1" x14ac:dyDescent="0.2">
      <c r="A7" s="546" t="s">
        <v>474</v>
      </c>
      <c r="B7" s="547">
        <v>3.8014000120415808E-3</v>
      </c>
      <c r="C7" s="548">
        <v>0.01</v>
      </c>
      <c r="D7" s="549">
        <v>3.8014000120415808E-3</v>
      </c>
      <c r="E7" s="550">
        <v>0.01</v>
      </c>
    </row>
    <row r="8" spans="1:6" ht="12" customHeight="1" x14ac:dyDescent="0.2">
      <c r="A8" s="546" t="s">
        <v>475</v>
      </c>
      <c r="B8" s="547">
        <v>7.853076965809733E-3</v>
      </c>
      <c r="C8" s="548">
        <v>3.8461538461538471E-2</v>
      </c>
      <c r="D8" s="549">
        <v>7.853076965809733E-3</v>
      </c>
      <c r="E8" s="550">
        <v>3.8461538461538471E-2</v>
      </c>
    </row>
    <row r="9" spans="1:6" ht="12" customHeight="1" x14ac:dyDescent="0.2">
      <c r="A9" s="546" t="s">
        <v>476</v>
      </c>
      <c r="B9" s="547">
        <v>2.3572000044690404E-4</v>
      </c>
      <c r="C9" s="548">
        <v>4.0000000000000001E-3</v>
      </c>
      <c r="D9" s="549">
        <v>2.3572000044690404E-4</v>
      </c>
      <c r="E9" s="550">
        <v>4.0000000000000001E-3</v>
      </c>
    </row>
    <row r="10" spans="1:6" ht="12" customHeight="1" x14ac:dyDescent="0.2">
      <c r="A10" s="546" t="s">
        <v>477</v>
      </c>
      <c r="B10" s="547">
        <v>0.1264273591114293</v>
      </c>
      <c r="C10" s="548">
        <v>3.8461538461538471E-2</v>
      </c>
      <c r="D10" s="549">
        <v>0.1264273591114293</v>
      </c>
      <c r="E10" s="550">
        <v>3.8461538461538471E-2</v>
      </c>
    </row>
    <row r="11" spans="1:6" ht="12" customHeight="1" x14ac:dyDescent="0.2">
      <c r="A11" s="546" t="s">
        <v>200</v>
      </c>
      <c r="B11" s="547">
        <v>0.39205565102639289</v>
      </c>
      <c r="C11" s="548">
        <v>18.475073313782989</v>
      </c>
      <c r="D11" s="549">
        <v>0.39205565102639289</v>
      </c>
      <c r="E11" s="550">
        <v>18.475073313782989</v>
      </c>
    </row>
    <row r="12" spans="1:6" ht="12" customHeight="1" x14ac:dyDescent="0.2">
      <c r="A12" s="546" t="s">
        <v>478</v>
      </c>
      <c r="B12" s="547">
        <v>5.1333576759530803E-4</v>
      </c>
      <c r="C12" s="548">
        <v>0.51319648093841652</v>
      </c>
      <c r="D12" s="549">
        <v>5.1333576759530803E-4</v>
      </c>
      <c r="E12" s="550">
        <v>0.51319648093841652</v>
      </c>
    </row>
    <row r="13" spans="1:6" ht="12" customHeight="1" x14ac:dyDescent="0.2">
      <c r="A13" s="546" t="s">
        <v>479</v>
      </c>
      <c r="B13" s="547">
        <v>0.2207152640769231</v>
      </c>
      <c r="C13" s="548">
        <v>14.615384615384617</v>
      </c>
      <c r="D13" s="549">
        <v>0.2207152640769231</v>
      </c>
      <c r="E13" s="550">
        <v>14.615384615384617</v>
      </c>
    </row>
    <row r="14" spans="1:6" ht="12" customHeight="1" x14ac:dyDescent="0.2">
      <c r="A14" s="546" t="s">
        <v>480</v>
      </c>
      <c r="B14" s="547">
        <v>2.4389233605352306E-2</v>
      </c>
      <c r="C14" s="548">
        <v>1.5384615384615383</v>
      </c>
      <c r="D14" s="549">
        <v>2.4389233605352306E-2</v>
      </c>
      <c r="E14" s="550">
        <v>1.5384615384615383</v>
      </c>
    </row>
    <row r="15" spans="1:6" ht="12" customHeight="1" x14ac:dyDescent="0.2">
      <c r="A15" s="546" t="s">
        <v>481</v>
      </c>
      <c r="B15" s="547">
        <v>0.34157692588200961</v>
      </c>
      <c r="C15" s="548">
        <v>1.9230769230769231</v>
      </c>
      <c r="D15" s="549">
        <v>0.34157692588200961</v>
      </c>
      <c r="E15" s="550">
        <v>1.9230769230769231</v>
      </c>
    </row>
    <row r="16" spans="1:6" ht="12" customHeight="1" x14ac:dyDescent="0.2">
      <c r="A16" s="546" t="s">
        <v>482</v>
      </c>
      <c r="B16" s="547">
        <v>2.6687692407481776E-2</v>
      </c>
      <c r="C16" s="548">
        <v>7.6923076923076941E-2</v>
      </c>
      <c r="D16" s="549">
        <v>2.6687692407481776E-2</v>
      </c>
      <c r="E16" s="550">
        <v>7.6923076923076941E-2</v>
      </c>
    </row>
    <row r="17" spans="1:6" ht="12" customHeight="1" x14ac:dyDescent="0.2">
      <c r="A17" s="546" t="s">
        <v>483</v>
      </c>
      <c r="B17" s="547">
        <v>1.1022400047669761E-3</v>
      </c>
      <c r="C17" s="548">
        <v>4.0000000000000001E-3</v>
      </c>
      <c r="D17" s="549">
        <v>1.1022400047669761E-3</v>
      </c>
      <c r="E17" s="550">
        <v>4.0000000000000001E-3</v>
      </c>
    </row>
    <row r="18" spans="1:6" ht="12" customHeight="1" x14ac:dyDescent="0.2">
      <c r="A18" s="546" t="s">
        <v>484</v>
      </c>
      <c r="B18" s="547">
        <v>4.6812000732426003E-3</v>
      </c>
      <c r="C18" s="548">
        <v>0.01</v>
      </c>
      <c r="D18" s="549">
        <v>4.6812000732426003E-3</v>
      </c>
      <c r="E18" s="550">
        <v>0.01</v>
      </c>
    </row>
    <row r="19" spans="1:6" ht="12" customHeight="1" x14ac:dyDescent="0.2">
      <c r="A19" s="546" t="s">
        <v>485</v>
      </c>
      <c r="B19" s="547">
        <v>5.0821539177730766E-4</v>
      </c>
      <c r="C19" s="548">
        <v>7.6923076923076927E-3</v>
      </c>
      <c r="D19" s="549">
        <v>5.0821539177730766E-4</v>
      </c>
      <c r="E19" s="550">
        <v>7.6923076923076927E-3</v>
      </c>
    </row>
    <row r="20" spans="1:6" ht="12" customHeight="1" x14ac:dyDescent="0.2">
      <c r="A20" s="546" t="s">
        <v>486</v>
      </c>
      <c r="B20" s="547">
        <v>6.321367955571465E-2</v>
      </c>
      <c r="C20" s="548">
        <v>1.9230769230769235E-2</v>
      </c>
      <c r="D20" s="549">
        <v>6.321367955571465E-2</v>
      </c>
      <c r="E20" s="550">
        <v>1.9230769230769235E-2</v>
      </c>
    </row>
    <row r="21" spans="1:6" ht="12" customHeight="1" x14ac:dyDescent="0.2">
      <c r="A21" s="546" t="s">
        <v>487</v>
      </c>
      <c r="B21" s="547">
        <v>8.4705728342417075E-2</v>
      </c>
      <c r="C21" s="548">
        <v>2.5769230769230766E-2</v>
      </c>
      <c r="D21" s="549">
        <v>8.4705728342417075E-2</v>
      </c>
      <c r="E21" s="550">
        <v>2.5769230769230766E-2</v>
      </c>
    </row>
    <row r="22" spans="1:6" ht="12" customHeight="1" x14ac:dyDescent="0.2">
      <c r="A22" s="546" t="s">
        <v>488</v>
      </c>
      <c r="B22" s="547">
        <v>8.4706330604657626E-2</v>
      </c>
      <c r="C22" s="548">
        <v>2.5769230769230766E-2</v>
      </c>
      <c r="D22" s="549">
        <v>8.4706330604657626E-2</v>
      </c>
      <c r="E22" s="550">
        <v>2.5769230769230766E-2</v>
      </c>
    </row>
    <row r="23" spans="1:6" s="551" customFormat="1" ht="12" customHeight="1" x14ac:dyDescent="0.2">
      <c r="A23" s="546" t="s">
        <v>489</v>
      </c>
      <c r="B23" s="547">
        <v>0.84706330604657598</v>
      </c>
      <c r="C23" s="548">
        <v>0.25769230769230772</v>
      </c>
      <c r="D23" s="549">
        <v>0.84706330604657598</v>
      </c>
      <c r="E23" s="550">
        <v>0.25769230769230772</v>
      </c>
    </row>
    <row r="24" spans="1:6" s="551" customFormat="1" ht="12" customHeight="1" x14ac:dyDescent="0.2">
      <c r="A24" s="546" t="s">
        <v>490</v>
      </c>
      <c r="B24" s="547">
        <v>5.0642769872477544E-3</v>
      </c>
      <c r="C24" s="548">
        <v>4.6153846153846156E-2</v>
      </c>
      <c r="D24" s="549">
        <v>5.0642769872477544E-3</v>
      </c>
      <c r="E24" s="550">
        <v>4.6153846153846156E-2</v>
      </c>
    </row>
    <row r="25" spans="1:6" s="551" customFormat="1" ht="12" customHeight="1" x14ac:dyDescent="0.2">
      <c r="A25" s="546" t="s">
        <v>491</v>
      </c>
      <c r="B25" s="547">
        <v>6.7587200420000004E-4</v>
      </c>
      <c r="C25" s="548">
        <v>0.01</v>
      </c>
      <c r="D25" s="549">
        <v>6.7587200420000004E-4</v>
      </c>
      <c r="E25" s="550">
        <v>0.01</v>
      </c>
    </row>
    <row r="26" spans="1:6" s="551" customFormat="1" ht="12" customHeight="1" x14ac:dyDescent="0.2">
      <c r="A26" s="546" t="s">
        <v>492</v>
      </c>
      <c r="B26" s="547">
        <v>0.23580300170382151</v>
      </c>
      <c r="C26" s="548">
        <v>1.5</v>
      </c>
      <c r="D26" s="549">
        <v>0.23580300170382151</v>
      </c>
      <c r="E26" s="550">
        <v>1.5</v>
      </c>
    </row>
    <row r="27" spans="1:6" s="551" customFormat="1" ht="12" customHeight="1" x14ac:dyDescent="0.2">
      <c r="A27" s="546" t="s">
        <v>493</v>
      </c>
      <c r="B27" s="547">
        <v>0.18521769359683854</v>
      </c>
      <c r="C27" s="548">
        <v>1.153846153846154</v>
      </c>
      <c r="D27" s="549">
        <v>0.18521769359683854</v>
      </c>
      <c r="E27" s="550">
        <v>1.153846153846154</v>
      </c>
    </row>
    <row r="28" spans="1:6" s="551" customFormat="1" ht="12" customHeight="1" x14ac:dyDescent="0.2">
      <c r="A28" s="546" t="s">
        <v>494</v>
      </c>
      <c r="B28" s="547">
        <v>2.6228000080691003</v>
      </c>
      <c r="C28" s="548">
        <v>5</v>
      </c>
      <c r="D28" s="549">
        <v>2.6228000080691003</v>
      </c>
      <c r="E28" s="550">
        <v>5</v>
      </c>
    </row>
    <row r="29" spans="1:6" s="551" customFormat="1" ht="12" customHeight="1" x14ac:dyDescent="0.2">
      <c r="A29" s="546" t="s">
        <v>495</v>
      </c>
      <c r="B29" s="547">
        <v>1.5731692362576515</v>
      </c>
      <c r="C29" s="548">
        <v>4.2307692307692308</v>
      </c>
      <c r="D29" s="549">
        <v>1.5731692362576515</v>
      </c>
      <c r="E29" s="550">
        <v>4.2307692307692308</v>
      </c>
    </row>
    <row r="30" spans="1:6" s="551" customFormat="1" ht="12" customHeight="1" thickBot="1" x14ac:dyDescent="0.25">
      <c r="A30" s="552" t="s">
        <v>496</v>
      </c>
      <c r="B30" s="553">
        <v>6.3213679555714641</v>
      </c>
      <c r="C30" s="554">
        <v>1.9230769230769231</v>
      </c>
      <c r="D30" s="555">
        <v>6.3213679555714641</v>
      </c>
      <c r="E30" s="556">
        <v>1.9230769230769231</v>
      </c>
    </row>
    <row r="31" spans="1:6" ht="13.5" thickTop="1" x14ac:dyDescent="0.2">
      <c r="A31" s="557"/>
      <c r="B31" s="558"/>
      <c r="C31" s="558"/>
      <c r="D31" s="559"/>
      <c r="E31" s="560"/>
      <c r="F31" s="519"/>
    </row>
    <row r="32" spans="1:6" ht="12.75" x14ac:dyDescent="0.2">
      <c r="A32" s="514" t="s">
        <v>238</v>
      </c>
      <c r="B32" s="470"/>
      <c r="C32" s="470"/>
      <c r="E32" s="522"/>
      <c r="F32" s="519"/>
    </row>
    <row r="33" spans="1:7" ht="12" customHeight="1" x14ac:dyDescent="0.2">
      <c r="A33" s="1522" t="s">
        <v>497</v>
      </c>
      <c r="B33" s="1523"/>
      <c r="C33" s="1523"/>
      <c r="D33" s="1523"/>
      <c r="E33" s="1524"/>
      <c r="F33" s="519"/>
    </row>
    <row r="34" spans="1:7" ht="21" customHeight="1" x14ac:dyDescent="0.2">
      <c r="A34" s="1526" t="s">
        <v>498</v>
      </c>
      <c r="B34" s="1523"/>
      <c r="C34" s="1523"/>
      <c r="D34" s="1523"/>
      <c r="E34" s="1524"/>
      <c r="F34" s="519"/>
    </row>
    <row r="35" spans="1:7" ht="12.75" customHeight="1" x14ac:dyDescent="0.2">
      <c r="A35" s="521"/>
      <c r="B35" s="517"/>
      <c r="C35" s="517"/>
      <c r="D35" s="517"/>
      <c r="E35" s="561"/>
      <c r="F35" s="519"/>
    </row>
    <row r="36" spans="1:7" ht="12.75" x14ac:dyDescent="0.2">
      <c r="A36" s="521" t="s">
        <v>499</v>
      </c>
      <c r="B36" s="470"/>
      <c r="C36" s="470"/>
      <c r="E36" s="522"/>
      <c r="F36" s="519"/>
    </row>
    <row r="37" spans="1:7" ht="14.1" customHeight="1" x14ac:dyDescent="0.2">
      <c r="A37" s="1526" t="s">
        <v>500</v>
      </c>
      <c r="B37" s="1523"/>
      <c r="C37" s="1523"/>
      <c r="D37" s="1523"/>
      <c r="E37" s="1524"/>
      <c r="F37" s="519"/>
    </row>
    <row r="38" spans="1:7" ht="12.75" x14ac:dyDescent="0.2">
      <c r="A38" s="518" t="s">
        <v>501</v>
      </c>
      <c r="B38" s="470"/>
      <c r="C38" s="470"/>
      <c r="D38" s="505"/>
      <c r="E38" s="522"/>
      <c r="F38" s="519"/>
    </row>
    <row r="39" spans="1:7" ht="23.45" customHeight="1" x14ac:dyDescent="0.2">
      <c r="A39" s="1525" t="s">
        <v>502</v>
      </c>
      <c r="B39" s="1523"/>
      <c r="C39" s="1523"/>
      <c r="D39" s="1523"/>
      <c r="E39" s="1524"/>
      <c r="F39" s="519"/>
    </row>
    <row r="40" spans="1:7" ht="24" customHeight="1" x14ac:dyDescent="0.2">
      <c r="A40" s="1525" t="s">
        <v>503</v>
      </c>
      <c r="B40" s="1523"/>
      <c r="C40" s="1523"/>
      <c r="D40" s="1523"/>
      <c r="E40" s="1524"/>
      <c r="F40" s="519"/>
    </row>
    <row r="41" spans="1:7" ht="12.75" x14ac:dyDescent="0.2">
      <c r="A41" s="1525" t="s">
        <v>504</v>
      </c>
      <c r="B41" s="1523"/>
      <c r="C41" s="1523"/>
      <c r="D41" s="1523"/>
      <c r="E41" s="1524"/>
      <c r="F41" s="519"/>
    </row>
    <row r="42" spans="1:7" ht="12.95" customHeight="1" x14ac:dyDescent="0.2">
      <c r="A42" s="1525" t="s">
        <v>505</v>
      </c>
      <c r="B42" s="1523"/>
      <c r="C42" s="1523"/>
      <c r="D42" s="1523"/>
      <c r="E42" s="1524"/>
      <c r="F42" s="519"/>
    </row>
    <row r="43" spans="1:7" ht="12.95" customHeight="1" x14ac:dyDescent="0.2">
      <c r="A43" s="1525" t="s">
        <v>506</v>
      </c>
      <c r="B43" s="1523"/>
      <c r="C43" s="1523"/>
      <c r="D43" s="1523"/>
      <c r="E43" s="1524"/>
      <c r="F43" s="519"/>
    </row>
    <row r="44" spans="1:7" ht="12.6" customHeight="1" thickBot="1" x14ac:dyDescent="0.25">
      <c r="A44" s="1519"/>
      <c r="B44" s="1520"/>
      <c r="C44" s="1520"/>
      <c r="D44" s="1520"/>
      <c r="E44" s="1521"/>
      <c r="F44" s="519"/>
      <c r="G44" s="519"/>
    </row>
    <row r="45" spans="1:7" ht="12" thickTop="1" x14ac:dyDescent="0.2"/>
  </sheetData>
  <sheetProtection algorithmName="SHA-512" hashValue="2A373aGoVH4yYedNn17U1tp03f04W4wlF6WSoMwMEUwfPPro2eNJJJMPuL5pDtRtKVX80wV8Wf5qrXGHB38PyA==" saltValue="sEsb1yEfR9mzzh48lEmZTQ==" spinCount="100000" sheet="1" objects="1" scenarios="1"/>
  <mergeCells count="9">
    <mergeCell ref="A44:E44"/>
    <mergeCell ref="A33:E33"/>
    <mergeCell ref="A39:E39"/>
    <mergeCell ref="A40:E40"/>
    <mergeCell ref="A34:E34"/>
    <mergeCell ref="A37:E37"/>
    <mergeCell ref="A41:E41"/>
    <mergeCell ref="A42:E42"/>
    <mergeCell ref="A43:E43"/>
  </mergeCells>
  <phoneticPr fontId="0" type="noConversion"/>
  <printOptions horizontalCentered="1"/>
  <pageMargins left="0.90551181102362199" right="0.39370078740157499" top="0.511811023622047" bottom="0.98425196850393704" header="0.511811023622047" footer="0.511811023622047"/>
  <pageSetup scale="89" fitToHeight="4" orientation="portrait" r:id="rId1"/>
  <headerFooter alignWithMargins="0">
    <oddFooter>&amp;LHawai'i DOH
PFASs November 2024&amp;C&amp;8Page &amp;P of &amp;N&amp;R&amp;A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1"/>
  </sheetPr>
  <dimension ref="A1:G44"/>
  <sheetViews>
    <sheetView zoomScaleNormal="100" workbookViewId="0">
      <selection activeCell="A38" sqref="A38:E38"/>
    </sheetView>
  </sheetViews>
  <sheetFormatPr defaultColWidth="8.7109375" defaultRowHeight="11.25" x14ac:dyDescent="0.2"/>
  <cols>
    <col min="1" max="1" width="50.5703125" style="470" customWidth="1"/>
    <col min="2" max="3" width="15.7109375" style="505" customWidth="1"/>
    <col min="4" max="4" width="15.7109375" style="515" customWidth="1"/>
    <col min="5" max="5" width="15.7109375" style="470" customWidth="1"/>
    <col min="6" max="16384" width="8.7109375" style="470"/>
  </cols>
  <sheetData>
    <row r="1" spans="1:7" ht="30" customHeight="1" x14ac:dyDescent="0.25">
      <c r="A1" s="530" t="s">
        <v>507</v>
      </c>
      <c r="B1" s="531"/>
      <c r="C1" s="531"/>
      <c r="D1" s="472"/>
      <c r="E1" s="472"/>
      <c r="F1" s="519"/>
      <c r="G1" s="519"/>
    </row>
    <row r="2" spans="1:7" ht="15.75" customHeight="1" thickBot="1" x14ac:dyDescent="0.3">
      <c r="A2" s="530"/>
      <c r="B2" s="470"/>
      <c r="C2" s="470"/>
      <c r="D2" s="472"/>
      <c r="E2" s="472"/>
      <c r="F2" s="519"/>
      <c r="G2" s="519"/>
    </row>
    <row r="3" spans="1:7" ht="15.75" customHeight="1" thickTop="1" thickBot="1" x14ac:dyDescent="0.25">
      <c r="B3" s="532" t="s">
        <v>467</v>
      </c>
      <c r="C3" s="533"/>
      <c r="D3" s="534" t="s">
        <v>468</v>
      </c>
      <c r="E3" s="1269"/>
      <c r="F3" s="519"/>
      <c r="G3" s="519"/>
    </row>
    <row r="4" spans="1:7" ht="24" thickTop="1" thickBot="1" x14ac:dyDescent="0.25">
      <c r="A4" s="536" t="s">
        <v>469</v>
      </c>
      <c r="B4" s="537" t="s">
        <v>470</v>
      </c>
      <c r="C4" s="1270" t="s">
        <v>471</v>
      </c>
      <c r="D4" s="1271" t="s">
        <v>470</v>
      </c>
      <c r="E4" s="1270" t="s">
        <v>471</v>
      </c>
      <c r="F4" s="519"/>
      <c r="G4" s="519"/>
    </row>
    <row r="5" spans="1:7" ht="12" customHeight="1" x14ac:dyDescent="0.2">
      <c r="A5" s="541" t="s">
        <v>472</v>
      </c>
      <c r="B5" s="542">
        <v>3.7928104235024822</v>
      </c>
      <c r="C5" s="543">
        <v>50000</v>
      </c>
      <c r="D5" s="544">
        <v>3.7928104235024822</v>
      </c>
      <c r="E5" s="545">
        <v>50000</v>
      </c>
    </row>
    <row r="6" spans="1:7" ht="12" customHeight="1" x14ac:dyDescent="0.2">
      <c r="A6" s="546" t="s">
        <v>473</v>
      </c>
      <c r="B6" s="547">
        <v>0.10122807769451152</v>
      </c>
      <c r="C6" s="548">
        <v>0.58076923076923059</v>
      </c>
      <c r="D6" s="549">
        <v>0.10122807769451152</v>
      </c>
      <c r="E6" s="550">
        <v>0.58076923076923059</v>
      </c>
    </row>
    <row r="7" spans="1:7" ht="12" customHeight="1" x14ac:dyDescent="0.2">
      <c r="A7" s="546" t="s">
        <v>474</v>
      </c>
      <c r="B7" s="547">
        <v>2.5285298441059922E-2</v>
      </c>
      <c r="C7" s="548">
        <v>10</v>
      </c>
      <c r="D7" s="549">
        <v>2.5285298441059922E-2</v>
      </c>
      <c r="E7" s="550">
        <v>10</v>
      </c>
    </row>
    <row r="8" spans="1:7" ht="12" customHeight="1" x14ac:dyDescent="0.2">
      <c r="A8" s="546" t="s">
        <v>475</v>
      </c>
      <c r="B8" s="547">
        <v>7.853076965809733E-3</v>
      </c>
      <c r="C8" s="548">
        <v>3.8461538461538471E-2</v>
      </c>
      <c r="D8" s="549">
        <v>7.853076965809733E-3</v>
      </c>
      <c r="E8" s="550">
        <v>3.8461538461538471E-2</v>
      </c>
    </row>
    <row r="9" spans="1:7" ht="12" customHeight="1" x14ac:dyDescent="0.2">
      <c r="A9" s="546" t="s">
        <v>476</v>
      </c>
      <c r="B9" s="547">
        <v>2.5285443995509162E-2</v>
      </c>
      <c r="C9" s="548">
        <v>31</v>
      </c>
      <c r="D9" s="549">
        <v>2.5285443995509162E-2</v>
      </c>
      <c r="E9" s="550">
        <v>1.1000000000000001</v>
      </c>
    </row>
    <row r="10" spans="1:7" ht="12" customHeight="1" x14ac:dyDescent="0.2">
      <c r="A10" s="546" t="s">
        <v>477</v>
      </c>
      <c r="B10" s="547">
        <v>0.1264273591114293</v>
      </c>
      <c r="C10" s="548">
        <v>3.8461538461538471E-2</v>
      </c>
      <c r="D10" s="549">
        <v>0.1264273591114293</v>
      </c>
      <c r="E10" s="550">
        <v>3.8461538461538471E-2</v>
      </c>
    </row>
    <row r="11" spans="1:7" ht="12" customHeight="1" x14ac:dyDescent="0.2">
      <c r="A11" s="546" t="s">
        <v>200</v>
      </c>
      <c r="B11" s="547">
        <v>2.1220789999999998</v>
      </c>
      <c r="C11" s="548">
        <v>100</v>
      </c>
      <c r="D11" s="549">
        <v>2.1220789999999998</v>
      </c>
      <c r="E11" s="550">
        <v>100</v>
      </c>
    </row>
    <row r="12" spans="1:7" ht="12" customHeight="1" x14ac:dyDescent="0.2">
      <c r="A12" s="546" t="s">
        <v>478</v>
      </c>
      <c r="B12" s="547">
        <v>5.1333576759530803E-4</v>
      </c>
      <c r="C12" s="548">
        <v>0.51319648093841652</v>
      </c>
      <c r="D12" s="549">
        <v>5.1333576759530803E-4</v>
      </c>
      <c r="E12" s="550">
        <v>0.51319648093841652</v>
      </c>
    </row>
    <row r="13" spans="1:7" ht="12" customHeight="1" x14ac:dyDescent="0.2">
      <c r="A13" s="546" t="s">
        <v>479</v>
      </c>
      <c r="B13" s="547">
        <v>48.041582792451379</v>
      </c>
      <c r="C13" s="548">
        <v>4200</v>
      </c>
      <c r="D13" s="549">
        <v>12.534303680999999</v>
      </c>
      <c r="E13" s="550">
        <v>830</v>
      </c>
    </row>
    <row r="14" spans="1:7" ht="12" customHeight="1" x14ac:dyDescent="0.2">
      <c r="A14" s="546" t="s">
        <v>480</v>
      </c>
      <c r="B14" s="547">
        <v>2.4389233605352306E-2</v>
      </c>
      <c r="C14" s="548">
        <v>1.5384615384615383</v>
      </c>
      <c r="D14" s="549">
        <v>2.4389233605352306E-2</v>
      </c>
      <c r="E14" s="550">
        <v>1.5384615384615383</v>
      </c>
    </row>
    <row r="15" spans="1:7" ht="12" customHeight="1" x14ac:dyDescent="0.2">
      <c r="A15" s="546" t="s">
        <v>481</v>
      </c>
      <c r="B15" s="547">
        <v>6.3212874576182552</v>
      </c>
      <c r="C15" s="548">
        <v>48000</v>
      </c>
      <c r="D15" s="549">
        <v>6.3212874576182552</v>
      </c>
      <c r="E15" s="550">
        <v>6300</v>
      </c>
    </row>
    <row r="16" spans="1:7" ht="12" customHeight="1" x14ac:dyDescent="0.2">
      <c r="A16" s="546" t="s">
        <v>482</v>
      </c>
      <c r="B16" s="547">
        <v>2.6687692407481776E-2</v>
      </c>
      <c r="C16" s="548">
        <v>7.6923076923076941E-2</v>
      </c>
      <c r="D16" s="549">
        <v>2.6687692407481776E-2</v>
      </c>
      <c r="E16" s="550">
        <v>7.6923076923076941E-2</v>
      </c>
    </row>
    <row r="17" spans="1:7" ht="12" customHeight="1" x14ac:dyDescent="0.2">
      <c r="A17" s="546" t="s">
        <v>483</v>
      </c>
      <c r="B17" s="547">
        <v>3.7926970838246823E-2</v>
      </c>
      <c r="C17" s="548">
        <v>119</v>
      </c>
      <c r="D17" s="549">
        <v>3.7926970838246823E-2</v>
      </c>
      <c r="E17" s="550">
        <v>8.3000000000000007</v>
      </c>
    </row>
    <row r="18" spans="1:7" ht="12" customHeight="1" x14ac:dyDescent="0.2">
      <c r="A18" s="546" t="s">
        <v>484</v>
      </c>
      <c r="B18" s="547">
        <v>3.792802661159253E-2</v>
      </c>
      <c r="C18" s="548">
        <v>10</v>
      </c>
      <c r="D18" s="549">
        <v>3.792802661159253E-2</v>
      </c>
      <c r="E18" s="550">
        <v>8</v>
      </c>
    </row>
    <row r="19" spans="1:7" ht="12" customHeight="1" x14ac:dyDescent="0.2">
      <c r="A19" s="546" t="s">
        <v>485</v>
      </c>
      <c r="B19" s="547">
        <v>2.5285429294595263E-2</v>
      </c>
      <c r="C19" s="548">
        <v>10</v>
      </c>
      <c r="D19" s="549">
        <v>2.5285429294595263E-2</v>
      </c>
      <c r="E19" s="550">
        <v>10</v>
      </c>
    </row>
    <row r="20" spans="1:7" ht="12" customHeight="1" x14ac:dyDescent="0.2">
      <c r="A20" s="546" t="s">
        <v>486</v>
      </c>
      <c r="B20" s="547">
        <v>6.321367955571465E-2</v>
      </c>
      <c r="C20" s="548">
        <v>440</v>
      </c>
      <c r="D20" s="549">
        <v>6.321367955571465E-2</v>
      </c>
      <c r="E20" s="550">
        <v>10</v>
      </c>
    </row>
    <row r="21" spans="1:7" ht="12" customHeight="1" x14ac:dyDescent="0.2">
      <c r="A21" s="546" t="s">
        <v>487</v>
      </c>
      <c r="B21" s="547">
        <v>8.4705728342417075E-2</v>
      </c>
      <c r="C21" s="548">
        <v>640</v>
      </c>
      <c r="D21" s="549">
        <v>8.4705728342417075E-2</v>
      </c>
      <c r="E21" s="550">
        <v>20</v>
      </c>
    </row>
    <row r="22" spans="1:7" ht="12" customHeight="1" x14ac:dyDescent="0.2">
      <c r="A22" s="546" t="s">
        <v>488</v>
      </c>
      <c r="B22" s="547">
        <v>8.4706330604657626E-2</v>
      </c>
      <c r="C22" s="548">
        <v>2.5769230769230766E-2</v>
      </c>
      <c r="D22" s="549">
        <v>8.4706330604657626E-2</v>
      </c>
      <c r="E22" s="550">
        <v>2.5769230769230766E-2</v>
      </c>
    </row>
    <row r="23" spans="1:7" s="551" customFormat="1" ht="12" customHeight="1" x14ac:dyDescent="0.2">
      <c r="A23" s="546" t="s">
        <v>489</v>
      </c>
      <c r="B23" s="547">
        <v>0.84706330604657598</v>
      </c>
      <c r="C23" s="548">
        <v>0.25769230769230772</v>
      </c>
      <c r="D23" s="549">
        <v>0.84706330604657598</v>
      </c>
      <c r="E23" s="550">
        <v>0.25769230769230772</v>
      </c>
    </row>
    <row r="24" spans="1:7" s="551" customFormat="1" ht="12" customHeight="1" x14ac:dyDescent="0.2">
      <c r="A24" s="546" t="s">
        <v>490</v>
      </c>
      <c r="B24" s="547">
        <v>5.0642769872477544E-3</v>
      </c>
      <c r="C24" s="548">
        <v>4.6153846153846156E-2</v>
      </c>
      <c r="D24" s="549">
        <v>5.0642769872477544E-3</v>
      </c>
      <c r="E24" s="550">
        <v>4.6153846153846156E-2</v>
      </c>
    </row>
    <row r="25" spans="1:7" s="551" customFormat="1" ht="12" customHeight="1" x14ac:dyDescent="0.2">
      <c r="A25" s="546" t="s">
        <v>491</v>
      </c>
      <c r="B25" s="547">
        <v>6.7587200420000004E-4</v>
      </c>
      <c r="C25" s="548">
        <v>0.01</v>
      </c>
      <c r="D25" s="549">
        <v>6.7587200420000004E-4</v>
      </c>
      <c r="E25" s="550">
        <v>0.01</v>
      </c>
    </row>
    <row r="26" spans="1:7" s="551" customFormat="1" ht="12" customHeight="1" x14ac:dyDescent="0.2">
      <c r="A26" s="546" t="s">
        <v>492</v>
      </c>
      <c r="B26" s="547">
        <v>4.9305812995733218</v>
      </c>
      <c r="C26" s="548">
        <v>10800</v>
      </c>
      <c r="D26" s="549">
        <v>4.9305812995733218</v>
      </c>
      <c r="E26" s="550">
        <v>260</v>
      </c>
    </row>
    <row r="27" spans="1:7" s="551" customFormat="1" ht="12" customHeight="1" x14ac:dyDescent="0.2">
      <c r="A27" s="546" t="s">
        <v>493</v>
      </c>
      <c r="B27" s="547">
        <v>3.7928207733428785</v>
      </c>
      <c r="C27" s="548">
        <v>10000</v>
      </c>
      <c r="D27" s="549">
        <v>3.7928207733428785</v>
      </c>
      <c r="E27" s="550">
        <v>10000</v>
      </c>
    </row>
    <row r="28" spans="1:7" s="551" customFormat="1" ht="12" customHeight="1" x14ac:dyDescent="0.2">
      <c r="A28" s="546" t="s">
        <v>494</v>
      </c>
      <c r="B28" s="547">
        <v>2.6228000080691003</v>
      </c>
      <c r="C28" s="548">
        <v>5</v>
      </c>
      <c r="D28" s="549">
        <v>2.6228000080691003</v>
      </c>
      <c r="E28" s="550">
        <v>5</v>
      </c>
    </row>
    <row r="29" spans="1:7" s="551" customFormat="1" ht="12" customHeight="1" x14ac:dyDescent="0.2">
      <c r="A29" s="546" t="s">
        <v>495</v>
      </c>
      <c r="B29" s="547">
        <v>1.5731692362576515</v>
      </c>
      <c r="C29" s="548">
        <v>4.2307692307692308</v>
      </c>
      <c r="D29" s="549">
        <v>1.5731692362576515</v>
      </c>
      <c r="E29" s="550">
        <v>4.2307692307692308</v>
      </c>
    </row>
    <row r="30" spans="1:7" s="551" customFormat="1" ht="12" customHeight="1" thickBot="1" x14ac:dyDescent="0.25">
      <c r="A30" s="552" t="s">
        <v>496</v>
      </c>
      <c r="B30" s="553">
        <v>6.3213679555714641</v>
      </c>
      <c r="C30" s="554">
        <v>1.9230769230769231</v>
      </c>
      <c r="D30" s="555">
        <v>6.3213679555714641</v>
      </c>
      <c r="E30" s="556">
        <v>1.9230769230769231</v>
      </c>
    </row>
    <row r="31" spans="1:7" ht="25.5" customHeight="1" thickTop="1" x14ac:dyDescent="0.2">
      <c r="A31" s="1522" t="s">
        <v>508</v>
      </c>
      <c r="B31" s="1523"/>
      <c r="C31" s="1523"/>
      <c r="D31" s="1523"/>
      <c r="E31" s="1524"/>
      <c r="F31" s="519"/>
      <c r="G31" s="519"/>
    </row>
    <row r="32" spans="1:7" ht="12.95" customHeight="1" x14ac:dyDescent="0.2">
      <c r="A32" s="1522" t="s">
        <v>509</v>
      </c>
      <c r="B32" s="1523"/>
      <c r="C32" s="1523"/>
      <c r="D32" s="1523"/>
      <c r="E32" s="1524"/>
      <c r="F32" s="519"/>
      <c r="G32" s="519"/>
    </row>
    <row r="33" spans="1:7" ht="12.75" x14ac:dyDescent="0.2">
      <c r="A33" s="521"/>
      <c r="B33" s="470"/>
      <c r="C33" s="470"/>
      <c r="E33" s="522"/>
      <c r="F33" s="519"/>
      <c r="G33" s="519"/>
    </row>
    <row r="34" spans="1:7" ht="12.75" x14ac:dyDescent="0.2">
      <c r="A34" s="521" t="s">
        <v>510</v>
      </c>
      <c r="B34" s="470"/>
      <c r="C34" s="470"/>
      <c r="E34" s="522"/>
      <c r="F34" s="519"/>
      <c r="G34" s="519"/>
    </row>
    <row r="35" spans="1:7" ht="12.95" customHeight="1" x14ac:dyDescent="0.2">
      <c r="A35" s="1522" t="s">
        <v>511</v>
      </c>
      <c r="B35" s="1523"/>
      <c r="C35" s="1523"/>
      <c r="D35" s="1523"/>
      <c r="E35" s="1524"/>
      <c r="F35" s="519"/>
      <c r="G35" s="519"/>
    </row>
    <row r="36" spans="1:7" ht="12.75" x14ac:dyDescent="0.2">
      <c r="A36" s="518" t="s">
        <v>501</v>
      </c>
      <c r="B36" s="470"/>
      <c r="C36" s="470"/>
      <c r="D36" s="505"/>
      <c r="E36" s="522"/>
      <c r="F36" s="519"/>
      <c r="G36" s="519"/>
    </row>
    <row r="37" spans="1:7" ht="24.95" customHeight="1" x14ac:dyDescent="0.2">
      <c r="A37" s="1525" t="s">
        <v>502</v>
      </c>
      <c r="B37" s="1523"/>
      <c r="C37" s="1523"/>
      <c r="D37" s="1523"/>
      <c r="E37" s="1524"/>
      <c r="F37" s="519"/>
    </row>
    <row r="38" spans="1:7" ht="21.6" customHeight="1" x14ac:dyDescent="0.2">
      <c r="A38" s="1525" t="s">
        <v>512</v>
      </c>
      <c r="B38" s="1523"/>
      <c r="C38" s="1523"/>
      <c r="D38" s="1523"/>
      <c r="E38" s="1524"/>
      <c r="F38" s="519"/>
    </row>
    <row r="39" spans="1:7" ht="12.6" customHeight="1" x14ac:dyDescent="0.2">
      <c r="A39" s="1525" t="s">
        <v>504</v>
      </c>
      <c r="B39" s="1523"/>
      <c r="C39" s="1523"/>
      <c r="D39" s="1523"/>
      <c r="E39" s="1524"/>
      <c r="F39" s="519"/>
      <c r="G39" s="519"/>
    </row>
    <row r="40" spans="1:7" ht="12.6" customHeight="1" x14ac:dyDescent="0.2">
      <c r="A40" s="1525" t="s">
        <v>513</v>
      </c>
      <c r="B40" s="1523"/>
      <c r="C40" s="1523"/>
      <c r="D40" s="1523"/>
      <c r="E40" s="1524"/>
      <c r="F40" s="519"/>
      <c r="G40" s="519"/>
    </row>
    <row r="41" spans="1:7" ht="12.6" customHeight="1" x14ac:dyDescent="0.2">
      <c r="A41" s="1525" t="s">
        <v>514</v>
      </c>
      <c r="B41" s="1523"/>
      <c r="C41" s="1523"/>
      <c r="D41" s="1523"/>
      <c r="E41" s="1524"/>
      <c r="F41" s="519"/>
      <c r="G41" s="519"/>
    </row>
    <row r="42" spans="1:7" ht="24.95" customHeight="1" x14ac:dyDescent="0.2">
      <c r="A42" s="1525" t="s">
        <v>515</v>
      </c>
      <c r="B42" s="1523"/>
      <c r="C42" s="1523"/>
      <c r="D42" s="1523"/>
      <c r="E42" s="1524"/>
      <c r="F42" s="519"/>
      <c r="G42" s="519"/>
    </row>
    <row r="43" spans="1:7" ht="12.6" customHeight="1" thickBot="1" x14ac:dyDescent="0.25">
      <c r="A43" s="1519"/>
      <c r="B43" s="1520"/>
      <c r="C43" s="1520"/>
      <c r="D43" s="1520"/>
      <c r="E43" s="1521"/>
      <c r="F43" s="519"/>
      <c r="G43" s="519"/>
    </row>
    <row r="44" spans="1:7" ht="12" thickTop="1" x14ac:dyDescent="0.2"/>
  </sheetData>
  <sheetProtection algorithmName="SHA-512" hashValue="2KO7DjBj09Ld06PGr+DaIUNcFl/Wm2jBB3e+K56hMdpoAKtueMvRDDLWcy5zPzhcfUReWKfxaPG8L8vEst90HA==" saltValue="lDRwRpNzJHsnb95AD/n5XQ==" spinCount="100000" sheet="1" objects="1" scenarios="1"/>
  <mergeCells count="10">
    <mergeCell ref="A43:E43"/>
    <mergeCell ref="A31:E31"/>
    <mergeCell ref="A37:E37"/>
    <mergeCell ref="A38:E38"/>
    <mergeCell ref="A32:E32"/>
    <mergeCell ref="A35:E35"/>
    <mergeCell ref="A39:E39"/>
    <mergeCell ref="A40:E40"/>
    <mergeCell ref="A41:E41"/>
    <mergeCell ref="A42:E42"/>
  </mergeCells>
  <phoneticPr fontId="0" type="noConversion"/>
  <printOptions horizontalCentered="1"/>
  <pageMargins left="0.90551181102362199" right="0.39370078740157499" top="0.511811023622047" bottom="0.98425196850393704" header="0.511811023622047" footer="0.511811023622047"/>
  <pageSetup scale="89" fitToHeight="4" orientation="portrait" r:id="rId1"/>
  <headerFooter alignWithMargins="0">
    <oddFooter>&amp;LHawai'i DOH
PFASs November 2024&amp;C&amp;8Page &amp;P of &amp;N&amp;R&amp;A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1"/>
  </sheetPr>
  <dimension ref="A1:G34"/>
  <sheetViews>
    <sheetView zoomScaleNormal="100" workbookViewId="0">
      <selection activeCell="J25" sqref="J25"/>
    </sheetView>
  </sheetViews>
  <sheetFormatPr defaultColWidth="8.7109375" defaultRowHeight="11.25" x14ac:dyDescent="0.2"/>
  <cols>
    <col min="1" max="1" width="50.5703125" style="470" customWidth="1"/>
    <col min="2" max="3" width="4.7109375" style="470" customWidth="1"/>
    <col min="4" max="7" width="13.7109375" style="505" customWidth="1"/>
    <col min="8" max="16384" width="8.7109375" style="470"/>
  </cols>
  <sheetData>
    <row r="1" spans="1:7" ht="50.25" x14ac:dyDescent="0.25">
      <c r="A1" s="471" t="s">
        <v>516</v>
      </c>
      <c r="B1" s="471"/>
      <c r="C1" s="471"/>
      <c r="D1" s="472"/>
      <c r="E1" s="472"/>
      <c r="F1" s="472"/>
      <c r="G1" s="472"/>
    </row>
    <row r="2" spans="1:7" ht="12" customHeight="1" thickBot="1" x14ac:dyDescent="0.25"/>
    <row r="3" spans="1:7" ht="30" customHeight="1" thickTop="1" thickBot="1" x14ac:dyDescent="0.25">
      <c r="A3" s="1280"/>
      <c r="B3" s="1281"/>
      <c r="C3" s="1281"/>
      <c r="D3" s="1282" t="s">
        <v>517</v>
      </c>
      <c r="E3" s="1283"/>
      <c r="F3" s="1284" t="s">
        <v>518</v>
      </c>
      <c r="G3" s="1285"/>
    </row>
    <row r="4" spans="1:7" ht="39" thickTop="1" thickBot="1" x14ac:dyDescent="0.25">
      <c r="A4" s="1286" t="s">
        <v>469</v>
      </c>
      <c r="B4" s="1527" t="s">
        <v>519</v>
      </c>
      <c r="C4" s="1528"/>
      <c r="D4" s="1287" t="s">
        <v>520</v>
      </c>
      <c r="E4" s="1288" t="s">
        <v>521</v>
      </c>
      <c r="F4" s="1287" t="s">
        <v>520</v>
      </c>
      <c r="G4" s="1289" t="s">
        <v>521</v>
      </c>
    </row>
    <row r="5" spans="1:7" ht="12" customHeight="1" x14ac:dyDescent="0.2">
      <c r="A5" s="1290" t="s">
        <v>472</v>
      </c>
      <c r="B5" s="1291" t="s">
        <v>895</v>
      </c>
      <c r="C5" s="1292" t="s">
        <v>875</v>
      </c>
      <c r="D5" s="605" t="s">
        <v>307</v>
      </c>
      <c r="E5" s="1293" t="s">
        <v>307</v>
      </c>
      <c r="F5" s="1294" t="s">
        <v>307</v>
      </c>
      <c r="G5" s="607" t="s">
        <v>307</v>
      </c>
    </row>
    <row r="6" spans="1:7" ht="12" customHeight="1" x14ac:dyDescent="0.2">
      <c r="A6" s="1295" t="s">
        <v>473</v>
      </c>
      <c r="B6" s="1296" t="s">
        <v>895</v>
      </c>
      <c r="C6" s="1297" t="s">
        <v>875</v>
      </c>
      <c r="D6" s="613" t="s">
        <v>307</v>
      </c>
      <c r="E6" s="1298" t="s">
        <v>307</v>
      </c>
      <c r="F6" s="1299" t="s">
        <v>307</v>
      </c>
      <c r="G6" s="615" t="s">
        <v>307</v>
      </c>
    </row>
    <row r="7" spans="1:7" ht="12" customHeight="1" x14ac:dyDescent="0.2">
      <c r="A7" s="1295" t="s">
        <v>474</v>
      </c>
      <c r="B7" s="1296" t="s">
        <v>895</v>
      </c>
      <c r="C7" s="1297" t="s">
        <v>875</v>
      </c>
      <c r="D7" s="613" t="s">
        <v>307</v>
      </c>
      <c r="E7" s="1298" t="s">
        <v>307</v>
      </c>
      <c r="F7" s="1299" t="s">
        <v>307</v>
      </c>
      <c r="G7" s="615" t="s">
        <v>307</v>
      </c>
    </row>
    <row r="8" spans="1:7" ht="12" customHeight="1" x14ac:dyDescent="0.2">
      <c r="A8" s="1295" t="s">
        <v>475</v>
      </c>
      <c r="B8" s="1296" t="s">
        <v>895</v>
      </c>
      <c r="C8" s="1297" t="s">
        <v>875</v>
      </c>
      <c r="D8" s="613" t="s">
        <v>307</v>
      </c>
      <c r="E8" s="1298" t="s">
        <v>307</v>
      </c>
      <c r="F8" s="1299" t="s">
        <v>307</v>
      </c>
      <c r="G8" s="615" t="s">
        <v>307</v>
      </c>
    </row>
    <row r="9" spans="1:7" ht="12" customHeight="1" x14ac:dyDescent="0.2">
      <c r="A9" s="1295" t="s">
        <v>476</v>
      </c>
      <c r="B9" s="1296" t="s">
        <v>895</v>
      </c>
      <c r="C9" s="1297" t="s">
        <v>875</v>
      </c>
      <c r="D9" s="613" t="s">
        <v>307</v>
      </c>
      <c r="E9" s="1298" t="s">
        <v>307</v>
      </c>
      <c r="F9" s="1299" t="s">
        <v>307</v>
      </c>
      <c r="G9" s="615" t="s">
        <v>307</v>
      </c>
    </row>
    <row r="10" spans="1:7" ht="12" customHeight="1" x14ac:dyDescent="0.2">
      <c r="A10" s="1295" t="s">
        <v>477</v>
      </c>
      <c r="B10" s="1296" t="s">
        <v>895</v>
      </c>
      <c r="C10" s="1297" t="s">
        <v>875</v>
      </c>
      <c r="D10" s="613" t="s">
        <v>307</v>
      </c>
      <c r="E10" s="1298" t="s">
        <v>307</v>
      </c>
      <c r="F10" s="1299" t="s">
        <v>307</v>
      </c>
      <c r="G10" s="615" t="s">
        <v>307</v>
      </c>
    </row>
    <row r="11" spans="1:7" ht="12" customHeight="1" x14ac:dyDescent="0.2">
      <c r="A11" s="1295" t="s">
        <v>200</v>
      </c>
      <c r="B11" s="1296" t="s">
        <v>902</v>
      </c>
      <c r="C11" s="1297" t="s">
        <v>903</v>
      </c>
      <c r="D11" s="613">
        <v>65.7</v>
      </c>
      <c r="E11" s="1298">
        <v>275.94000000000005</v>
      </c>
      <c r="F11" s="1299">
        <v>131400</v>
      </c>
      <c r="G11" s="615">
        <v>1103760.0000000002</v>
      </c>
    </row>
    <row r="12" spans="1:7" ht="12" customHeight="1" x14ac:dyDescent="0.2">
      <c r="A12" s="1295" t="s">
        <v>478</v>
      </c>
      <c r="B12" s="1296" t="s">
        <v>902</v>
      </c>
      <c r="C12" s="1297" t="s">
        <v>903</v>
      </c>
      <c r="D12" s="613">
        <v>1.825</v>
      </c>
      <c r="E12" s="1298">
        <v>7.6650000000000018</v>
      </c>
      <c r="F12" s="1299">
        <v>3650</v>
      </c>
      <c r="G12" s="615">
        <v>30660.000000000007</v>
      </c>
    </row>
    <row r="13" spans="1:7" ht="12" customHeight="1" x14ac:dyDescent="0.2">
      <c r="A13" s="1295" t="s">
        <v>479</v>
      </c>
      <c r="B13" s="1296" t="s">
        <v>906</v>
      </c>
      <c r="C13" s="1297" t="s">
        <v>903</v>
      </c>
      <c r="D13" s="613">
        <v>10.428571428571429</v>
      </c>
      <c r="E13" s="1298">
        <v>43.800000000000004</v>
      </c>
      <c r="F13" s="1299" t="s">
        <v>307</v>
      </c>
      <c r="G13" s="615" t="s">
        <v>307</v>
      </c>
    </row>
    <row r="14" spans="1:7" ht="12" customHeight="1" x14ac:dyDescent="0.2">
      <c r="A14" s="1295" t="s">
        <v>480</v>
      </c>
      <c r="B14" s="1296" t="s">
        <v>906</v>
      </c>
      <c r="C14" s="1297" t="s">
        <v>903</v>
      </c>
      <c r="D14" s="613">
        <v>1.46</v>
      </c>
      <c r="E14" s="1298">
        <v>6.1320000000000014</v>
      </c>
      <c r="F14" s="1299" t="s">
        <v>307</v>
      </c>
      <c r="G14" s="615" t="s">
        <v>307</v>
      </c>
    </row>
    <row r="15" spans="1:7" ht="12" customHeight="1" x14ac:dyDescent="0.2">
      <c r="A15" s="1295" t="s">
        <v>481</v>
      </c>
      <c r="B15" s="1296" t="s">
        <v>906</v>
      </c>
      <c r="C15" s="1297" t="s">
        <v>903</v>
      </c>
      <c r="D15" s="613">
        <v>1.825</v>
      </c>
      <c r="E15" s="1298">
        <v>7.6650000000000018</v>
      </c>
      <c r="F15" s="1299" t="s">
        <v>307</v>
      </c>
      <c r="G15" s="615" t="s">
        <v>307</v>
      </c>
    </row>
    <row r="16" spans="1:7" ht="12" customHeight="1" x14ac:dyDescent="0.2">
      <c r="A16" s="1295" t="s">
        <v>482</v>
      </c>
      <c r="B16" s="1296" t="s">
        <v>895</v>
      </c>
      <c r="C16" s="1297" t="s">
        <v>875</v>
      </c>
      <c r="D16" s="613" t="s">
        <v>307</v>
      </c>
      <c r="E16" s="1298" t="s">
        <v>307</v>
      </c>
      <c r="F16" s="1299" t="s">
        <v>307</v>
      </c>
      <c r="G16" s="615" t="s">
        <v>307</v>
      </c>
    </row>
    <row r="17" spans="1:7" ht="12" customHeight="1" x14ac:dyDescent="0.2">
      <c r="A17" s="1295" t="s">
        <v>483</v>
      </c>
      <c r="B17" s="1296" t="s">
        <v>895</v>
      </c>
      <c r="C17" s="1297" t="s">
        <v>875</v>
      </c>
      <c r="D17" s="613" t="s">
        <v>307</v>
      </c>
      <c r="E17" s="1298" t="s">
        <v>307</v>
      </c>
      <c r="F17" s="1299" t="s">
        <v>307</v>
      </c>
      <c r="G17" s="615" t="s">
        <v>307</v>
      </c>
    </row>
    <row r="18" spans="1:7" ht="12" customHeight="1" x14ac:dyDescent="0.2">
      <c r="A18" s="1295" t="s">
        <v>484</v>
      </c>
      <c r="B18" s="1296" t="s">
        <v>895</v>
      </c>
      <c r="C18" s="1297" t="s">
        <v>875</v>
      </c>
      <c r="D18" s="613" t="s">
        <v>307</v>
      </c>
      <c r="E18" s="1298" t="s">
        <v>307</v>
      </c>
      <c r="F18" s="1299" t="s">
        <v>307</v>
      </c>
      <c r="G18" s="615" t="s">
        <v>307</v>
      </c>
    </row>
    <row r="19" spans="1:7" ht="12" customHeight="1" x14ac:dyDescent="0.2">
      <c r="A19" s="1295" t="s">
        <v>485</v>
      </c>
      <c r="B19" s="1296" t="s">
        <v>895</v>
      </c>
      <c r="C19" s="1297" t="s">
        <v>875</v>
      </c>
      <c r="D19" s="613" t="s">
        <v>307</v>
      </c>
      <c r="E19" s="1298" t="s">
        <v>307</v>
      </c>
      <c r="F19" s="1299" t="s">
        <v>307</v>
      </c>
      <c r="G19" s="615" t="s">
        <v>307</v>
      </c>
    </row>
    <row r="20" spans="1:7" ht="12" customHeight="1" x14ac:dyDescent="0.2">
      <c r="A20" s="1295" t="s">
        <v>486</v>
      </c>
      <c r="B20" s="1296" t="s">
        <v>895</v>
      </c>
      <c r="C20" s="1297" t="s">
        <v>875</v>
      </c>
      <c r="D20" s="613" t="s">
        <v>307</v>
      </c>
      <c r="E20" s="1298" t="s">
        <v>307</v>
      </c>
      <c r="F20" s="1299" t="s">
        <v>307</v>
      </c>
      <c r="G20" s="615" t="s">
        <v>307</v>
      </c>
    </row>
    <row r="21" spans="1:7" ht="12" customHeight="1" x14ac:dyDescent="0.2">
      <c r="A21" s="1295" t="s">
        <v>487</v>
      </c>
      <c r="B21" s="1296" t="s">
        <v>895</v>
      </c>
      <c r="C21" s="1297" t="s">
        <v>875</v>
      </c>
      <c r="D21" s="613" t="s">
        <v>307</v>
      </c>
      <c r="E21" s="1298" t="s">
        <v>307</v>
      </c>
      <c r="F21" s="1299" t="s">
        <v>307</v>
      </c>
      <c r="G21" s="615" t="s">
        <v>307</v>
      </c>
    </row>
    <row r="22" spans="1:7" ht="12" customHeight="1" x14ac:dyDescent="0.2">
      <c r="A22" s="1295" t="s">
        <v>488</v>
      </c>
      <c r="B22" s="1296" t="s">
        <v>895</v>
      </c>
      <c r="C22" s="1297" t="s">
        <v>875</v>
      </c>
      <c r="D22" s="613" t="s">
        <v>307</v>
      </c>
      <c r="E22" s="1298" t="s">
        <v>307</v>
      </c>
      <c r="F22" s="1299" t="s">
        <v>307</v>
      </c>
      <c r="G22" s="615" t="s">
        <v>307</v>
      </c>
    </row>
    <row r="23" spans="1:7" s="1300" customFormat="1" ht="12" customHeight="1" x14ac:dyDescent="0.2">
      <c r="A23" s="1295" t="s">
        <v>489</v>
      </c>
      <c r="B23" s="1296" t="s">
        <v>895</v>
      </c>
      <c r="C23" s="1297" t="s">
        <v>875</v>
      </c>
      <c r="D23" s="613" t="s">
        <v>307</v>
      </c>
      <c r="E23" s="1298" t="s">
        <v>307</v>
      </c>
      <c r="F23" s="1299" t="s">
        <v>307</v>
      </c>
      <c r="G23" s="615" t="s">
        <v>307</v>
      </c>
    </row>
    <row r="24" spans="1:7" s="1300" customFormat="1" ht="12" customHeight="1" x14ac:dyDescent="0.2">
      <c r="A24" s="1295" t="s">
        <v>490</v>
      </c>
      <c r="B24" s="1296" t="s">
        <v>895</v>
      </c>
      <c r="C24" s="1297" t="s">
        <v>875</v>
      </c>
      <c r="D24" s="613" t="s">
        <v>307</v>
      </c>
      <c r="E24" s="1298" t="s">
        <v>307</v>
      </c>
      <c r="F24" s="1299" t="s">
        <v>307</v>
      </c>
      <c r="G24" s="615" t="s">
        <v>307</v>
      </c>
    </row>
    <row r="25" spans="1:7" s="1300" customFormat="1" ht="12" customHeight="1" x14ac:dyDescent="0.2">
      <c r="A25" s="1301" t="s">
        <v>491</v>
      </c>
      <c r="B25" s="1296" t="s">
        <v>895</v>
      </c>
      <c r="C25" s="1297" t="s">
        <v>875</v>
      </c>
      <c r="D25" s="613" t="s">
        <v>307</v>
      </c>
      <c r="E25" s="1298" t="s">
        <v>307</v>
      </c>
      <c r="F25" s="1299" t="s">
        <v>307</v>
      </c>
      <c r="G25" s="615" t="s">
        <v>307</v>
      </c>
    </row>
    <row r="26" spans="1:7" s="1300" customFormat="1" ht="12" customHeight="1" x14ac:dyDescent="0.2">
      <c r="A26" s="1301" t="s">
        <v>492</v>
      </c>
      <c r="B26" s="1296" t="s">
        <v>895</v>
      </c>
      <c r="C26" s="1297" t="s">
        <v>875</v>
      </c>
      <c r="D26" s="613" t="s">
        <v>307</v>
      </c>
      <c r="E26" s="1298" t="s">
        <v>307</v>
      </c>
      <c r="F26" s="1299" t="s">
        <v>307</v>
      </c>
      <c r="G26" s="615" t="s">
        <v>307</v>
      </c>
    </row>
    <row r="27" spans="1:7" s="1300" customFormat="1" ht="12" customHeight="1" x14ac:dyDescent="0.2">
      <c r="A27" s="1301" t="s">
        <v>493</v>
      </c>
      <c r="B27" s="1296" t="s">
        <v>895</v>
      </c>
      <c r="C27" s="1297" t="s">
        <v>875</v>
      </c>
      <c r="D27" s="613" t="s">
        <v>307</v>
      </c>
      <c r="E27" s="1298" t="s">
        <v>307</v>
      </c>
      <c r="F27" s="1299" t="s">
        <v>307</v>
      </c>
      <c r="G27" s="615" t="s">
        <v>307</v>
      </c>
    </row>
    <row r="28" spans="1:7" s="1300" customFormat="1" ht="12" customHeight="1" x14ac:dyDescent="0.2">
      <c r="A28" s="1301" t="s">
        <v>494</v>
      </c>
      <c r="B28" s="1296" t="s">
        <v>906</v>
      </c>
      <c r="C28" s="1297" t="s">
        <v>903</v>
      </c>
      <c r="D28" s="613">
        <v>4.7450000000000001</v>
      </c>
      <c r="E28" s="1298">
        <v>19.929000000000002</v>
      </c>
      <c r="F28" s="1299" t="s">
        <v>307</v>
      </c>
      <c r="G28" s="615" t="s">
        <v>307</v>
      </c>
    </row>
    <row r="29" spans="1:7" s="1300" customFormat="1" ht="12" customHeight="1" x14ac:dyDescent="0.2">
      <c r="A29" s="1301" t="s">
        <v>495</v>
      </c>
      <c r="B29" s="1296" t="s">
        <v>895</v>
      </c>
      <c r="C29" s="1297" t="s">
        <v>875</v>
      </c>
      <c r="D29" s="613" t="s">
        <v>307</v>
      </c>
      <c r="E29" s="1298" t="s">
        <v>307</v>
      </c>
      <c r="F29" s="1299" t="s">
        <v>307</v>
      </c>
      <c r="G29" s="615" t="s">
        <v>307</v>
      </c>
    </row>
    <row r="30" spans="1:7" s="1300" customFormat="1" ht="12" customHeight="1" thickBot="1" x14ac:dyDescent="0.25">
      <c r="A30" s="1302" t="s">
        <v>496</v>
      </c>
      <c r="B30" s="1303" t="s">
        <v>895</v>
      </c>
      <c r="C30" s="1304" t="s">
        <v>875</v>
      </c>
      <c r="D30" s="621" t="s">
        <v>307</v>
      </c>
      <c r="E30" s="1305" t="s">
        <v>307</v>
      </c>
      <c r="F30" s="1306" t="s">
        <v>307</v>
      </c>
      <c r="G30" s="623" t="s">
        <v>307</v>
      </c>
    </row>
    <row r="31" spans="1:7" ht="12.75" thickTop="1" x14ac:dyDescent="0.2">
      <c r="A31" s="1199" t="s">
        <v>238</v>
      </c>
      <c r="B31" s="1191"/>
      <c r="C31" s="1191"/>
      <c r="D31" s="1307"/>
      <c r="E31" s="1307"/>
      <c r="F31" s="1307"/>
      <c r="G31" s="1308"/>
    </row>
    <row r="32" spans="1:7" ht="24" customHeight="1" x14ac:dyDescent="0.2">
      <c r="A32" s="1532" t="s">
        <v>522</v>
      </c>
      <c r="B32" s="1523"/>
      <c r="C32" s="1523"/>
      <c r="D32" s="1523"/>
      <c r="E32" s="1523"/>
      <c r="F32" s="1523"/>
      <c r="G32" s="1524"/>
    </row>
    <row r="33" spans="1:7" ht="12.6" customHeight="1" thickBot="1" x14ac:dyDescent="0.25">
      <c r="A33" s="1529"/>
      <c r="B33" s="1530"/>
      <c r="C33" s="1530"/>
      <c r="D33" s="1530"/>
      <c r="E33" s="1530"/>
      <c r="F33" s="1530"/>
      <c r="G33" s="1531"/>
    </row>
    <row r="34" spans="1:7" ht="12" thickTop="1" x14ac:dyDescent="0.2"/>
  </sheetData>
  <sheetProtection algorithmName="SHA-512" hashValue="LsOyWfQdTv/Z/iruW5i7ZIMUEihqn1eVQ75ivKfZGbnx+GkRBN+Q9uhpLwC4+L/Y0PJFeqX8M/VTi3LPutQOGA==" saltValue="w8DBjwmFSBkXifMTd0tBVw==" spinCount="100000" sheet="1" objects="1" scenarios="1"/>
  <mergeCells count="3">
    <mergeCell ref="B4:C4"/>
    <mergeCell ref="A33:G33"/>
    <mergeCell ref="A32:G32"/>
  </mergeCells>
  <phoneticPr fontId="0" type="noConversion"/>
  <printOptions horizontalCentered="1"/>
  <pageMargins left="0.90551181102362199" right="0.39370078740157499" top="0.511811023622047" bottom="0.98425196850393704" header="0.511811023622047" footer="0.511811023622047"/>
  <pageSetup scale="86" fitToHeight="4" orientation="portrait" r:id="rId1"/>
  <headerFooter alignWithMargins="0">
    <oddFooter>&amp;LHawai'i DOH
PFASs November 2024&amp;C&amp;8Page &amp;P of &amp;N&amp;R&amp;A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1"/>
    <pageSetUpPr fitToPage="1"/>
  </sheetPr>
  <dimension ref="A1:F39"/>
  <sheetViews>
    <sheetView zoomScaleNormal="100" workbookViewId="0">
      <selection activeCell="F12" sqref="F12"/>
    </sheetView>
  </sheetViews>
  <sheetFormatPr defaultColWidth="8.7109375" defaultRowHeight="12.75" x14ac:dyDescent="0.2"/>
  <cols>
    <col min="1" max="1" width="50.5703125" style="470" customWidth="1"/>
    <col min="2" max="4" width="13.7109375" style="505" customWidth="1"/>
    <col min="5" max="6" width="9.140625" style="627" customWidth="1"/>
    <col min="7" max="16384" width="8.7109375" style="470"/>
  </cols>
  <sheetData>
    <row r="1" spans="1:4" ht="34.5" x14ac:dyDescent="0.25">
      <c r="A1" s="471" t="s">
        <v>523</v>
      </c>
      <c r="B1" s="472"/>
      <c r="C1" s="472"/>
      <c r="D1" s="472"/>
    </row>
    <row r="2" spans="1:4" ht="12" customHeight="1" thickBot="1" x14ac:dyDescent="0.25"/>
    <row r="3" spans="1:4" ht="30" customHeight="1" thickTop="1" thickBot="1" x14ac:dyDescent="0.25">
      <c r="A3" s="720"/>
      <c r="B3" s="1274" t="s">
        <v>524</v>
      </c>
      <c r="C3" s="1275"/>
      <c r="D3" s="1276"/>
    </row>
    <row r="4" spans="1:4" ht="24" thickTop="1" thickBot="1" x14ac:dyDescent="0.25">
      <c r="A4" s="536" t="s">
        <v>469</v>
      </c>
      <c r="B4" s="1170" t="s">
        <v>525</v>
      </c>
      <c r="C4" s="1277" t="s">
        <v>526</v>
      </c>
      <c r="D4" s="1278" t="s">
        <v>527</v>
      </c>
    </row>
    <row r="5" spans="1:4" ht="12" customHeight="1" x14ac:dyDescent="0.2">
      <c r="A5" s="490" t="s">
        <v>472</v>
      </c>
      <c r="B5" s="542" t="s">
        <v>307</v>
      </c>
      <c r="C5" s="543" t="s">
        <v>307</v>
      </c>
      <c r="D5" s="545" t="s">
        <v>307</v>
      </c>
    </row>
    <row r="6" spans="1:4" ht="12" customHeight="1" x14ac:dyDescent="0.2">
      <c r="A6" s="497" t="s">
        <v>473</v>
      </c>
      <c r="B6" s="547" t="s">
        <v>307</v>
      </c>
      <c r="C6" s="548" t="s">
        <v>307</v>
      </c>
      <c r="D6" s="550" t="s">
        <v>307</v>
      </c>
    </row>
    <row r="7" spans="1:4" ht="12" customHeight="1" x14ac:dyDescent="0.2">
      <c r="A7" s="497" t="s">
        <v>474</v>
      </c>
      <c r="B7" s="547" t="s">
        <v>307</v>
      </c>
      <c r="C7" s="548" t="s">
        <v>307</v>
      </c>
      <c r="D7" s="550" t="s">
        <v>307</v>
      </c>
    </row>
    <row r="8" spans="1:4" ht="12" customHeight="1" x14ac:dyDescent="0.2">
      <c r="A8" s="497" t="s">
        <v>475</v>
      </c>
      <c r="B8" s="547" t="s">
        <v>307</v>
      </c>
      <c r="C8" s="548" t="s">
        <v>307</v>
      </c>
      <c r="D8" s="550" t="s">
        <v>307</v>
      </c>
    </row>
    <row r="9" spans="1:4" ht="12" customHeight="1" x14ac:dyDescent="0.2">
      <c r="A9" s="497" t="s">
        <v>476</v>
      </c>
      <c r="B9" s="547" t="s">
        <v>307</v>
      </c>
      <c r="C9" s="548" t="s">
        <v>307</v>
      </c>
      <c r="D9" s="550" t="s">
        <v>307</v>
      </c>
    </row>
    <row r="10" spans="1:4" ht="12" customHeight="1" x14ac:dyDescent="0.2">
      <c r="A10" s="497" t="s">
        <v>477</v>
      </c>
      <c r="B10" s="547" t="s">
        <v>307</v>
      </c>
      <c r="C10" s="548" t="s">
        <v>307</v>
      </c>
      <c r="D10" s="550" t="s">
        <v>307</v>
      </c>
    </row>
    <row r="11" spans="1:4" ht="12" customHeight="1" x14ac:dyDescent="0.2">
      <c r="A11" s="497" t="s">
        <v>200</v>
      </c>
      <c r="B11" s="547" t="s">
        <v>307</v>
      </c>
      <c r="C11" s="548" t="s">
        <v>307</v>
      </c>
      <c r="D11" s="550" t="s">
        <v>307</v>
      </c>
    </row>
    <row r="12" spans="1:4" ht="12" customHeight="1" x14ac:dyDescent="0.2">
      <c r="A12" s="497" t="s">
        <v>478</v>
      </c>
      <c r="B12" s="547" t="s">
        <v>307</v>
      </c>
      <c r="C12" s="548" t="s">
        <v>307</v>
      </c>
      <c r="D12" s="550" t="s">
        <v>307</v>
      </c>
    </row>
    <row r="13" spans="1:4" ht="12" customHeight="1" x14ac:dyDescent="0.2">
      <c r="A13" s="497" t="s">
        <v>479</v>
      </c>
      <c r="B13" s="547" t="s">
        <v>307</v>
      </c>
      <c r="C13" s="548" t="s">
        <v>307</v>
      </c>
      <c r="D13" s="550" t="s">
        <v>307</v>
      </c>
    </row>
    <row r="14" spans="1:4" ht="12" customHeight="1" x14ac:dyDescent="0.2">
      <c r="A14" s="497" t="s">
        <v>480</v>
      </c>
      <c r="B14" s="547" t="s">
        <v>307</v>
      </c>
      <c r="C14" s="548" t="s">
        <v>307</v>
      </c>
      <c r="D14" s="550" t="s">
        <v>307</v>
      </c>
    </row>
    <row r="15" spans="1:4" ht="12" customHeight="1" x14ac:dyDescent="0.2">
      <c r="A15" s="497" t="s">
        <v>481</v>
      </c>
      <c r="B15" s="547" t="s">
        <v>307</v>
      </c>
      <c r="C15" s="548" t="s">
        <v>307</v>
      </c>
      <c r="D15" s="550" t="s">
        <v>307</v>
      </c>
    </row>
    <row r="16" spans="1:4" ht="12" customHeight="1" x14ac:dyDescent="0.2">
      <c r="A16" s="497" t="s">
        <v>482</v>
      </c>
      <c r="B16" s="547" t="s">
        <v>307</v>
      </c>
      <c r="C16" s="548" t="s">
        <v>307</v>
      </c>
      <c r="D16" s="550" t="s">
        <v>307</v>
      </c>
    </row>
    <row r="17" spans="1:6" ht="12" customHeight="1" x14ac:dyDescent="0.2">
      <c r="A17" s="497" t="s">
        <v>483</v>
      </c>
      <c r="B17" s="547" t="s">
        <v>307</v>
      </c>
      <c r="C17" s="548" t="s">
        <v>307</v>
      </c>
      <c r="D17" s="550" t="s">
        <v>307</v>
      </c>
      <c r="E17" s="469"/>
      <c r="F17" s="469"/>
    </row>
    <row r="18" spans="1:6" ht="12" customHeight="1" x14ac:dyDescent="0.2">
      <c r="A18" s="497" t="s">
        <v>484</v>
      </c>
      <c r="B18" s="547" t="s">
        <v>307</v>
      </c>
      <c r="C18" s="548" t="s">
        <v>307</v>
      </c>
      <c r="D18" s="550" t="s">
        <v>307</v>
      </c>
      <c r="E18" s="469"/>
      <c r="F18" s="469"/>
    </row>
    <row r="19" spans="1:6" ht="12" customHeight="1" x14ac:dyDescent="0.2">
      <c r="A19" s="497" t="s">
        <v>485</v>
      </c>
      <c r="B19" s="547" t="s">
        <v>307</v>
      </c>
      <c r="C19" s="548" t="s">
        <v>307</v>
      </c>
      <c r="D19" s="550" t="s">
        <v>307</v>
      </c>
      <c r="E19" s="469"/>
      <c r="F19" s="469"/>
    </row>
    <row r="20" spans="1:6" ht="12" customHeight="1" x14ac:dyDescent="0.2">
      <c r="A20" s="497" t="s">
        <v>486</v>
      </c>
      <c r="B20" s="547" t="s">
        <v>307</v>
      </c>
      <c r="C20" s="548" t="s">
        <v>307</v>
      </c>
      <c r="D20" s="550" t="s">
        <v>307</v>
      </c>
      <c r="E20" s="469"/>
      <c r="F20" s="469"/>
    </row>
    <row r="21" spans="1:6" ht="12" customHeight="1" x14ac:dyDescent="0.2">
      <c r="A21" s="497" t="s">
        <v>487</v>
      </c>
      <c r="B21" s="547" t="s">
        <v>307</v>
      </c>
      <c r="C21" s="548" t="s">
        <v>307</v>
      </c>
      <c r="D21" s="550" t="s">
        <v>307</v>
      </c>
      <c r="E21" s="469"/>
      <c r="F21" s="469"/>
    </row>
    <row r="22" spans="1:6" ht="12" customHeight="1" x14ac:dyDescent="0.2">
      <c r="A22" s="497" t="s">
        <v>488</v>
      </c>
      <c r="B22" s="547" t="s">
        <v>307</v>
      </c>
      <c r="C22" s="548" t="s">
        <v>307</v>
      </c>
      <c r="D22" s="550" t="s">
        <v>307</v>
      </c>
      <c r="E22" s="469"/>
      <c r="F22" s="469"/>
    </row>
    <row r="23" spans="1:6" s="749" customFormat="1" ht="12" customHeight="1" x14ac:dyDescent="0.2">
      <c r="A23" s="497" t="s">
        <v>489</v>
      </c>
      <c r="B23" s="547" t="s">
        <v>307</v>
      </c>
      <c r="C23" s="548" t="s">
        <v>307</v>
      </c>
      <c r="D23" s="550" t="s">
        <v>307</v>
      </c>
      <c r="E23" s="1279"/>
      <c r="F23" s="1279"/>
    </row>
    <row r="24" spans="1:6" s="749" customFormat="1" ht="12" customHeight="1" x14ac:dyDescent="0.2">
      <c r="A24" s="497" t="s">
        <v>490</v>
      </c>
      <c r="B24" s="547" t="s">
        <v>307</v>
      </c>
      <c r="C24" s="548" t="s">
        <v>307</v>
      </c>
      <c r="D24" s="550" t="s">
        <v>307</v>
      </c>
      <c r="E24" s="1279"/>
      <c r="F24" s="1279"/>
    </row>
    <row r="25" spans="1:6" s="749" customFormat="1" ht="12" customHeight="1" x14ac:dyDescent="0.2">
      <c r="A25" s="497" t="s">
        <v>491</v>
      </c>
      <c r="B25" s="547" t="s">
        <v>307</v>
      </c>
      <c r="C25" s="548" t="s">
        <v>307</v>
      </c>
      <c r="D25" s="550" t="s">
        <v>307</v>
      </c>
      <c r="E25" s="1279"/>
      <c r="F25" s="1279"/>
    </row>
    <row r="26" spans="1:6" s="749" customFormat="1" ht="12" customHeight="1" x14ac:dyDescent="0.2">
      <c r="A26" s="497" t="s">
        <v>492</v>
      </c>
      <c r="B26" s="547" t="s">
        <v>307</v>
      </c>
      <c r="C26" s="548" t="s">
        <v>307</v>
      </c>
      <c r="D26" s="550" t="s">
        <v>307</v>
      </c>
      <c r="E26" s="1279"/>
      <c r="F26" s="1279"/>
    </row>
    <row r="27" spans="1:6" s="749" customFormat="1" ht="12" customHeight="1" x14ac:dyDescent="0.2">
      <c r="A27" s="497" t="s">
        <v>493</v>
      </c>
      <c r="B27" s="547" t="s">
        <v>307</v>
      </c>
      <c r="C27" s="548" t="s">
        <v>307</v>
      </c>
      <c r="D27" s="550" t="s">
        <v>307</v>
      </c>
      <c r="E27" s="1279"/>
      <c r="F27" s="1279"/>
    </row>
    <row r="28" spans="1:6" s="749" customFormat="1" ht="12" customHeight="1" x14ac:dyDescent="0.2">
      <c r="A28" s="497" t="s">
        <v>494</v>
      </c>
      <c r="B28" s="547" t="s">
        <v>307</v>
      </c>
      <c r="C28" s="548" t="s">
        <v>307</v>
      </c>
      <c r="D28" s="550" t="s">
        <v>307</v>
      </c>
      <c r="E28" s="1279"/>
      <c r="F28" s="1279"/>
    </row>
    <row r="29" spans="1:6" s="749" customFormat="1" ht="12" customHeight="1" x14ac:dyDescent="0.2">
      <c r="A29" s="497" t="s">
        <v>495</v>
      </c>
      <c r="B29" s="547" t="s">
        <v>307</v>
      </c>
      <c r="C29" s="548" t="s">
        <v>307</v>
      </c>
      <c r="D29" s="550" t="s">
        <v>307</v>
      </c>
      <c r="E29" s="1279"/>
      <c r="F29" s="1279"/>
    </row>
    <row r="30" spans="1:6" s="749" customFormat="1" ht="12" customHeight="1" thickBot="1" x14ac:dyDescent="0.25">
      <c r="A30" s="507" t="s">
        <v>496</v>
      </c>
      <c r="B30" s="553" t="s">
        <v>307</v>
      </c>
      <c r="C30" s="554" t="s">
        <v>307</v>
      </c>
      <c r="D30" s="556" t="s">
        <v>307</v>
      </c>
      <c r="E30" s="1279"/>
      <c r="F30" s="1279"/>
    </row>
    <row r="31" spans="1:6" ht="13.5" thickTop="1" x14ac:dyDescent="0.2">
      <c r="A31" s="514" t="s">
        <v>238</v>
      </c>
      <c r="D31" s="1146"/>
      <c r="E31" s="469"/>
      <c r="F31" s="469"/>
    </row>
    <row r="32" spans="1:6" ht="31.5" customHeight="1" x14ac:dyDescent="0.2">
      <c r="A32" s="1526" t="s">
        <v>528</v>
      </c>
      <c r="B32" s="1523"/>
      <c r="C32" s="1523"/>
      <c r="D32" s="1524"/>
      <c r="E32" s="469"/>
      <c r="F32" s="469"/>
    </row>
    <row r="33" spans="1:6" ht="12.95" customHeight="1" x14ac:dyDescent="0.2">
      <c r="A33" s="1526" t="s">
        <v>529</v>
      </c>
      <c r="B33" s="1523"/>
      <c r="C33" s="1523"/>
      <c r="D33" s="1524"/>
      <c r="E33" s="469"/>
      <c r="F33" s="469"/>
    </row>
    <row r="34" spans="1:6" x14ac:dyDescent="0.2">
      <c r="A34" s="521" t="s">
        <v>530</v>
      </c>
      <c r="D34" s="1146"/>
      <c r="E34" s="469"/>
      <c r="F34" s="469"/>
    </row>
    <row r="35" spans="1:6" x14ac:dyDescent="0.2">
      <c r="A35" s="521" t="s">
        <v>531</v>
      </c>
      <c r="D35" s="1146"/>
      <c r="E35" s="469"/>
      <c r="F35" s="469"/>
    </row>
    <row r="36" spans="1:6" ht="32.450000000000003" customHeight="1" x14ac:dyDescent="0.2">
      <c r="A36" s="1525" t="s">
        <v>532</v>
      </c>
      <c r="B36" s="1523"/>
      <c r="C36" s="1523"/>
      <c r="D36" s="1524"/>
      <c r="E36" s="469"/>
      <c r="F36" s="469"/>
    </row>
    <row r="37" spans="1:6" x14ac:dyDescent="0.2">
      <c r="A37" s="521" t="s">
        <v>533</v>
      </c>
      <c r="D37" s="1146"/>
      <c r="E37" s="469"/>
      <c r="F37" s="469"/>
    </row>
    <row r="38" spans="1:6" ht="12.6" customHeight="1" thickBot="1" x14ac:dyDescent="0.25">
      <c r="A38" s="1533"/>
      <c r="B38" s="1520"/>
      <c r="C38" s="1520"/>
      <c r="D38" s="1521"/>
      <c r="E38" s="469"/>
      <c r="F38" s="469"/>
    </row>
    <row r="39" spans="1:6" ht="13.5" thickTop="1" x14ac:dyDescent="0.2">
      <c r="E39" s="469"/>
      <c r="F39" s="469"/>
    </row>
  </sheetData>
  <sheetProtection algorithmName="SHA-512" hashValue="G1sQ9c1Q9o5uKAMaeDOXxsEGhoJ/DDD97CtQ9YwAkhLhJsrMB5rVp9ZcNspfOo/del10CxMCrI3JTqjzncOjfw==" saltValue="w6wj0dr4EWUcDor3AUfncQ==" spinCount="100000" sheet="1" objects="1" scenarios="1"/>
  <mergeCells count="4">
    <mergeCell ref="A32:D32"/>
    <mergeCell ref="A36:D36"/>
    <mergeCell ref="A38:D38"/>
    <mergeCell ref="A33:D33"/>
  </mergeCells>
  <phoneticPr fontId="0" type="noConversion"/>
  <printOptions horizontalCentered="1"/>
  <pageMargins left="0.90551181102362199" right="0.39370078740157499" top="0.511811023622047" bottom="0.98425196850393704" header="0.511811023622047" footer="0.511811023622047"/>
  <pageSetup fitToHeight="4" orientation="portrait" r:id="rId1"/>
  <headerFooter alignWithMargins="0">
    <oddFooter>&amp;LHawai'i DOH
PFASs November 2024&amp;C&amp;8Page &amp;P of &amp;N&amp;R&amp;A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1"/>
  </sheetPr>
  <dimension ref="A1:C33"/>
  <sheetViews>
    <sheetView workbookViewId="0">
      <selection activeCell="B4" sqref="B4"/>
    </sheetView>
  </sheetViews>
  <sheetFormatPr defaultColWidth="8" defaultRowHeight="11.25" x14ac:dyDescent="0.2"/>
  <cols>
    <col min="1" max="1" width="50.5703125" style="470" customWidth="1"/>
    <col min="2" max="2" width="22.140625" style="504" customWidth="1"/>
    <col min="3" max="3" width="24.7109375" style="505" customWidth="1"/>
    <col min="4" max="257" width="8" style="470"/>
    <col min="258" max="258" width="40.7109375" style="470" customWidth="1"/>
    <col min="259" max="259" width="24.7109375" style="470" customWidth="1"/>
    <col min="260" max="513" width="8" style="470"/>
    <col min="514" max="514" width="40.7109375" style="470" customWidth="1"/>
    <col min="515" max="515" width="24.7109375" style="470" customWidth="1"/>
    <col min="516" max="769" width="8" style="470"/>
    <col min="770" max="770" width="40.7109375" style="470" customWidth="1"/>
    <col min="771" max="771" width="24.7109375" style="470" customWidth="1"/>
    <col min="772" max="1025" width="8" style="470"/>
    <col min="1026" max="1026" width="40.7109375" style="470" customWidth="1"/>
    <col min="1027" max="1027" width="24.7109375" style="470" customWidth="1"/>
    <col min="1028" max="1281" width="8" style="470"/>
    <col min="1282" max="1282" width="40.7109375" style="470" customWidth="1"/>
    <col min="1283" max="1283" width="24.7109375" style="470" customWidth="1"/>
    <col min="1284" max="1537" width="8" style="470"/>
    <col min="1538" max="1538" width="40.7109375" style="470" customWidth="1"/>
    <col min="1539" max="1539" width="24.7109375" style="470" customWidth="1"/>
    <col min="1540" max="1793" width="8" style="470"/>
    <col min="1794" max="1794" width="40.7109375" style="470" customWidth="1"/>
    <col min="1795" max="1795" width="24.7109375" style="470" customWidth="1"/>
    <col min="1796" max="2049" width="8" style="470"/>
    <col min="2050" max="2050" width="40.7109375" style="470" customWidth="1"/>
    <col min="2051" max="2051" width="24.7109375" style="470" customWidth="1"/>
    <col min="2052" max="2305" width="8" style="470"/>
    <col min="2306" max="2306" width="40.7109375" style="470" customWidth="1"/>
    <col min="2307" max="2307" width="24.7109375" style="470" customWidth="1"/>
    <col min="2308" max="2561" width="8" style="470"/>
    <col min="2562" max="2562" width="40.7109375" style="470" customWidth="1"/>
    <col min="2563" max="2563" width="24.7109375" style="470" customWidth="1"/>
    <col min="2564" max="2817" width="8" style="470"/>
    <col min="2818" max="2818" width="40.7109375" style="470" customWidth="1"/>
    <col min="2819" max="2819" width="24.7109375" style="470" customWidth="1"/>
    <col min="2820" max="3073" width="8" style="470"/>
    <col min="3074" max="3074" width="40.7109375" style="470" customWidth="1"/>
    <col min="3075" max="3075" width="24.7109375" style="470" customWidth="1"/>
    <col min="3076" max="3329" width="8" style="470"/>
    <col min="3330" max="3330" width="40.7109375" style="470" customWidth="1"/>
    <col min="3331" max="3331" width="24.7109375" style="470" customWidth="1"/>
    <col min="3332" max="3585" width="8" style="470"/>
    <col min="3586" max="3586" width="40.7109375" style="470" customWidth="1"/>
    <col min="3587" max="3587" width="24.7109375" style="470" customWidth="1"/>
    <col min="3588" max="3841" width="8" style="470"/>
    <col min="3842" max="3842" width="40.7109375" style="470" customWidth="1"/>
    <col min="3843" max="3843" width="24.7109375" style="470" customWidth="1"/>
    <col min="3844" max="4097" width="8" style="470"/>
    <col min="4098" max="4098" width="40.7109375" style="470" customWidth="1"/>
    <col min="4099" max="4099" width="24.7109375" style="470" customWidth="1"/>
    <col min="4100" max="4353" width="8" style="470"/>
    <col min="4354" max="4354" width="40.7109375" style="470" customWidth="1"/>
    <col min="4355" max="4355" width="24.7109375" style="470" customWidth="1"/>
    <col min="4356" max="4609" width="8" style="470"/>
    <col min="4610" max="4610" width="40.7109375" style="470" customWidth="1"/>
    <col min="4611" max="4611" width="24.7109375" style="470" customWidth="1"/>
    <col min="4612" max="4865" width="8" style="470"/>
    <col min="4866" max="4866" width="40.7109375" style="470" customWidth="1"/>
    <col min="4867" max="4867" width="24.7109375" style="470" customWidth="1"/>
    <col min="4868" max="5121" width="8" style="470"/>
    <col min="5122" max="5122" width="40.7109375" style="470" customWidth="1"/>
    <col min="5123" max="5123" width="24.7109375" style="470" customWidth="1"/>
    <col min="5124" max="5377" width="8" style="470"/>
    <col min="5378" max="5378" width="40.7109375" style="470" customWidth="1"/>
    <col min="5379" max="5379" width="24.7109375" style="470" customWidth="1"/>
    <col min="5380" max="5633" width="8" style="470"/>
    <col min="5634" max="5634" width="40.7109375" style="470" customWidth="1"/>
    <col min="5635" max="5635" width="24.7109375" style="470" customWidth="1"/>
    <col min="5636" max="5889" width="8" style="470"/>
    <col min="5890" max="5890" width="40.7109375" style="470" customWidth="1"/>
    <col min="5891" max="5891" width="24.7109375" style="470" customWidth="1"/>
    <col min="5892" max="6145" width="8" style="470"/>
    <col min="6146" max="6146" width="40.7109375" style="470" customWidth="1"/>
    <col min="6147" max="6147" width="24.7109375" style="470" customWidth="1"/>
    <col min="6148" max="6401" width="8" style="470"/>
    <col min="6402" max="6402" width="40.7109375" style="470" customWidth="1"/>
    <col min="6403" max="6403" width="24.7109375" style="470" customWidth="1"/>
    <col min="6404" max="6657" width="8" style="470"/>
    <col min="6658" max="6658" width="40.7109375" style="470" customWidth="1"/>
    <col min="6659" max="6659" width="24.7109375" style="470" customWidth="1"/>
    <col min="6660" max="6913" width="8" style="470"/>
    <col min="6914" max="6914" width="40.7109375" style="470" customWidth="1"/>
    <col min="6915" max="6915" width="24.7109375" style="470" customWidth="1"/>
    <col min="6916" max="7169" width="8" style="470"/>
    <col min="7170" max="7170" width="40.7109375" style="470" customWidth="1"/>
    <col min="7171" max="7171" width="24.7109375" style="470" customWidth="1"/>
    <col min="7172" max="7425" width="8" style="470"/>
    <col min="7426" max="7426" width="40.7109375" style="470" customWidth="1"/>
    <col min="7427" max="7427" width="24.7109375" style="470" customWidth="1"/>
    <col min="7428" max="7681" width="8" style="470"/>
    <col min="7682" max="7682" width="40.7109375" style="470" customWidth="1"/>
    <col min="7683" max="7683" width="24.7109375" style="470" customWidth="1"/>
    <col min="7684" max="7937" width="8" style="470"/>
    <col min="7938" max="7938" width="40.7109375" style="470" customWidth="1"/>
    <col min="7939" max="7939" width="24.7109375" style="470" customWidth="1"/>
    <col min="7940" max="8193" width="8" style="470"/>
    <col min="8194" max="8194" width="40.7109375" style="470" customWidth="1"/>
    <col min="8195" max="8195" width="24.7109375" style="470" customWidth="1"/>
    <col min="8196" max="8449" width="8" style="470"/>
    <col min="8450" max="8450" width="40.7109375" style="470" customWidth="1"/>
    <col min="8451" max="8451" width="24.7109375" style="470" customWidth="1"/>
    <col min="8452" max="8705" width="8" style="470"/>
    <col min="8706" max="8706" width="40.7109375" style="470" customWidth="1"/>
    <col min="8707" max="8707" width="24.7109375" style="470" customWidth="1"/>
    <col min="8708" max="8961" width="8" style="470"/>
    <col min="8962" max="8962" width="40.7109375" style="470" customWidth="1"/>
    <col min="8963" max="8963" width="24.7109375" style="470" customWidth="1"/>
    <col min="8964" max="9217" width="8" style="470"/>
    <col min="9218" max="9218" width="40.7109375" style="470" customWidth="1"/>
    <col min="9219" max="9219" width="24.7109375" style="470" customWidth="1"/>
    <col min="9220" max="9473" width="8" style="470"/>
    <col min="9474" max="9474" width="40.7109375" style="470" customWidth="1"/>
    <col min="9475" max="9475" width="24.7109375" style="470" customWidth="1"/>
    <col min="9476" max="9729" width="8" style="470"/>
    <col min="9730" max="9730" width="40.7109375" style="470" customWidth="1"/>
    <col min="9731" max="9731" width="24.7109375" style="470" customWidth="1"/>
    <col min="9732" max="9985" width="8" style="470"/>
    <col min="9986" max="9986" width="40.7109375" style="470" customWidth="1"/>
    <col min="9987" max="9987" width="24.7109375" style="470" customWidth="1"/>
    <col min="9988" max="10241" width="8" style="470"/>
    <col min="10242" max="10242" width="40.7109375" style="470" customWidth="1"/>
    <col min="10243" max="10243" width="24.7109375" style="470" customWidth="1"/>
    <col min="10244" max="10497" width="8" style="470"/>
    <col min="10498" max="10498" width="40.7109375" style="470" customWidth="1"/>
    <col min="10499" max="10499" width="24.7109375" style="470" customWidth="1"/>
    <col min="10500" max="10753" width="8" style="470"/>
    <col min="10754" max="10754" width="40.7109375" style="470" customWidth="1"/>
    <col min="10755" max="10755" width="24.7109375" style="470" customWidth="1"/>
    <col min="10756" max="11009" width="8" style="470"/>
    <col min="11010" max="11010" width="40.7109375" style="470" customWidth="1"/>
    <col min="11011" max="11011" width="24.7109375" style="470" customWidth="1"/>
    <col min="11012" max="11265" width="8" style="470"/>
    <col min="11266" max="11266" width="40.7109375" style="470" customWidth="1"/>
    <col min="11267" max="11267" width="24.7109375" style="470" customWidth="1"/>
    <col min="11268" max="11521" width="8" style="470"/>
    <col min="11522" max="11522" width="40.7109375" style="470" customWidth="1"/>
    <col min="11523" max="11523" width="24.7109375" style="470" customWidth="1"/>
    <col min="11524" max="11777" width="8" style="470"/>
    <col min="11778" max="11778" width="40.7109375" style="470" customWidth="1"/>
    <col min="11779" max="11779" width="24.7109375" style="470" customWidth="1"/>
    <col min="11780" max="12033" width="8" style="470"/>
    <col min="12034" max="12034" width="40.7109375" style="470" customWidth="1"/>
    <col min="12035" max="12035" width="24.7109375" style="470" customWidth="1"/>
    <col min="12036" max="12289" width="8" style="470"/>
    <col min="12290" max="12290" width="40.7109375" style="470" customWidth="1"/>
    <col min="12291" max="12291" width="24.7109375" style="470" customWidth="1"/>
    <col min="12292" max="12545" width="8" style="470"/>
    <col min="12546" max="12546" width="40.7109375" style="470" customWidth="1"/>
    <col min="12547" max="12547" width="24.7109375" style="470" customWidth="1"/>
    <col min="12548" max="12801" width="8" style="470"/>
    <col min="12802" max="12802" width="40.7109375" style="470" customWidth="1"/>
    <col min="12803" max="12803" width="24.7109375" style="470" customWidth="1"/>
    <col min="12804" max="13057" width="8" style="470"/>
    <col min="13058" max="13058" width="40.7109375" style="470" customWidth="1"/>
    <col min="13059" max="13059" width="24.7109375" style="470" customWidth="1"/>
    <col min="13060" max="13313" width="8" style="470"/>
    <col min="13314" max="13314" width="40.7109375" style="470" customWidth="1"/>
    <col min="13315" max="13315" width="24.7109375" style="470" customWidth="1"/>
    <col min="13316" max="13569" width="8" style="470"/>
    <col min="13570" max="13570" width="40.7109375" style="470" customWidth="1"/>
    <col min="13571" max="13571" width="24.7109375" style="470" customWidth="1"/>
    <col min="13572" max="13825" width="8" style="470"/>
    <col min="13826" max="13826" width="40.7109375" style="470" customWidth="1"/>
    <col min="13827" max="13827" width="24.7109375" style="470" customWidth="1"/>
    <col min="13828" max="14081" width="8" style="470"/>
    <col min="14082" max="14082" width="40.7109375" style="470" customWidth="1"/>
    <col min="14083" max="14083" width="24.7109375" style="470" customWidth="1"/>
    <col min="14084" max="14337" width="8" style="470"/>
    <col min="14338" max="14338" width="40.7109375" style="470" customWidth="1"/>
    <col min="14339" max="14339" width="24.7109375" style="470" customWidth="1"/>
    <col min="14340" max="14593" width="8" style="470"/>
    <col min="14594" max="14594" width="40.7109375" style="470" customWidth="1"/>
    <col min="14595" max="14595" width="24.7109375" style="470" customWidth="1"/>
    <col min="14596" max="14849" width="8" style="470"/>
    <col min="14850" max="14850" width="40.7109375" style="470" customWidth="1"/>
    <col min="14851" max="14851" width="24.7109375" style="470" customWidth="1"/>
    <col min="14852" max="15105" width="8" style="470"/>
    <col min="15106" max="15106" width="40.7109375" style="470" customWidth="1"/>
    <col min="15107" max="15107" width="24.7109375" style="470" customWidth="1"/>
    <col min="15108" max="15361" width="8" style="470"/>
    <col min="15362" max="15362" width="40.7109375" style="470" customWidth="1"/>
    <col min="15363" max="15363" width="24.7109375" style="470" customWidth="1"/>
    <col min="15364" max="15617" width="8" style="470"/>
    <col min="15618" max="15618" width="40.7109375" style="470" customWidth="1"/>
    <col min="15619" max="15619" width="24.7109375" style="470" customWidth="1"/>
    <col min="15620" max="15873" width="8" style="470"/>
    <col min="15874" max="15874" width="40.7109375" style="470" customWidth="1"/>
    <col min="15875" max="15875" width="24.7109375" style="470" customWidth="1"/>
    <col min="15876" max="16129" width="8" style="470"/>
    <col min="16130" max="16130" width="40.7109375" style="470" customWidth="1"/>
    <col min="16131" max="16131" width="24.7109375" style="470" customWidth="1"/>
    <col min="16132" max="16384" width="8" style="470"/>
  </cols>
  <sheetData>
    <row r="1" spans="1:3" ht="49.5" customHeight="1" x14ac:dyDescent="0.25">
      <c r="A1" s="1534" t="s">
        <v>534</v>
      </c>
      <c r="B1" s="1534"/>
      <c r="C1" s="1535"/>
    </row>
    <row r="2" spans="1:3" ht="12" thickBot="1" x14ac:dyDescent="0.25"/>
    <row r="3" spans="1:3" ht="35.25" customHeight="1" thickTop="1" thickBot="1" x14ac:dyDescent="0.25">
      <c r="A3" s="536" t="s">
        <v>469</v>
      </c>
      <c r="B3" s="828" t="s">
        <v>535</v>
      </c>
      <c r="C3" s="831" t="s">
        <v>536</v>
      </c>
    </row>
    <row r="4" spans="1:3" ht="12" customHeight="1" x14ac:dyDescent="0.2">
      <c r="A4" s="490" t="s">
        <v>472</v>
      </c>
      <c r="B4" s="542" t="s">
        <v>307</v>
      </c>
      <c r="C4" s="745" t="s">
        <v>307</v>
      </c>
    </row>
    <row r="5" spans="1:3" ht="12" customHeight="1" x14ac:dyDescent="0.2">
      <c r="A5" s="497" t="s">
        <v>473</v>
      </c>
      <c r="B5" s="547" t="s">
        <v>307</v>
      </c>
      <c r="C5" s="748" t="s">
        <v>307</v>
      </c>
    </row>
    <row r="6" spans="1:3" ht="12" customHeight="1" x14ac:dyDescent="0.2">
      <c r="A6" s="497" t="s">
        <v>474</v>
      </c>
      <c r="B6" s="547" t="s">
        <v>307</v>
      </c>
      <c r="C6" s="748" t="s">
        <v>307</v>
      </c>
    </row>
    <row r="7" spans="1:3" ht="12" customHeight="1" x14ac:dyDescent="0.2">
      <c r="A7" s="497" t="s">
        <v>475</v>
      </c>
      <c r="B7" s="547" t="s">
        <v>307</v>
      </c>
      <c r="C7" s="748" t="s">
        <v>307</v>
      </c>
    </row>
    <row r="8" spans="1:3" ht="12" customHeight="1" x14ac:dyDescent="0.2">
      <c r="A8" s="497" t="s">
        <v>476</v>
      </c>
      <c r="B8" s="547" t="s">
        <v>307</v>
      </c>
      <c r="C8" s="748" t="s">
        <v>307</v>
      </c>
    </row>
    <row r="9" spans="1:3" ht="12" customHeight="1" x14ac:dyDescent="0.2">
      <c r="A9" s="497" t="s">
        <v>477</v>
      </c>
      <c r="B9" s="547" t="s">
        <v>307</v>
      </c>
      <c r="C9" s="748" t="s">
        <v>307</v>
      </c>
    </row>
    <row r="10" spans="1:3" ht="12" customHeight="1" x14ac:dyDescent="0.2">
      <c r="A10" s="497" t="s">
        <v>200</v>
      </c>
      <c r="B10" s="547">
        <v>18.475073313782989</v>
      </c>
      <c r="C10" s="748">
        <v>49993.94130366834</v>
      </c>
    </row>
    <row r="11" spans="1:3" ht="12" customHeight="1" x14ac:dyDescent="0.2">
      <c r="A11" s="497" t="s">
        <v>478</v>
      </c>
      <c r="B11" s="547">
        <v>0.51319648093841652</v>
      </c>
      <c r="C11" s="748">
        <v>1.5229775674078221</v>
      </c>
    </row>
    <row r="12" spans="1:3" ht="12" customHeight="1" x14ac:dyDescent="0.2">
      <c r="A12" s="497" t="s">
        <v>479</v>
      </c>
      <c r="B12" s="547" t="s">
        <v>307</v>
      </c>
      <c r="C12" s="748" t="s">
        <v>307</v>
      </c>
    </row>
    <row r="13" spans="1:3" ht="12" customHeight="1" x14ac:dyDescent="0.2">
      <c r="A13" s="497" t="s">
        <v>480</v>
      </c>
      <c r="B13" s="547" t="s">
        <v>307</v>
      </c>
      <c r="C13" s="748" t="s">
        <v>307</v>
      </c>
    </row>
    <row r="14" spans="1:3" ht="12" customHeight="1" x14ac:dyDescent="0.2">
      <c r="A14" s="497" t="s">
        <v>481</v>
      </c>
      <c r="B14" s="547" t="s">
        <v>307</v>
      </c>
      <c r="C14" s="748" t="s">
        <v>307</v>
      </c>
    </row>
    <row r="15" spans="1:3" ht="12" customHeight="1" x14ac:dyDescent="0.2">
      <c r="A15" s="497" t="s">
        <v>482</v>
      </c>
      <c r="B15" s="547" t="s">
        <v>307</v>
      </c>
      <c r="C15" s="748" t="s">
        <v>307</v>
      </c>
    </row>
    <row r="16" spans="1:3" ht="12" customHeight="1" x14ac:dyDescent="0.2">
      <c r="A16" s="497" t="s">
        <v>483</v>
      </c>
      <c r="B16" s="547" t="s">
        <v>307</v>
      </c>
      <c r="C16" s="748" t="s">
        <v>307</v>
      </c>
    </row>
    <row r="17" spans="1:3" ht="12" customHeight="1" x14ac:dyDescent="0.2">
      <c r="A17" s="497" t="s">
        <v>484</v>
      </c>
      <c r="B17" s="547" t="s">
        <v>307</v>
      </c>
      <c r="C17" s="748" t="s">
        <v>307</v>
      </c>
    </row>
    <row r="18" spans="1:3" ht="12" customHeight="1" x14ac:dyDescent="0.2">
      <c r="A18" s="497" t="s">
        <v>485</v>
      </c>
      <c r="B18" s="547" t="s">
        <v>307</v>
      </c>
      <c r="C18" s="748" t="s">
        <v>307</v>
      </c>
    </row>
    <row r="19" spans="1:3" ht="12" customHeight="1" x14ac:dyDescent="0.2">
      <c r="A19" s="497" t="s">
        <v>486</v>
      </c>
      <c r="B19" s="547" t="s">
        <v>307</v>
      </c>
      <c r="C19" s="748" t="s">
        <v>307</v>
      </c>
    </row>
    <row r="20" spans="1:3" ht="12" customHeight="1" x14ac:dyDescent="0.2">
      <c r="A20" s="497" t="s">
        <v>487</v>
      </c>
      <c r="B20" s="547" t="s">
        <v>307</v>
      </c>
      <c r="C20" s="748" t="s">
        <v>307</v>
      </c>
    </row>
    <row r="21" spans="1:3" ht="12" customHeight="1" x14ac:dyDescent="0.2">
      <c r="A21" s="497" t="s">
        <v>488</v>
      </c>
      <c r="B21" s="547" t="s">
        <v>307</v>
      </c>
      <c r="C21" s="748" t="s">
        <v>307</v>
      </c>
    </row>
    <row r="22" spans="1:3" ht="12" customHeight="1" x14ac:dyDescent="0.2">
      <c r="A22" s="497" t="s">
        <v>489</v>
      </c>
      <c r="B22" s="547" t="s">
        <v>307</v>
      </c>
      <c r="C22" s="748" t="s">
        <v>307</v>
      </c>
    </row>
    <row r="23" spans="1:3" ht="12" customHeight="1" x14ac:dyDescent="0.2">
      <c r="A23" s="497" t="s">
        <v>490</v>
      </c>
      <c r="B23" s="547" t="s">
        <v>307</v>
      </c>
      <c r="C23" s="748" t="s">
        <v>307</v>
      </c>
    </row>
    <row r="24" spans="1:3" ht="12" customHeight="1" x14ac:dyDescent="0.2">
      <c r="A24" s="497" t="s">
        <v>491</v>
      </c>
      <c r="B24" s="547" t="s">
        <v>307</v>
      </c>
      <c r="C24" s="748" t="s">
        <v>307</v>
      </c>
    </row>
    <row r="25" spans="1:3" ht="12" customHeight="1" x14ac:dyDescent="0.2">
      <c r="A25" s="497" t="s">
        <v>492</v>
      </c>
      <c r="B25" s="547" t="s">
        <v>307</v>
      </c>
      <c r="C25" s="748" t="s">
        <v>307</v>
      </c>
    </row>
    <row r="26" spans="1:3" ht="12" customHeight="1" x14ac:dyDescent="0.2">
      <c r="A26" s="497" t="s">
        <v>493</v>
      </c>
      <c r="B26" s="547" t="s">
        <v>307</v>
      </c>
      <c r="C26" s="748" t="s">
        <v>307</v>
      </c>
    </row>
    <row r="27" spans="1:3" ht="12" customHeight="1" x14ac:dyDescent="0.2">
      <c r="A27" s="497" t="s">
        <v>494</v>
      </c>
      <c r="B27" s="547" t="s">
        <v>307</v>
      </c>
      <c r="C27" s="748" t="s">
        <v>307</v>
      </c>
    </row>
    <row r="28" spans="1:3" ht="12" customHeight="1" x14ac:dyDescent="0.2">
      <c r="A28" s="497" t="s">
        <v>495</v>
      </c>
      <c r="B28" s="547" t="s">
        <v>307</v>
      </c>
      <c r="C28" s="748" t="s">
        <v>307</v>
      </c>
    </row>
    <row r="29" spans="1:3" ht="12" customHeight="1" thickBot="1" x14ac:dyDescent="0.25">
      <c r="A29" s="507" t="s">
        <v>496</v>
      </c>
      <c r="B29" s="553" t="s">
        <v>307</v>
      </c>
      <c r="C29" s="752" t="s">
        <v>307</v>
      </c>
    </row>
    <row r="30" spans="1:3" ht="12" thickTop="1" x14ac:dyDescent="0.2">
      <c r="A30" s="697" t="s">
        <v>238</v>
      </c>
      <c r="B30" s="1272"/>
      <c r="C30" s="1273"/>
    </row>
    <row r="31" spans="1:3" ht="12.6" customHeight="1" x14ac:dyDescent="0.2">
      <c r="A31" s="1522" t="s">
        <v>537</v>
      </c>
      <c r="B31" s="1538"/>
      <c r="C31" s="1524"/>
    </row>
    <row r="32" spans="1:3" ht="12.6" customHeight="1" thickBot="1" x14ac:dyDescent="0.25">
      <c r="A32" s="1536"/>
      <c r="B32" s="1537"/>
      <c r="C32" s="1521"/>
    </row>
    <row r="33" ht="12" thickTop="1" x14ac:dyDescent="0.2"/>
  </sheetData>
  <sheetProtection algorithmName="SHA-512" hashValue="pdfYGl0B5Eu2sMjaqzEml6pjk6pabgjSOjszVU0NPfs9rtCGbEvSBF6Hbl7JCEZFKWbmr+OhOhQDRBObTD5JFg==" saltValue="bjoY5AW+pDi89MKodSsDGQ==" spinCount="100000" sheet="1" objects="1" scenarios="1"/>
  <mergeCells count="3">
    <mergeCell ref="A1:C1"/>
    <mergeCell ref="A32:C32"/>
    <mergeCell ref="A31:C31"/>
  </mergeCells>
  <pageMargins left="0.70866141732283505" right="0.70866141732283505" top="0.74803149606299202" bottom="0.74803149606299202" header="0.31496062992126" footer="0.31496062992126"/>
  <pageSetup orientation="portrait" r:id="rId1"/>
  <headerFooter>
    <oddFooter>&amp;LHawai'i DOH
PFASs November 2024&amp;CPage &amp;P of &amp;N&amp;R&amp;A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29"/>
    <pageSetUpPr fitToPage="1"/>
  </sheetPr>
  <dimension ref="A1:K41"/>
  <sheetViews>
    <sheetView zoomScaleNormal="100" workbookViewId="0">
      <selection activeCell="B7" sqref="B7"/>
    </sheetView>
  </sheetViews>
  <sheetFormatPr defaultColWidth="9.140625" defaultRowHeight="12.75" x14ac:dyDescent="0.2"/>
  <cols>
    <col min="1" max="1" width="50.5703125" style="470" customWidth="1"/>
    <col min="2" max="2" width="12.28515625" style="505" customWidth="1"/>
    <col min="3" max="3" width="19.7109375" style="505" customWidth="1"/>
    <col min="4" max="4" width="14.140625" style="505" customWidth="1"/>
    <col min="5" max="5" width="13.5703125" style="505" customWidth="1"/>
    <col min="6" max="6" width="11.5703125" style="470" customWidth="1"/>
    <col min="7" max="7" width="10.140625" style="527" customWidth="1"/>
    <col min="8" max="8" width="11.42578125" style="528" customWidth="1"/>
    <col min="9" max="9" width="12.5703125" style="528" customWidth="1"/>
    <col min="10" max="10" width="9.140625" style="529"/>
    <col min="11" max="16384" width="9.140625" style="470"/>
  </cols>
  <sheetData>
    <row r="1" spans="1:11" ht="47.25" customHeight="1" x14ac:dyDescent="0.25">
      <c r="A1" s="1539" t="s">
        <v>538</v>
      </c>
      <c r="B1" s="1523"/>
      <c r="C1" s="1523"/>
      <c r="D1" s="1523"/>
      <c r="E1" s="1523"/>
      <c r="F1" s="1523"/>
      <c r="G1" s="1523"/>
      <c r="H1" s="1523"/>
      <c r="I1" s="1523"/>
      <c r="J1" s="468"/>
      <c r="K1" s="469"/>
    </row>
    <row r="2" spans="1:11" ht="16.5" thickBot="1" x14ac:dyDescent="0.3">
      <c r="A2" s="471"/>
      <c r="B2" s="468"/>
      <c r="C2" s="468"/>
      <c r="D2" s="468"/>
      <c r="E2" s="472"/>
      <c r="F2" s="473"/>
      <c r="G2" s="473"/>
      <c r="H2" s="468"/>
      <c r="I2" s="468"/>
      <c r="J2" s="474"/>
    </row>
    <row r="3" spans="1:11" ht="14.1" customHeight="1" thickTop="1" thickBot="1" x14ac:dyDescent="0.25">
      <c r="A3" s="475"/>
      <c r="B3" s="1648" t="s">
        <v>539</v>
      </c>
      <c r="C3" s="1649"/>
      <c r="D3" s="1649"/>
      <c r="E3" s="1649"/>
      <c r="F3" s="1649"/>
      <c r="G3" s="1649"/>
      <c r="H3" s="1649"/>
      <c r="I3" s="1650"/>
      <c r="J3" s="470"/>
    </row>
    <row r="4" spans="1:11" ht="35.25" customHeight="1" thickTop="1" thickBot="1" x14ac:dyDescent="0.25">
      <c r="A4" s="1542" t="s">
        <v>469</v>
      </c>
      <c r="B4" s="1547" t="s">
        <v>540</v>
      </c>
      <c r="C4" s="476"/>
      <c r="D4" s="1545" t="s">
        <v>541</v>
      </c>
      <c r="E4" s="1540" t="s">
        <v>542</v>
      </c>
      <c r="F4" s="1540" t="s">
        <v>543</v>
      </c>
      <c r="G4" s="1651" t="s">
        <v>544</v>
      </c>
      <c r="H4" s="1652"/>
      <c r="I4" s="478" t="s">
        <v>545</v>
      </c>
      <c r="J4" s="470"/>
    </row>
    <row r="5" spans="1:11" ht="35.1" customHeight="1" x14ac:dyDescent="0.2">
      <c r="A5" s="1543"/>
      <c r="B5" s="1548"/>
      <c r="C5" s="479"/>
      <c r="D5" s="1546"/>
      <c r="E5" s="1541"/>
      <c r="F5" s="1541"/>
      <c r="G5" s="480" t="s">
        <v>259</v>
      </c>
      <c r="H5" s="481" t="s">
        <v>546</v>
      </c>
      <c r="I5" s="482" t="s">
        <v>186</v>
      </c>
      <c r="J5" s="470"/>
    </row>
    <row r="6" spans="1:11" ht="12" thickBot="1" x14ac:dyDescent="0.25">
      <c r="A6" s="1544"/>
      <c r="B6" s="1549"/>
      <c r="C6" s="483" t="s">
        <v>405</v>
      </c>
      <c r="D6" s="484" t="s">
        <v>437</v>
      </c>
      <c r="E6" s="485" t="s">
        <v>434</v>
      </c>
      <c r="F6" s="486" t="s">
        <v>547</v>
      </c>
      <c r="G6" s="487" t="s">
        <v>418</v>
      </c>
      <c r="H6" s="488" t="s">
        <v>425</v>
      </c>
      <c r="I6" s="489" t="s">
        <v>548</v>
      </c>
      <c r="J6" s="470"/>
    </row>
    <row r="7" spans="1:11" ht="12" customHeight="1" x14ac:dyDescent="0.2">
      <c r="A7" s="490" t="s">
        <v>472</v>
      </c>
      <c r="B7" s="491">
        <v>0.16268000366213003</v>
      </c>
      <c r="C7" s="492" t="s">
        <v>549</v>
      </c>
      <c r="D7" s="493">
        <v>1000</v>
      </c>
      <c r="E7" s="491" t="s">
        <v>240</v>
      </c>
      <c r="F7" s="491" t="s">
        <v>240</v>
      </c>
      <c r="G7" s="494">
        <v>3.7928104235024822</v>
      </c>
      <c r="H7" s="495" t="s">
        <v>550</v>
      </c>
      <c r="I7" s="496">
        <v>0.16268000366213003</v>
      </c>
      <c r="J7" s="470"/>
    </row>
    <row r="8" spans="1:11" ht="12" customHeight="1" x14ac:dyDescent="0.2">
      <c r="A8" s="497" t="s">
        <v>473</v>
      </c>
      <c r="B8" s="498">
        <v>0.10122807769451152</v>
      </c>
      <c r="C8" s="499" t="s">
        <v>549</v>
      </c>
      <c r="D8" s="500">
        <v>1000</v>
      </c>
      <c r="E8" s="498" t="s">
        <v>240</v>
      </c>
      <c r="F8" s="498" t="s">
        <v>240</v>
      </c>
      <c r="G8" s="501">
        <v>1.9090531225825822</v>
      </c>
      <c r="H8" s="502" t="s">
        <v>550</v>
      </c>
      <c r="I8" s="503">
        <v>0.10122807769451152</v>
      </c>
      <c r="J8" s="470"/>
    </row>
    <row r="9" spans="1:11" ht="12" customHeight="1" x14ac:dyDescent="0.2">
      <c r="A9" s="497" t="s">
        <v>474</v>
      </c>
      <c r="B9" s="498">
        <v>3.8014000120415808E-3</v>
      </c>
      <c r="C9" s="499" t="s">
        <v>549</v>
      </c>
      <c r="D9" s="500">
        <v>1000</v>
      </c>
      <c r="E9" s="498" t="s">
        <v>240</v>
      </c>
      <c r="F9" s="498" t="s">
        <v>240</v>
      </c>
      <c r="G9" s="501">
        <v>2.5285298441059922E-2</v>
      </c>
      <c r="H9" s="502" t="s">
        <v>550</v>
      </c>
      <c r="I9" s="503">
        <v>3.8014000120415808E-3</v>
      </c>
      <c r="J9" s="470"/>
    </row>
    <row r="10" spans="1:11" ht="12" customHeight="1" x14ac:dyDescent="0.2">
      <c r="A10" s="497" t="s">
        <v>475</v>
      </c>
      <c r="B10" s="498">
        <v>7.853076965809733E-3</v>
      </c>
      <c r="C10" s="499" t="s">
        <v>549</v>
      </c>
      <c r="D10" s="500">
        <v>1000</v>
      </c>
      <c r="E10" s="498" t="s">
        <v>240</v>
      </c>
      <c r="F10" s="498" t="s">
        <v>240</v>
      </c>
      <c r="G10" s="501">
        <v>0.1264273591114293</v>
      </c>
      <c r="H10" s="502" t="s">
        <v>550</v>
      </c>
      <c r="I10" s="503">
        <v>7.853076965809733E-3</v>
      </c>
      <c r="J10" s="470"/>
    </row>
    <row r="11" spans="1:11" ht="12" customHeight="1" x14ac:dyDescent="0.2">
      <c r="A11" s="497" t="s">
        <v>476</v>
      </c>
      <c r="B11" s="498">
        <v>2.3572000044690404E-4</v>
      </c>
      <c r="C11" s="499" t="s">
        <v>549</v>
      </c>
      <c r="D11" s="500">
        <v>1000</v>
      </c>
      <c r="E11" s="498" t="s">
        <v>240</v>
      </c>
      <c r="F11" s="498" t="s">
        <v>240</v>
      </c>
      <c r="G11" s="501">
        <v>2.5285443995509162E-2</v>
      </c>
      <c r="H11" s="502" t="s">
        <v>550</v>
      </c>
      <c r="I11" s="503">
        <v>2.3572000044690404E-4</v>
      </c>
      <c r="J11" s="470"/>
    </row>
    <row r="12" spans="1:11" ht="12" customHeight="1" x14ac:dyDescent="0.2">
      <c r="A12" s="497" t="s">
        <v>477</v>
      </c>
      <c r="B12" s="498">
        <v>0.1264273591114293</v>
      </c>
      <c r="C12" s="499" t="s">
        <v>416</v>
      </c>
      <c r="D12" s="500">
        <v>1000</v>
      </c>
      <c r="E12" s="498" t="s">
        <v>240</v>
      </c>
      <c r="F12" s="498" t="s">
        <v>240</v>
      </c>
      <c r="G12" s="501">
        <v>0.1264273591114293</v>
      </c>
      <c r="H12" s="502" t="s">
        <v>550</v>
      </c>
      <c r="I12" s="503">
        <v>1000000</v>
      </c>
      <c r="J12" s="470"/>
    </row>
    <row r="13" spans="1:11" ht="12" customHeight="1" x14ac:dyDescent="0.2">
      <c r="A13" s="497" t="s">
        <v>200</v>
      </c>
      <c r="B13" s="498">
        <v>0.39205565102639289</v>
      </c>
      <c r="C13" s="499" t="s">
        <v>549</v>
      </c>
      <c r="D13" s="500">
        <v>1000</v>
      </c>
      <c r="E13" s="498" t="s">
        <v>240</v>
      </c>
      <c r="F13" s="498" t="s">
        <v>240</v>
      </c>
      <c r="G13" s="501">
        <v>29.086715505210876</v>
      </c>
      <c r="H13" s="502" t="s">
        <v>551</v>
      </c>
      <c r="I13" s="503">
        <v>0.39205565102639289</v>
      </c>
      <c r="J13" s="470"/>
    </row>
    <row r="14" spans="1:11" ht="12" customHeight="1" x14ac:dyDescent="0.2">
      <c r="A14" s="497" t="s">
        <v>478</v>
      </c>
      <c r="B14" s="498">
        <v>5.1333576759530803E-4</v>
      </c>
      <c r="C14" s="499" t="s">
        <v>549</v>
      </c>
      <c r="D14" s="500">
        <v>1000</v>
      </c>
      <c r="E14" s="498" t="s">
        <v>240</v>
      </c>
      <c r="F14" s="498" t="s">
        <v>240</v>
      </c>
      <c r="G14" s="501">
        <v>5.0376844612152221</v>
      </c>
      <c r="H14" s="502" t="s">
        <v>551</v>
      </c>
      <c r="I14" s="503">
        <v>5.1333576759530803E-4</v>
      </c>
      <c r="J14" s="470"/>
    </row>
    <row r="15" spans="1:11" ht="12" customHeight="1" x14ac:dyDescent="0.2">
      <c r="A15" s="497" t="s">
        <v>479</v>
      </c>
      <c r="B15" s="498">
        <v>0.2207152640769231</v>
      </c>
      <c r="C15" s="499" t="s">
        <v>549</v>
      </c>
      <c r="D15" s="500">
        <v>1000</v>
      </c>
      <c r="E15" s="498" t="s">
        <v>240</v>
      </c>
      <c r="F15" s="498" t="s">
        <v>240</v>
      </c>
      <c r="G15" s="501">
        <v>48.041582792451379</v>
      </c>
      <c r="H15" s="502" t="s">
        <v>550</v>
      </c>
      <c r="I15" s="503">
        <v>0.2207152640769231</v>
      </c>
      <c r="J15" s="470"/>
    </row>
    <row r="16" spans="1:11" ht="12" customHeight="1" x14ac:dyDescent="0.2">
      <c r="A16" s="497" t="s">
        <v>480</v>
      </c>
      <c r="B16" s="498">
        <v>2.4389233605352306E-2</v>
      </c>
      <c r="C16" s="499" t="s">
        <v>549</v>
      </c>
      <c r="D16" s="500">
        <v>1000</v>
      </c>
      <c r="E16" s="498" t="s">
        <v>240</v>
      </c>
      <c r="F16" s="498" t="s">
        <v>240</v>
      </c>
      <c r="G16" s="501">
        <v>5.0570299660946043</v>
      </c>
      <c r="H16" s="502" t="s">
        <v>550</v>
      </c>
      <c r="I16" s="503">
        <v>2.4389233605352306E-2</v>
      </c>
      <c r="J16" s="504"/>
      <c r="K16" s="505"/>
    </row>
    <row r="17" spans="1:10" ht="12" customHeight="1" x14ac:dyDescent="0.2">
      <c r="A17" s="497" t="s">
        <v>481</v>
      </c>
      <c r="B17" s="498">
        <v>0.34157692588200961</v>
      </c>
      <c r="C17" s="499" t="s">
        <v>549</v>
      </c>
      <c r="D17" s="500">
        <v>1000</v>
      </c>
      <c r="E17" s="498" t="s">
        <v>240</v>
      </c>
      <c r="F17" s="498" t="s">
        <v>240</v>
      </c>
      <c r="G17" s="501">
        <v>6.3212874576182552</v>
      </c>
      <c r="H17" s="502" t="s">
        <v>550</v>
      </c>
      <c r="I17" s="503">
        <v>0.34157692588200961</v>
      </c>
      <c r="J17" s="470"/>
    </row>
    <row r="18" spans="1:10" ht="12" customHeight="1" x14ac:dyDescent="0.2">
      <c r="A18" s="497" t="s">
        <v>482</v>
      </c>
      <c r="B18" s="498">
        <v>2.6687692407481776E-2</v>
      </c>
      <c r="C18" s="499" t="s">
        <v>549</v>
      </c>
      <c r="D18" s="500">
        <v>1000</v>
      </c>
      <c r="E18" s="498" t="s">
        <v>240</v>
      </c>
      <c r="F18" s="498" t="s">
        <v>240</v>
      </c>
      <c r="G18" s="501">
        <v>0.2528547182228586</v>
      </c>
      <c r="H18" s="502" t="s">
        <v>550</v>
      </c>
      <c r="I18" s="503">
        <v>2.6687692407481776E-2</v>
      </c>
      <c r="J18" s="470"/>
    </row>
    <row r="19" spans="1:10" ht="12" customHeight="1" x14ac:dyDescent="0.2">
      <c r="A19" s="497" t="s">
        <v>483</v>
      </c>
      <c r="B19" s="498">
        <v>1.1022400047669761E-3</v>
      </c>
      <c r="C19" s="499" t="s">
        <v>549</v>
      </c>
      <c r="D19" s="500">
        <v>1000</v>
      </c>
      <c r="E19" s="498" t="s">
        <v>240</v>
      </c>
      <c r="F19" s="498" t="s">
        <v>240</v>
      </c>
      <c r="G19" s="501">
        <v>3.7926970838246823E-2</v>
      </c>
      <c r="H19" s="502" t="s">
        <v>550</v>
      </c>
      <c r="I19" s="503">
        <v>1.1022400047669761E-3</v>
      </c>
      <c r="J19" s="470"/>
    </row>
    <row r="20" spans="1:10" ht="12" customHeight="1" x14ac:dyDescent="0.2">
      <c r="A20" s="497" t="s">
        <v>484</v>
      </c>
      <c r="B20" s="498">
        <v>4.6812000732426003E-3</v>
      </c>
      <c r="C20" s="499" t="s">
        <v>549</v>
      </c>
      <c r="D20" s="500">
        <v>1000</v>
      </c>
      <c r="E20" s="498" t="s">
        <v>240</v>
      </c>
      <c r="F20" s="498" t="s">
        <v>240</v>
      </c>
      <c r="G20" s="501">
        <v>3.792802661159253E-2</v>
      </c>
      <c r="H20" s="502" t="s">
        <v>550</v>
      </c>
      <c r="I20" s="503">
        <v>4.6812000732426003E-3</v>
      </c>
      <c r="J20" s="470"/>
    </row>
    <row r="21" spans="1:10" ht="12" customHeight="1" x14ac:dyDescent="0.2">
      <c r="A21" s="497" t="s">
        <v>485</v>
      </c>
      <c r="B21" s="498">
        <v>5.0821539177730766E-4</v>
      </c>
      <c r="C21" s="499" t="s">
        <v>549</v>
      </c>
      <c r="D21" s="500">
        <v>1000</v>
      </c>
      <c r="E21" s="498" t="s">
        <v>240</v>
      </c>
      <c r="F21" s="498" t="s">
        <v>240</v>
      </c>
      <c r="G21" s="501">
        <v>2.5285429294595263E-2</v>
      </c>
      <c r="H21" s="502" t="s">
        <v>550</v>
      </c>
      <c r="I21" s="503">
        <v>5.0821539177730766E-4</v>
      </c>
      <c r="J21" s="470"/>
    </row>
    <row r="22" spans="1:10" ht="12" customHeight="1" x14ac:dyDescent="0.2">
      <c r="A22" s="497" t="s">
        <v>486</v>
      </c>
      <c r="B22" s="498">
        <v>6.321367955571465E-2</v>
      </c>
      <c r="C22" s="499" t="s">
        <v>416</v>
      </c>
      <c r="D22" s="500">
        <v>1000</v>
      </c>
      <c r="E22" s="498" t="s">
        <v>240</v>
      </c>
      <c r="F22" s="498" t="s">
        <v>240</v>
      </c>
      <c r="G22" s="501">
        <v>6.321367955571465E-2</v>
      </c>
      <c r="H22" s="502" t="s">
        <v>550</v>
      </c>
      <c r="I22" s="503">
        <v>1000000</v>
      </c>
      <c r="J22" s="470"/>
    </row>
    <row r="23" spans="1:10" ht="12" customHeight="1" x14ac:dyDescent="0.2">
      <c r="A23" s="497" t="s">
        <v>487</v>
      </c>
      <c r="B23" s="498">
        <v>8.4705728342417075E-2</v>
      </c>
      <c r="C23" s="499" t="s">
        <v>416</v>
      </c>
      <c r="D23" s="500">
        <v>1000</v>
      </c>
      <c r="E23" s="498" t="s">
        <v>240</v>
      </c>
      <c r="F23" s="498" t="s">
        <v>240</v>
      </c>
      <c r="G23" s="501">
        <v>8.4705728342417075E-2</v>
      </c>
      <c r="H23" s="502" t="s">
        <v>550</v>
      </c>
      <c r="I23" s="503">
        <v>1000000</v>
      </c>
      <c r="J23" s="470"/>
    </row>
    <row r="24" spans="1:10" ht="12" customHeight="1" x14ac:dyDescent="0.2">
      <c r="A24" s="497" t="s">
        <v>488</v>
      </c>
      <c r="B24" s="498">
        <v>8.4706330604657626E-2</v>
      </c>
      <c r="C24" s="499" t="s">
        <v>416</v>
      </c>
      <c r="D24" s="500">
        <v>1000</v>
      </c>
      <c r="E24" s="498" t="s">
        <v>240</v>
      </c>
      <c r="F24" s="498" t="s">
        <v>240</v>
      </c>
      <c r="G24" s="501">
        <v>8.4706330604657626E-2</v>
      </c>
      <c r="H24" s="502" t="s">
        <v>550</v>
      </c>
      <c r="I24" s="503">
        <v>1000000</v>
      </c>
      <c r="J24" s="470"/>
    </row>
    <row r="25" spans="1:10" s="506" customFormat="1" ht="12" customHeight="1" x14ac:dyDescent="0.2">
      <c r="A25" s="497" t="s">
        <v>489</v>
      </c>
      <c r="B25" s="498">
        <v>0.84706330604657598</v>
      </c>
      <c r="C25" s="499" t="s">
        <v>416</v>
      </c>
      <c r="D25" s="500">
        <v>1000</v>
      </c>
      <c r="E25" s="498" t="s">
        <v>240</v>
      </c>
      <c r="F25" s="498" t="s">
        <v>240</v>
      </c>
      <c r="G25" s="501">
        <v>0.84706330604657598</v>
      </c>
      <c r="H25" s="502" t="s">
        <v>550</v>
      </c>
      <c r="I25" s="503">
        <v>1000000</v>
      </c>
    </row>
    <row r="26" spans="1:10" s="506" customFormat="1" ht="12" customHeight="1" x14ac:dyDescent="0.2">
      <c r="A26" s="497" t="s">
        <v>490</v>
      </c>
      <c r="B26" s="498">
        <v>5.0642769872477544E-3</v>
      </c>
      <c r="C26" s="499" t="s">
        <v>549</v>
      </c>
      <c r="D26" s="500">
        <v>1000</v>
      </c>
      <c r="E26" s="498" t="s">
        <v>240</v>
      </c>
      <c r="F26" s="498" t="s">
        <v>240</v>
      </c>
      <c r="G26" s="501">
        <v>0.15171283093371513</v>
      </c>
      <c r="H26" s="502" t="s">
        <v>550</v>
      </c>
      <c r="I26" s="503">
        <v>5.0642769872477544E-3</v>
      </c>
    </row>
    <row r="27" spans="1:10" s="506" customFormat="1" ht="12" customHeight="1" x14ac:dyDescent="0.2">
      <c r="A27" s="497" t="s">
        <v>491</v>
      </c>
      <c r="B27" s="498">
        <v>6.7587200420000004E-4</v>
      </c>
      <c r="C27" s="499" t="s">
        <v>549</v>
      </c>
      <c r="D27" s="500">
        <v>1000</v>
      </c>
      <c r="E27" s="498" t="s">
        <v>240</v>
      </c>
      <c r="F27" s="498" t="s">
        <v>240</v>
      </c>
      <c r="G27" s="501">
        <v>3.7928207733428781E-2</v>
      </c>
      <c r="H27" s="502" t="s">
        <v>550</v>
      </c>
      <c r="I27" s="503">
        <v>6.7587200420000004E-4</v>
      </c>
    </row>
    <row r="28" spans="1:10" s="506" customFormat="1" ht="12" customHeight="1" x14ac:dyDescent="0.2">
      <c r="A28" s="497" t="s">
        <v>492</v>
      </c>
      <c r="B28" s="498">
        <v>0.23580300170382151</v>
      </c>
      <c r="C28" s="499" t="s">
        <v>549</v>
      </c>
      <c r="D28" s="500">
        <v>1000</v>
      </c>
      <c r="E28" s="498" t="s">
        <v>240</v>
      </c>
      <c r="F28" s="498" t="s">
        <v>240</v>
      </c>
      <c r="G28" s="501">
        <v>4.9305812995733218</v>
      </c>
      <c r="H28" s="502" t="s">
        <v>550</v>
      </c>
      <c r="I28" s="503">
        <v>0.23580300170382151</v>
      </c>
    </row>
    <row r="29" spans="1:10" s="506" customFormat="1" ht="12" customHeight="1" x14ac:dyDescent="0.2">
      <c r="A29" s="497" t="s">
        <v>493</v>
      </c>
      <c r="B29" s="498">
        <v>0.18521769359683854</v>
      </c>
      <c r="C29" s="499" t="s">
        <v>549</v>
      </c>
      <c r="D29" s="500">
        <v>1000</v>
      </c>
      <c r="E29" s="498" t="s">
        <v>240</v>
      </c>
      <c r="F29" s="498" t="s">
        <v>240</v>
      </c>
      <c r="G29" s="501">
        <v>3.7928207733428785</v>
      </c>
      <c r="H29" s="502" t="s">
        <v>550</v>
      </c>
      <c r="I29" s="503">
        <v>0.18521769359683854</v>
      </c>
    </row>
    <row r="30" spans="1:10" s="506" customFormat="1" ht="12" customHeight="1" x14ac:dyDescent="0.2">
      <c r="A30" s="497" t="s">
        <v>494</v>
      </c>
      <c r="B30" s="498">
        <v>2.6228000080691003</v>
      </c>
      <c r="C30" s="499" t="s">
        <v>549</v>
      </c>
      <c r="D30" s="500">
        <v>1000</v>
      </c>
      <c r="E30" s="498" t="s">
        <v>240</v>
      </c>
      <c r="F30" s="498" t="s">
        <v>240</v>
      </c>
      <c r="G30" s="501">
        <v>16.435347389807468</v>
      </c>
      <c r="H30" s="502" t="s">
        <v>550</v>
      </c>
      <c r="I30" s="503">
        <v>2.6228000080691003</v>
      </c>
    </row>
    <row r="31" spans="1:10" s="506" customFormat="1" ht="12" customHeight="1" x14ac:dyDescent="0.2">
      <c r="A31" s="497" t="s">
        <v>495</v>
      </c>
      <c r="B31" s="498">
        <v>1.5731692362576515</v>
      </c>
      <c r="C31" s="499" t="s">
        <v>549</v>
      </c>
      <c r="D31" s="500">
        <v>1000</v>
      </c>
      <c r="E31" s="498" t="s">
        <v>240</v>
      </c>
      <c r="F31" s="498" t="s">
        <v>240</v>
      </c>
      <c r="G31" s="501">
        <v>13.906832406760163</v>
      </c>
      <c r="H31" s="502" t="s">
        <v>550</v>
      </c>
      <c r="I31" s="503">
        <v>1.5731692362576515</v>
      </c>
    </row>
    <row r="32" spans="1:10" s="506" customFormat="1" ht="12" customHeight="1" thickBot="1" x14ac:dyDescent="0.25">
      <c r="A32" s="507" t="s">
        <v>496</v>
      </c>
      <c r="B32" s="508">
        <v>6.3213679555714641</v>
      </c>
      <c r="C32" s="509" t="s">
        <v>416</v>
      </c>
      <c r="D32" s="510">
        <v>1000</v>
      </c>
      <c r="E32" s="508" t="s">
        <v>240</v>
      </c>
      <c r="F32" s="508" t="s">
        <v>240</v>
      </c>
      <c r="G32" s="511">
        <v>6.3213679555714641</v>
      </c>
      <c r="H32" s="512" t="s">
        <v>550</v>
      </c>
      <c r="I32" s="513">
        <v>77741.0454013212</v>
      </c>
    </row>
    <row r="33" spans="1:10" s="517" customFormat="1" ht="11.25" customHeight="1" thickTop="1" x14ac:dyDescent="0.2">
      <c r="A33" s="514" t="s">
        <v>238</v>
      </c>
      <c r="B33" s="515"/>
      <c r="C33" s="515"/>
      <c r="D33" s="515"/>
      <c r="E33" s="515"/>
      <c r="F33" s="504"/>
      <c r="G33" s="515"/>
      <c r="H33" s="515"/>
      <c r="I33" s="516"/>
    </row>
    <row r="34" spans="1:10" s="517" customFormat="1" ht="11.25" customHeight="1" x14ac:dyDescent="0.2">
      <c r="A34" s="518" t="s">
        <v>508</v>
      </c>
      <c r="B34" s="519"/>
      <c r="C34" s="519"/>
      <c r="D34" s="519"/>
      <c r="E34" s="520"/>
      <c r="F34" s="504"/>
      <c r="G34" s="515"/>
      <c r="H34" s="515"/>
      <c r="I34" s="516"/>
    </row>
    <row r="35" spans="1:10" s="517" customFormat="1" ht="11.25" customHeight="1" x14ac:dyDescent="0.2">
      <c r="A35" s="521" t="s">
        <v>552</v>
      </c>
      <c r="B35" s="515"/>
      <c r="C35" s="515"/>
      <c r="D35" s="515"/>
      <c r="E35" s="515"/>
      <c r="F35" s="504"/>
      <c r="G35" s="515"/>
      <c r="H35" s="515"/>
      <c r="I35" s="522"/>
    </row>
    <row r="36" spans="1:10" s="517" customFormat="1" ht="11.25" customHeight="1" x14ac:dyDescent="0.2">
      <c r="A36" s="521" t="s">
        <v>553</v>
      </c>
      <c r="B36" s="515"/>
      <c r="C36" s="515"/>
      <c r="D36" s="515"/>
      <c r="E36" s="515"/>
      <c r="F36" s="504"/>
      <c r="G36" s="515"/>
      <c r="H36" s="515"/>
      <c r="I36" s="522"/>
    </row>
    <row r="37" spans="1:10" s="517" customFormat="1" ht="11.25" customHeight="1" x14ac:dyDescent="0.2">
      <c r="A37" s="521" t="s">
        <v>554</v>
      </c>
      <c r="B37" s="515"/>
      <c r="C37" s="515"/>
      <c r="D37" s="515"/>
      <c r="E37" s="515"/>
      <c r="F37" s="504"/>
      <c r="G37" s="515"/>
      <c r="H37" s="515"/>
      <c r="I37" s="522"/>
    </row>
    <row r="38" spans="1:10" s="517" customFormat="1" ht="11.25" customHeight="1" x14ac:dyDescent="0.2">
      <c r="A38" s="518" t="s">
        <v>555</v>
      </c>
      <c r="B38" s="515"/>
      <c r="C38" s="515"/>
      <c r="D38" s="515"/>
      <c r="E38" s="515"/>
      <c r="F38" s="504"/>
      <c r="G38" s="515"/>
      <c r="H38" s="515"/>
      <c r="I38" s="522"/>
    </row>
    <row r="39" spans="1:10" s="517" customFormat="1" ht="11.25" customHeight="1" x14ac:dyDescent="0.2">
      <c r="A39" s="521"/>
      <c r="B39" s="515"/>
      <c r="C39" s="515"/>
      <c r="D39" s="515"/>
      <c r="E39" s="515"/>
      <c r="F39" s="504"/>
      <c r="G39" s="515"/>
      <c r="H39" s="515"/>
      <c r="I39" s="522"/>
    </row>
    <row r="40" spans="1:10" ht="11.25" customHeight="1" thickBot="1" x14ac:dyDescent="0.25">
      <c r="A40" s="523"/>
      <c r="B40" s="524"/>
      <c r="C40" s="524"/>
      <c r="D40" s="524"/>
      <c r="E40" s="524"/>
      <c r="F40" s="525"/>
      <c r="G40" s="524"/>
      <c r="H40" s="524"/>
      <c r="I40" s="526"/>
      <c r="J40" s="470"/>
    </row>
    <row r="41" spans="1:10" ht="13.5" thickTop="1" x14ac:dyDescent="0.2">
      <c r="J41" s="474"/>
    </row>
  </sheetData>
  <sheetProtection algorithmName="SHA-512" hashValue="FhPV6aMQNAbrmqRgjzfNDfbhYe0mVZZQ+rXAKNL+HAMd9k3pzPaB27nhMMnUWhEw3u80HmYZPxKiihlzIAhgWg==" saltValue="tD7A4Juk+Ynuu5v9u8SbYw==" spinCount="100000" sheet="1" objects="1" scenarios="1"/>
  <mergeCells count="8">
    <mergeCell ref="A1:I1"/>
    <mergeCell ref="F4:F5"/>
    <mergeCell ref="A4:A6"/>
    <mergeCell ref="D4:D5"/>
    <mergeCell ref="B4:B6"/>
    <mergeCell ref="E4:E5"/>
    <mergeCell ref="B3:I3"/>
    <mergeCell ref="G4:H4"/>
  </mergeCells>
  <phoneticPr fontId="0" type="noConversion"/>
  <printOptions horizontalCentered="1"/>
  <pageMargins left="0.15748031496063" right="0.15748031496063" top="0.511811023622047" bottom="0.98425196850393704" header="0.511811023622047" footer="0.511811023622047"/>
  <pageSetup scale="84" fitToHeight="4" orientation="landscape" r:id="rId1"/>
  <headerFooter alignWithMargins="0">
    <oddFooter>&amp;LHawai'i DOH
PFASs November 2024&amp;C&amp;8Page &amp;P of &amp;N&amp;R&amp;A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29"/>
    <pageSetUpPr fitToPage="1"/>
  </sheetPr>
  <dimension ref="A1:K41"/>
  <sheetViews>
    <sheetView zoomScaleNormal="100" workbookViewId="0">
      <selection activeCell="F24" sqref="F24"/>
    </sheetView>
  </sheetViews>
  <sheetFormatPr defaultColWidth="9.140625" defaultRowHeight="11.25" x14ac:dyDescent="0.2"/>
  <cols>
    <col min="1" max="1" width="50.5703125" style="470" customWidth="1"/>
    <col min="2" max="2" width="12.140625" style="505" customWidth="1"/>
    <col min="3" max="3" width="19.7109375" style="505" customWidth="1"/>
    <col min="4" max="4" width="13.85546875" style="505" customWidth="1"/>
    <col min="5" max="5" width="13.5703125" style="505" customWidth="1"/>
    <col min="6" max="6" width="11.7109375" style="505" customWidth="1"/>
    <col min="7" max="7" width="10.140625" style="528" customWidth="1"/>
    <col min="8" max="8" width="11.5703125" style="528" customWidth="1"/>
    <col min="9" max="9" width="12.7109375" style="528" customWidth="1"/>
    <col min="10" max="16384" width="9.140625" style="470"/>
  </cols>
  <sheetData>
    <row r="1" spans="1:11" ht="47.25" x14ac:dyDescent="0.25">
      <c r="A1" s="471" t="s">
        <v>556</v>
      </c>
      <c r="B1" s="468"/>
      <c r="C1" s="468"/>
      <c r="D1" s="468"/>
      <c r="E1" s="472"/>
      <c r="F1" s="473"/>
      <c r="G1" s="473"/>
      <c r="H1" s="468"/>
      <c r="I1" s="468"/>
      <c r="J1" s="468"/>
      <c r="K1" s="469"/>
    </row>
    <row r="2" spans="1:11" ht="16.5" thickBot="1" x14ac:dyDescent="0.3">
      <c r="A2" s="471"/>
      <c r="B2" s="468"/>
      <c r="C2" s="468"/>
      <c r="D2" s="468"/>
      <c r="E2" s="472"/>
      <c r="F2" s="468"/>
      <c r="G2" s="468"/>
      <c r="H2" s="468"/>
      <c r="I2" s="468"/>
    </row>
    <row r="3" spans="1:11" s="565" customFormat="1" ht="14.1" customHeight="1" thickTop="1" thickBot="1" x14ac:dyDescent="0.25">
      <c r="A3" s="736"/>
      <c r="B3" s="569" t="s">
        <v>539</v>
      </c>
      <c r="C3" s="737"/>
      <c r="D3" s="738"/>
      <c r="E3" s="738"/>
      <c r="F3" s="739"/>
      <c r="G3" s="738"/>
      <c r="H3" s="738"/>
      <c r="I3" s="533"/>
    </row>
    <row r="4" spans="1:11" s="565" customFormat="1" ht="35.25" customHeight="1" thickTop="1" thickBot="1" x14ac:dyDescent="0.25">
      <c r="A4" s="1550" t="s">
        <v>469</v>
      </c>
      <c r="B4" s="1547" t="s">
        <v>540</v>
      </c>
      <c r="C4" s="476"/>
      <c r="D4" s="1552" t="s">
        <v>541</v>
      </c>
      <c r="E4" s="1540" t="s">
        <v>542</v>
      </c>
      <c r="F4" s="1540" t="s">
        <v>543</v>
      </c>
      <c r="G4" s="740" t="s">
        <v>544</v>
      </c>
      <c r="H4" s="477"/>
      <c r="I4" s="741" t="s">
        <v>545</v>
      </c>
    </row>
    <row r="5" spans="1:11" s="565" customFormat="1" ht="35.1" customHeight="1" x14ac:dyDescent="0.2">
      <c r="A5" s="1550"/>
      <c r="B5" s="1548"/>
      <c r="C5" s="479"/>
      <c r="D5" s="1546"/>
      <c r="E5" s="1541"/>
      <c r="F5" s="1541"/>
      <c r="G5" s="742" t="s">
        <v>259</v>
      </c>
      <c r="H5" s="481" t="s">
        <v>546</v>
      </c>
      <c r="I5" s="482" t="s">
        <v>186</v>
      </c>
    </row>
    <row r="6" spans="1:11" s="565" customFormat="1" ht="12" thickBot="1" x14ac:dyDescent="0.25">
      <c r="A6" s="1551"/>
      <c r="B6" s="1549"/>
      <c r="C6" s="483" t="s">
        <v>405</v>
      </c>
      <c r="D6" s="484" t="s">
        <v>437</v>
      </c>
      <c r="E6" s="485" t="s">
        <v>434</v>
      </c>
      <c r="F6" s="486" t="s">
        <v>547</v>
      </c>
      <c r="G6" s="487" t="s">
        <v>418</v>
      </c>
      <c r="H6" s="488" t="s">
        <v>425</v>
      </c>
      <c r="I6" s="489" t="s">
        <v>548</v>
      </c>
    </row>
    <row r="7" spans="1:11" ht="12" customHeight="1" x14ac:dyDescent="0.2">
      <c r="A7" s="490" t="s">
        <v>472</v>
      </c>
      <c r="B7" s="491">
        <v>0.16268000366213003</v>
      </c>
      <c r="C7" s="492" t="s">
        <v>549</v>
      </c>
      <c r="D7" s="743">
        <v>1000</v>
      </c>
      <c r="E7" s="491" t="s">
        <v>240</v>
      </c>
      <c r="F7" s="491" t="s">
        <v>240</v>
      </c>
      <c r="G7" s="744">
        <v>3.7928104235024822</v>
      </c>
      <c r="H7" s="495" t="s">
        <v>550</v>
      </c>
      <c r="I7" s="745">
        <v>0.16268000366213003</v>
      </c>
    </row>
    <row r="8" spans="1:11" ht="12" customHeight="1" x14ac:dyDescent="0.2">
      <c r="A8" s="497" t="s">
        <v>473</v>
      </c>
      <c r="B8" s="498">
        <v>0.10122807769451152</v>
      </c>
      <c r="C8" s="499" t="s">
        <v>549</v>
      </c>
      <c r="D8" s="746">
        <v>1000</v>
      </c>
      <c r="E8" s="498" t="s">
        <v>240</v>
      </c>
      <c r="F8" s="498" t="s">
        <v>240</v>
      </c>
      <c r="G8" s="747">
        <v>1.9090531225825822</v>
      </c>
      <c r="H8" s="502" t="s">
        <v>550</v>
      </c>
      <c r="I8" s="748">
        <v>0.10122807769451152</v>
      </c>
    </row>
    <row r="9" spans="1:11" ht="12" customHeight="1" x14ac:dyDescent="0.2">
      <c r="A9" s="497" t="s">
        <v>474</v>
      </c>
      <c r="B9" s="498">
        <v>3.8014000120415808E-3</v>
      </c>
      <c r="C9" s="499" t="s">
        <v>549</v>
      </c>
      <c r="D9" s="746">
        <v>1000</v>
      </c>
      <c r="E9" s="498" t="s">
        <v>240</v>
      </c>
      <c r="F9" s="498" t="s">
        <v>240</v>
      </c>
      <c r="G9" s="747">
        <v>2.5285298441059922E-2</v>
      </c>
      <c r="H9" s="502" t="s">
        <v>550</v>
      </c>
      <c r="I9" s="748">
        <v>3.8014000120415808E-3</v>
      </c>
    </row>
    <row r="10" spans="1:11" ht="12" customHeight="1" x14ac:dyDescent="0.2">
      <c r="A10" s="497" t="s">
        <v>475</v>
      </c>
      <c r="B10" s="498">
        <v>7.853076965809733E-3</v>
      </c>
      <c r="C10" s="499" t="s">
        <v>549</v>
      </c>
      <c r="D10" s="746">
        <v>1000</v>
      </c>
      <c r="E10" s="498" t="s">
        <v>240</v>
      </c>
      <c r="F10" s="498" t="s">
        <v>240</v>
      </c>
      <c r="G10" s="747">
        <v>0.1264273591114293</v>
      </c>
      <c r="H10" s="502" t="s">
        <v>550</v>
      </c>
      <c r="I10" s="748">
        <v>7.853076965809733E-3</v>
      </c>
    </row>
    <row r="11" spans="1:11" ht="12" customHeight="1" x14ac:dyDescent="0.2">
      <c r="A11" s="497" t="s">
        <v>476</v>
      </c>
      <c r="B11" s="498">
        <v>2.3572000044690404E-4</v>
      </c>
      <c r="C11" s="499" t="s">
        <v>549</v>
      </c>
      <c r="D11" s="746">
        <v>1000</v>
      </c>
      <c r="E11" s="498" t="s">
        <v>240</v>
      </c>
      <c r="F11" s="498" t="s">
        <v>240</v>
      </c>
      <c r="G11" s="747">
        <v>2.5285443995509162E-2</v>
      </c>
      <c r="H11" s="502" t="s">
        <v>550</v>
      </c>
      <c r="I11" s="748">
        <v>2.3572000044690404E-4</v>
      </c>
    </row>
    <row r="12" spans="1:11" ht="12" customHeight="1" x14ac:dyDescent="0.2">
      <c r="A12" s="497" t="s">
        <v>477</v>
      </c>
      <c r="B12" s="498">
        <v>0.1264273591114293</v>
      </c>
      <c r="C12" s="499" t="s">
        <v>416</v>
      </c>
      <c r="D12" s="746">
        <v>1000</v>
      </c>
      <c r="E12" s="498" t="s">
        <v>240</v>
      </c>
      <c r="F12" s="498" t="s">
        <v>240</v>
      </c>
      <c r="G12" s="747">
        <v>0.1264273591114293</v>
      </c>
      <c r="H12" s="502" t="s">
        <v>550</v>
      </c>
      <c r="I12" s="748">
        <v>1000000</v>
      </c>
    </row>
    <row r="13" spans="1:11" ht="12" customHeight="1" x14ac:dyDescent="0.2">
      <c r="A13" s="497" t="s">
        <v>200</v>
      </c>
      <c r="B13" s="498">
        <v>0.39205565102639289</v>
      </c>
      <c r="C13" s="499" t="s">
        <v>549</v>
      </c>
      <c r="D13" s="746">
        <v>1000</v>
      </c>
      <c r="E13" s="498" t="s">
        <v>240</v>
      </c>
      <c r="F13" s="498" t="s">
        <v>240</v>
      </c>
      <c r="G13" s="747">
        <v>29.086715505210876</v>
      </c>
      <c r="H13" s="502" t="s">
        <v>551</v>
      </c>
      <c r="I13" s="748">
        <v>0.39205565102639289</v>
      </c>
    </row>
    <row r="14" spans="1:11" ht="12" customHeight="1" x14ac:dyDescent="0.2">
      <c r="A14" s="497" t="s">
        <v>478</v>
      </c>
      <c r="B14" s="498">
        <v>5.1333576759530803E-4</v>
      </c>
      <c r="C14" s="499" t="s">
        <v>549</v>
      </c>
      <c r="D14" s="746">
        <v>1000</v>
      </c>
      <c r="E14" s="498" t="s">
        <v>240</v>
      </c>
      <c r="F14" s="498" t="s">
        <v>240</v>
      </c>
      <c r="G14" s="747">
        <v>5.0376844612152221</v>
      </c>
      <c r="H14" s="502" t="s">
        <v>551</v>
      </c>
      <c r="I14" s="748">
        <v>5.1333576759530803E-4</v>
      </c>
    </row>
    <row r="15" spans="1:11" ht="12" customHeight="1" x14ac:dyDescent="0.2">
      <c r="A15" s="497" t="s">
        <v>479</v>
      </c>
      <c r="B15" s="498">
        <v>0.2207152640769231</v>
      </c>
      <c r="C15" s="499" t="s">
        <v>549</v>
      </c>
      <c r="D15" s="746">
        <v>1000</v>
      </c>
      <c r="E15" s="498" t="s">
        <v>240</v>
      </c>
      <c r="F15" s="498" t="s">
        <v>240</v>
      </c>
      <c r="G15" s="747">
        <v>48.041582792451379</v>
      </c>
      <c r="H15" s="502" t="s">
        <v>550</v>
      </c>
      <c r="I15" s="748">
        <v>0.2207152640769231</v>
      </c>
    </row>
    <row r="16" spans="1:11" ht="12" customHeight="1" x14ac:dyDescent="0.2">
      <c r="A16" s="497" t="s">
        <v>480</v>
      </c>
      <c r="B16" s="498">
        <v>2.4389233605352306E-2</v>
      </c>
      <c r="C16" s="499" t="s">
        <v>549</v>
      </c>
      <c r="D16" s="746">
        <v>1000</v>
      </c>
      <c r="E16" s="498" t="s">
        <v>240</v>
      </c>
      <c r="F16" s="498" t="s">
        <v>240</v>
      </c>
      <c r="G16" s="747">
        <v>5.0570299660946043</v>
      </c>
      <c r="H16" s="502" t="s">
        <v>550</v>
      </c>
      <c r="I16" s="748">
        <v>2.4389233605352306E-2</v>
      </c>
    </row>
    <row r="17" spans="1:9" ht="12" customHeight="1" x14ac:dyDescent="0.2">
      <c r="A17" s="497" t="s">
        <v>481</v>
      </c>
      <c r="B17" s="498">
        <v>0.34157692588200961</v>
      </c>
      <c r="C17" s="499" t="s">
        <v>549</v>
      </c>
      <c r="D17" s="746">
        <v>1000</v>
      </c>
      <c r="E17" s="498" t="s">
        <v>240</v>
      </c>
      <c r="F17" s="498" t="s">
        <v>240</v>
      </c>
      <c r="G17" s="747">
        <v>6.3212874576182552</v>
      </c>
      <c r="H17" s="502" t="s">
        <v>550</v>
      </c>
      <c r="I17" s="748">
        <v>0.34157692588200961</v>
      </c>
    </row>
    <row r="18" spans="1:9" ht="12" customHeight="1" x14ac:dyDescent="0.2">
      <c r="A18" s="497" t="s">
        <v>482</v>
      </c>
      <c r="B18" s="498">
        <v>2.6687692407481776E-2</v>
      </c>
      <c r="C18" s="499" t="s">
        <v>549</v>
      </c>
      <c r="D18" s="746">
        <v>1000</v>
      </c>
      <c r="E18" s="498" t="s">
        <v>240</v>
      </c>
      <c r="F18" s="498" t="s">
        <v>240</v>
      </c>
      <c r="G18" s="747">
        <v>0.2528547182228586</v>
      </c>
      <c r="H18" s="502" t="s">
        <v>550</v>
      </c>
      <c r="I18" s="748">
        <v>2.6687692407481776E-2</v>
      </c>
    </row>
    <row r="19" spans="1:9" ht="12" customHeight="1" x14ac:dyDescent="0.2">
      <c r="A19" s="497" t="s">
        <v>483</v>
      </c>
      <c r="B19" s="498">
        <v>1.1022400047669761E-3</v>
      </c>
      <c r="C19" s="499" t="s">
        <v>549</v>
      </c>
      <c r="D19" s="746">
        <v>1000</v>
      </c>
      <c r="E19" s="498" t="s">
        <v>240</v>
      </c>
      <c r="F19" s="498" t="s">
        <v>240</v>
      </c>
      <c r="G19" s="747">
        <v>3.7926970838246823E-2</v>
      </c>
      <c r="H19" s="502" t="s">
        <v>550</v>
      </c>
      <c r="I19" s="748">
        <v>1.1022400047669761E-3</v>
      </c>
    </row>
    <row r="20" spans="1:9" ht="12" customHeight="1" x14ac:dyDescent="0.2">
      <c r="A20" s="497" t="s">
        <v>484</v>
      </c>
      <c r="B20" s="498">
        <v>4.6812000732426003E-3</v>
      </c>
      <c r="C20" s="499" t="s">
        <v>549</v>
      </c>
      <c r="D20" s="746">
        <v>1000</v>
      </c>
      <c r="E20" s="498" t="s">
        <v>240</v>
      </c>
      <c r="F20" s="498" t="s">
        <v>240</v>
      </c>
      <c r="G20" s="747">
        <v>3.792802661159253E-2</v>
      </c>
      <c r="H20" s="502" t="s">
        <v>550</v>
      </c>
      <c r="I20" s="748">
        <v>4.6812000732426003E-3</v>
      </c>
    </row>
    <row r="21" spans="1:9" ht="12" customHeight="1" x14ac:dyDescent="0.2">
      <c r="A21" s="497" t="s">
        <v>485</v>
      </c>
      <c r="B21" s="498">
        <v>5.0821539177730766E-4</v>
      </c>
      <c r="C21" s="499" t="s">
        <v>549</v>
      </c>
      <c r="D21" s="746">
        <v>1000</v>
      </c>
      <c r="E21" s="498" t="s">
        <v>240</v>
      </c>
      <c r="F21" s="498" t="s">
        <v>240</v>
      </c>
      <c r="G21" s="747">
        <v>2.5285429294595263E-2</v>
      </c>
      <c r="H21" s="502" t="s">
        <v>550</v>
      </c>
      <c r="I21" s="748">
        <v>5.0821539177730766E-4</v>
      </c>
    </row>
    <row r="22" spans="1:9" ht="12" customHeight="1" x14ac:dyDescent="0.2">
      <c r="A22" s="497" t="s">
        <v>486</v>
      </c>
      <c r="B22" s="498">
        <v>6.321367955571465E-2</v>
      </c>
      <c r="C22" s="499" t="s">
        <v>416</v>
      </c>
      <c r="D22" s="746">
        <v>1000</v>
      </c>
      <c r="E22" s="498" t="s">
        <v>240</v>
      </c>
      <c r="F22" s="498" t="s">
        <v>240</v>
      </c>
      <c r="G22" s="747">
        <v>6.321367955571465E-2</v>
      </c>
      <c r="H22" s="502" t="s">
        <v>550</v>
      </c>
      <c r="I22" s="748">
        <v>1000000</v>
      </c>
    </row>
    <row r="23" spans="1:9" ht="12" customHeight="1" x14ac:dyDescent="0.2">
      <c r="A23" s="497" t="s">
        <v>487</v>
      </c>
      <c r="B23" s="498">
        <v>8.4705728342417075E-2</v>
      </c>
      <c r="C23" s="499" t="s">
        <v>416</v>
      </c>
      <c r="D23" s="746">
        <v>1000</v>
      </c>
      <c r="E23" s="498" t="s">
        <v>240</v>
      </c>
      <c r="F23" s="498" t="s">
        <v>240</v>
      </c>
      <c r="G23" s="747">
        <v>8.4705728342417075E-2</v>
      </c>
      <c r="H23" s="502" t="s">
        <v>550</v>
      </c>
      <c r="I23" s="748">
        <v>1000000</v>
      </c>
    </row>
    <row r="24" spans="1:9" ht="12" customHeight="1" x14ac:dyDescent="0.2">
      <c r="A24" s="497" t="s">
        <v>488</v>
      </c>
      <c r="B24" s="498">
        <v>8.4706330604657626E-2</v>
      </c>
      <c r="C24" s="499" t="s">
        <v>416</v>
      </c>
      <c r="D24" s="746">
        <v>1000</v>
      </c>
      <c r="E24" s="498" t="s">
        <v>240</v>
      </c>
      <c r="F24" s="498" t="s">
        <v>240</v>
      </c>
      <c r="G24" s="747">
        <v>8.4706330604657626E-2</v>
      </c>
      <c r="H24" s="502" t="s">
        <v>550</v>
      </c>
      <c r="I24" s="748">
        <v>1000000</v>
      </c>
    </row>
    <row r="25" spans="1:9" s="749" customFormat="1" ht="12" customHeight="1" x14ac:dyDescent="0.2">
      <c r="A25" s="497" t="s">
        <v>489</v>
      </c>
      <c r="B25" s="498">
        <v>0.84706330604657598</v>
      </c>
      <c r="C25" s="499" t="s">
        <v>416</v>
      </c>
      <c r="D25" s="746">
        <v>1000</v>
      </c>
      <c r="E25" s="498" t="s">
        <v>240</v>
      </c>
      <c r="F25" s="498" t="s">
        <v>240</v>
      </c>
      <c r="G25" s="747">
        <v>0.84706330604657598</v>
      </c>
      <c r="H25" s="502" t="s">
        <v>550</v>
      </c>
      <c r="I25" s="748">
        <v>1000000</v>
      </c>
    </row>
    <row r="26" spans="1:9" s="749" customFormat="1" ht="12" customHeight="1" x14ac:dyDescent="0.2">
      <c r="A26" s="497" t="s">
        <v>490</v>
      </c>
      <c r="B26" s="498">
        <v>5.0642769872477544E-3</v>
      </c>
      <c r="C26" s="499" t="s">
        <v>549</v>
      </c>
      <c r="D26" s="746">
        <v>1000</v>
      </c>
      <c r="E26" s="498" t="s">
        <v>240</v>
      </c>
      <c r="F26" s="498" t="s">
        <v>240</v>
      </c>
      <c r="G26" s="747">
        <v>0.15171283093371513</v>
      </c>
      <c r="H26" s="502" t="s">
        <v>550</v>
      </c>
      <c r="I26" s="748">
        <v>5.0642769872477544E-3</v>
      </c>
    </row>
    <row r="27" spans="1:9" s="749" customFormat="1" ht="12" customHeight="1" x14ac:dyDescent="0.2">
      <c r="A27" s="497" t="s">
        <v>491</v>
      </c>
      <c r="B27" s="498">
        <v>6.7587200420000004E-4</v>
      </c>
      <c r="C27" s="499" t="s">
        <v>549</v>
      </c>
      <c r="D27" s="746">
        <v>1000</v>
      </c>
      <c r="E27" s="498" t="s">
        <v>240</v>
      </c>
      <c r="F27" s="498" t="s">
        <v>240</v>
      </c>
      <c r="G27" s="747">
        <v>3.7928207733428781E-2</v>
      </c>
      <c r="H27" s="502" t="s">
        <v>550</v>
      </c>
      <c r="I27" s="748">
        <v>6.7587200420000004E-4</v>
      </c>
    </row>
    <row r="28" spans="1:9" s="749" customFormat="1" ht="12" customHeight="1" x14ac:dyDescent="0.2">
      <c r="A28" s="497" t="s">
        <v>492</v>
      </c>
      <c r="B28" s="498">
        <v>0.23580300170382151</v>
      </c>
      <c r="C28" s="499" t="s">
        <v>549</v>
      </c>
      <c r="D28" s="746">
        <v>1000</v>
      </c>
      <c r="E28" s="498" t="s">
        <v>240</v>
      </c>
      <c r="F28" s="498" t="s">
        <v>240</v>
      </c>
      <c r="G28" s="747">
        <v>4.9305812995733218</v>
      </c>
      <c r="H28" s="502" t="s">
        <v>550</v>
      </c>
      <c r="I28" s="748">
        <v>0.23580300170382151</v>
      </c>
    </row>
    <row r="29" spans="1:9" s="749" customFormat="1" ht="12" customHeight="1" x14ac:dyDescent="0.2">
      <c r="A29" s="497" t="s">
        <v>493</v>
      </c>
      <c r="B29" s="498">
        <v>0.18521769359683854</v>
      </c>
      <c r="C29" s="499" t="s">
        <v>549</v>
      </c>
      <c r="D29" s="746">
        <v>1000</v>
      </c>
      <c r="E29" s="498" t="s">
        <v>240</v>
      </c>
      <c r="F29" s="498" t="s">
        <v>240</v>
      </c>
      <c r="G29" s="747">
        <v>3.7928207733428785</v>
      </c>
      <c r="H29" s="502" t="s">
        <v>550</v>
      </c>
      <c r="I29" s="748">
        <v>0.18521769359683854</v>
      </c>
    </row>
    <row r="30" spans="1:9" s="749" customFormat="1" ht="12" customHeight="1" x14ac:dyDescent="0.2">
      <c r="A30" s="497" t="s">
        <v>494</v>
      </c>
      <c r="B30" s="498">
        <v>2.6228000080691003</v>
      </c>
      <c r="C30" s="499" t="s">
        <v>549</v>
      </c>
      <c r="D30" s="746">
        <v>1000</v>
      </c>
      <c r="E30" s="498" t="s">
        <v>240</v>
      </c>
      <c r="F30" s="498" t="s">
        <v>240</v>
      </c>
      <c r="G30" s="747">
        <v>16.435347389807468</v>
      </c>
      <c r="H30" s="502" t="s">
        <v>550</v>
      </c>
      <c r="I30" s="748">
        <v>2.6228000080691003</v>
      </c>
    </row>
    <row r="31" spans="1:9" s="749" customFormat="1" ht="12" customHeight="1" x14ac:dyDescent="0.2">
      <c r="A31" s="497" t="s">
        <v>1129</v>
      </c>
      <c r="B31" s="498">
        <v>1.5731692362576515</v>
      </c>
      <c r="C31" s="499" t="s">
        <v>549</v>
      </c>
      <c r="D31" s="746">
        <v>1000</v>
      </c>
      <c r="E31" s="498" t="s">
        <v>240</v>
      </c>
      <c r="F31" s="498" t="s">
        <v>240</v>
      </c>
      <c r="G31" s="747">
        <v>13.906832406760163</v>
      </c>
      <c r="H31" s="502" t="s">
        <v>550</v>
      </c>
      <c r="I31" s="748">
        <v>1.5731692362576515</v>
      </c>
    </row>
    <row r="32" spans="1:9" s="749" customFormat="1" ht="12" customHeight="1" thickBot="1" x14ac:dyDescent="0.25">
      <c r="A32" s="507" t="s">
        <v>496</v>
      </c>
      <c r="B32" s="508">
        <v>6.3213679555714641</v>
      </c>
      <c r="C32" s="509" t="s">
        <v>416</v>
      </c>
      <c r="D32" s="750">
        <v>1000</v>
      </c>
      <c r="E32" s="508" t="s">
        <v>240</v>
      </c>
      <c r="F32" s="508" t="s">
        <v>240</v>
      </c>
      <c r="G32" s="751">
        <v>6.3213679555714641</v>
      </c>
      <c r="H32" s="512" t="s">
        <v>550</v>
      </c>
      <c r="I32" s="752">
        <v>77741.0454013212</v>
      </c>
    </row>
    <row r="33" spans="1:9" s="517" customFormat="1" ht="11.25" customHeight="1" thickTop="1" x14ac:dyDescent="0.2">
      <c r="A33" s="514" t="s">
        <v>238</v>
      </c>
      <c r="B33" s="515"/>
      <c r="C33" s="515"/>
      <c r="D33" s="515"/>
      <c r="E33" s="515"/>
      <c r="F33" s="515"/>
      <c r="G33" s="515"/>
      <c r="H33" s="515"/>
      <c r="I33" s="516"/>
    </row>
    <row r="34" spans="1:9" s="517" customFormat="1" ht="11.25" customHeight="1" x14ac:dyDescent="0.2">
      <c r="A34" s="518" t="s">
        <v>508</v>
      </c>
      <c r="B34" s="515"/>
      <c r="C34" s="515"/>
      <c r="D34" s="515"/>
      <c r="E34" s="515"/>
      <c r="F34" s="504"/>
      <c r="G34" s="515"/>
      <c r="H34" s="515"/>
      <c r="I34" s="516"/>
    </row>
    <row r="35" spans="1:9" s="517" customFormat="1" ht="11.25" customHeight="1" x14ac:dyDescent="0.2">
      <c r="A35" s="521" t="s">
        <v>552</v>
      </c>
      <c r="B35" s="515"/>
      <c r="C35" s="515"/>
      <c r="D35" s="515"/>
      <c r="E35" s="515"/>
      <c r="F35" s="515"/>
      <c r="G35" s="515"/>
      <c r="H35" s="515"/>
      <c r="I35" s="516"/>
    </row>
    <row r="36" spans="1:9" ht="11.25" customHeight="1" x14ac:dyDescent="0.2">
      <c r="A36" s="521" t="s">
        <v>553</v>
      </c>
      <c r="B36" s="515"/>
      <c r="C36" s="515"/>
      <c r="D36" s="515"/>
      <c r="E36" s="515"/>
      <c r="F36" s="504"/>
      <c r="G36" s="515"/>
      <c r="H36" s="515"/>
      <c r="I36" s="522"/>
    </row>
    <row r="37" spans="1:9" ht="11.25" customHeight="1" x14ac:dyDescent="0.2">
      <c r="A37" s="521" t="s">
        <v>554</v>
      </c>
      <c r="B37" s="515"/>
      <c r="C37" s="515"/>
      <c r="D37" s="515"/>
      <c r="E37" s="515"/>
      <c r="F37" s="504"/>
      <c r="G37" s="515"/>
      <c r="H37" s="515"/>
      <c r="I37" s="522"/>
    </row>
    <row r="38" spans="1:9" ht="11.25" customHeight="1" x14ac:dyDescent="0.2">
      <c r="A38" s="518" t="s">
        <v>555</v>
      </c>
      <c r="B38" s="515"/>
      <c r="C38" s="515"/>
      <c r="D38" s="515"/>
      <c r="E38" s="515"/>
      <c r="F38" s="504"/>
      <c r="G38" s="515"/>
      <c r="H38" s="515"/>
      <c r="I38" s="522"/>
    </row>
    <row r="39" spans="1:9" ht="11.25" customHeight="1" x14ac:dyDescent="0.2">
      <c r="A39" s="521"/>
      <c r="B39" s="515"/>
      <c r="C39" s="515"/>
      <c r="D39" s="515"/>
      <c r="E39" s="515"/>
      <c r="F39" s="504"/>
      <c r="G39" s="515"/>
      <c r="H39" s="515"/>
      <c r="I39" s="522"/>
    </row>
    <row r="40" spans="1:9" ht="11.25" customHeight="1" thickBot="1" x14ac:dyDescent="0.25">
      <c r="A40" s="523"/>
      <c r="B40" s="524"/>
      <c r="C40" s="524"/>
      <c r="D40" s="524"/>
      <c r="E40" s="524"/>
      <c r="F40" s="525"/>
      <c r="G40" s="524"/>
      <c r="H40" s="524"/>
      <c r="I40" s="526"/>
    </row>
    <row r="41" spans="1:9" ht="11.25" customHeight="1" thickTop="1" x14ac:dyDescent="0.2"/>
  </sheetData>
  <sheetProtection algorithmName="SHA-512" hashValue="2RaKd7w9pqdg+6QilpZA6Ki1BOPoLpY5gnvhjBP018FGn+2wGC9GEwVMNsav8EOib5Ijiip/ojWC4Avy/HYVxg==" saltValue="G0+ZjxxgPkXk0OBOX4SLiA==" spinCount="100000" sheet="1" objects="1" scenarios="1"/>
  <mergeCells count="5">
    <mergeCell ref="F4:F5"/>
    <mergeCell ref="A4:A6"/>
    <mergeCell ref="B4:B6"/>
    <mergeCell ref="D4:D5"/>
    <mergeCell ref="E4:E5"/>
  </mergeCells>
  <phoneticPr fontId="0" type="noConversion"/>
  <printOptions horizontalCentered="1"/>
  <pageMargins left="0.15748031496063" right="0.15748031496063" top="0.511811023622047" bottom="0.98425196850393704" header="0.511811023622047" footer="0.511811023622047"/>
  <pageSetup scale="84" fitToHeight="4" orientation="landscape" r:id="rId1"/>
  <headerFooter alignWithMargins="0">
    <oddFooter>&amp;LHawai'i DOH
PFASs November 2024&amp;C&amp;8Page &amp;P of &amp;N&amp;R&amp;A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29"/>
    <pageSetUpPr fitToPage="1"/>
  </sheetPr>
  <dimension ref="A1:J41"/>
  <sheetViews>
    <sheetView zoomScaleNormal="100" workbookViewId="0">
      <selection activeCell="F24" sqref="F24"/>
    </sheetView>
  </sheetViews>
  <sheetFormatPr defaultColWidth="8.7109375" defaultRowHeight="11.25" x14ac:dyDescent="0.2"/>
  <cols>
    <col min="1" max="1" width="50.5703125" style="470" customWidth="1"/>
    <col min="2" max="2" width="11.7109375" style="505" customWidth="1"/>
    <col min="3" max="3" width="19.5703125" style="505" customWidth="1"/>
    <col min="4" max="5" width="13.5703125" style="505" customWidth="1"/>
    <col min="6" max="6" width="12.28515625" style="505" customWidth="1"/>
    <col min="7" max="7" width="13.5703125" style="505" customWidth="1"/>
    <col min="8" max="8" width="11.42578125" style="505" customWidth="1"/>
    <col min="9" max="9" width="12.5703125" style="505" customWidth="1"/>
    <col min="10" max="16384" width="8.7109375" style="470"/>
  </cols>
  <sheetData>
    <row r="1" spans="1:10" ht="47.25" x14ac:dyDescent="0.25">
      <c r="A1" s="471" t="s">
        <v>557</v>
      </c>
      <c r="B1" s="468"/>
      <c r="C1" s="468"/>
      <c r="D1" s="468"/>
      <c r="E1" s="468"/>
      <c r="F1" s="468"/>
      <c r="G1" s="468"/>
      <c r="H1" s="468"/>
      <c r="I1" s="468"/>
      <c r="J1" s="468"/>
    </row>
    <row r="2" spans="1:10" ht="16.5" thickBot="1" x14ac:dyDescent="0.3">
      <c r="A2" s="471"/>
      <c r="B2" s="468"/>
      <c r="C2" s="468"/>
      <c r="D2" s="468"/>
      <c r="E2" s="468"/>
      <c r="F2" s="468"/>
      <c r="G2" s="468"/>
      <c r="H2" s="468"/>
      <c r="I2" s="468"/>
    </row>
    <row r="3" spans="1:10" s="565" customFormat="1" ht="14.1" customHeight="1" thickTop="1" thickBot="1" x14ac:dyDescent="0.25">
      <c r="A3" s="736"/>
      <c r="B3" s="569" t="s">
        <v>539</v>
      </c>
      <c r="C3" s="737"/>
      <c r="D3" s="738"/>
      <c r="E3" s="738"/>
      <c r="F3" s="739"/>
      <c r="G3" s="738"/>
      <c r="H3" s="738"/>
      <c r="I3" s="533"/>
    </row>
    <row r="4" spans="1:10" s="565" customFormat="1" ht="35.25" customHeight="1" thickTop="1" thickBot="1" x14ac:dyDescent="0.25">
      <c r="A4" s="1550" t="s">
        <v>469</v>
      </c>
      <c r="B4" s="1547" t="s">
        <v>540</v>
      </c>
      <c r="C4" s="476"/>
      <c r="D4" s="1552" t="s">
        <v>541</v>
      </c>
      <c r="E4" s="1540" t="s">
        <v>542</v>
      </c>
      <c r="F4" s="1540" t="s">
        <v>543</v>
      </c>
      <c r="G4" s="740" t="s">
        <v>544</v>
      </c>
      <c r="H4" s="477"/>
      <c r="I4" s="741" t="s">
        <v>545</v>
      </c>
    </row>
    <row r="5" spans="1:10" s="565" customFormat="1" ht="35.1" customHeight="1" x14ac:dyDescent="0.2">
      <c r="A5" s="1550"/>
      <c r="B5" s="1548"/>
      <c r="C5" s="479"/>
      <c r="D5" s="1546"/>
      <c r="E5" s="1541"/>
      <c r="F5" s="1541"/>
      <c r="G5" s="742" t="s">
        <v>259</v>
      </c>
      <c r="H5" s="481" t="s">
        <v>546</v>
      </c>
      <c r="I5" s="482" t="s">
        <v>558</v>
      </c>
    </row>
    <row r="6" spans="1:10" s="565" customFormat="1" ht="12" thickBot="1" x14ac:dyDescent="0.25">
      <c r="A6" s="1551"/>
      <c r="B6" s="1549"/>
      <c r="C6" s="483" t="s">
        <v>405</v>
      </c>
      <c r="D6" s="484" t="s">
        <v>437</v>
      </c>
      <c r="E6" s="485" t="s">
        <v>434</v>
      </c>
      <c r="F6" s="486" t="s">
        <v>547</v>
      </c>
      <c r="G6" s="487" t="s">
        <v>418</v>
      </c>
      <c r="H6" s="488" t="s">
        <v>425</v>
      </c>
      <c r="I6" s="489" t="s">
        <v>548</v>
      </c>
    </row>
    <row r="7" spans="1:10" ht="12" customHeight="1" x14ac:dyDescent="0.2">
      <c r="A7" s="490" t="s">
        <v>472</v>
      </c>
      <c r="B7" s="491">
        <v>3.7928104235024822</v>
      </c>
      <c r="C7" s="492" t="s">
        <v>416</v>
      </c>
      <c r="D7" s="744">
        <v>1000</v>
      </c>
      <c r="E7" s="491" t="s">
        <v>240</v>
      </c>
      <c r="F7" s="491" t="s">
        <v>240</v>
      </c>
      <c r="G7" s="744">
        <v>3.7928104235024822</v>
      </c>
      <c r="H7" s="495" t="s">
        <v>550</v>
      </c>
      <c r="I7" s="496">
        <v>4067.0000915532505</v>
      </c>
    </row>
    <row r="8" spans="1:10" ht="12" customHeight="1" x14ac:dyDescent="0.2">
      <c r="A8" s="497" t="s">
        <v>473</v>
      </c>
      <c r="B8" s="498">
        <v>0.10122807769451152</v>
      </c>
      <c r="C8" s="499" t="s">
        <v>549</v>
      </c>
      <c r="D8" s="747">
        <v>1000</v>
      </c>
      <c r="E8" s="498" t="s">
        <v>240</v>
      </c>
      <c r="F8" s="498" t="s">
        <v>240</v>
      </c>
      <c r="G8" s="747">
        <v>1.9090531225825822</v>
      </c>
      <c r="H8" s="502" t="s">
        <v>550</v>
      </c>
      <c r="I8" s="503">
        <v>0.10122807769451152</v>
      </c>
    </row>
    <row r="9" spans="1:10" ht="12" customHeight="1" x14ac:dyDescent="0.2">
      <c r="A9" s="497" t="s">
        <v>474</v>
      </c>
      <c r="B9" s="498">
        <v>2.5285298441059922E-2</v>
      </c>
      <c r="C9" s="499" t="s">
        <v>416</v>
      </c>
      <c r="D9" s="747">
        <v>1000</v>
      </c>
      <c r="E9" s="498" t="s">
        <v>240</v>
      </c>
      <c r="F9" s="498" t="s">
        <v>240</v>
      </c>
      <c r="G9" s="747">
        <v>2.5285298441059922E-2</v>
      </c>
      <c r="H9" s="502" t="s">
        <v>550</v>
      </c>
      <c r="I9" s="503">
        <v>3.8014000120415807</v>
      </c>
    </row>
    <row r="10" spans="1:10" ht="12" customHeight="1" x14ac:dyDescent="0.2">
      <c r="A10" s="497" t="s">
        <v>475</v>
      </c>
      <c r="B10" s="498">
        <v>7.853076965809733E-3</v>
      </c>
      <c r="C10" s="499" t="s">
        <v>549</v>
      </c>
      <c r="D10" s="747">
        <v>1000</v>
      </c>
      <c r="E10" s="498" t="s">
        <v>240</v>
      </c>
      <c r="F10" s="498" t="s">
        <v>240</v>
      </c>
      <c r="G10" s="747">
        <v>0.1264273591114293</v>
      </c>
      <c r="H10" s="502" t="s">
        <v>550</v>
      </c>
      <c r="I10" s="503">
        <v>7.853076965809733E-3</v>
      </c>
    </row>
    <row r="11" spans="1:10" ht="12" customHeight="1" x14ac:dyDescent="0.2">
      <c r="A11" s="497" t="s">
        <v>476</v>
      </c>
      <c r="B11" s="498">
        <v>2.5285443995509162E-2</v>
      </c>
      <c r="C11" s="499" t="s">
        <v>416</v>
      </c>
      <c r="D11" s="747">
        <v>1000</v>
      </c>
      <c r="E11" s="498" t="s">
        <v>240</v>
      </c>
      <c r="F11" s="498" t="s">
        <v>240</v>
      </c>
      <c r="G11" s="747">
        <v>2.5285443995509162E-2</v>
      </c>
      <c r="H11" s="502" t="s">
        <v>550</v>
      </c>
      <c r="I11" s="503">
        <v>1.8268300034635061</v>
      </c>
    </row>
    <row r="12" spans="1:10" ht="12" customHeight="1" x14ac:dyDescent="0.2">
      <c r="A12" s="497" t="s">
        <v>477</v>
      </c>
      <c r="B12" s="498">
        <v>0.1264273591114293</v>
      </c>
      <c r="C12" s="499" t="s">
        <v>416</v>
      </c>
      <c r="D12" s="747">
        <v>1000</v>
      </c>
      <c r="E12" s="498" t="s">
        <v>240</v>
      </c>
      <c r="F12" s="498" t="s">
        <v>240</v>
      </c>
      <c r="G12" s="747">
        <v>0.1264273591114293</v>
      </c>
      <c r="H12" s="502" t="s">
        <v>550</v>
      </c>
      <c r="I12" s="503">
        <v>1000000</v>
      </c>
    </row>
    <row r="13" spans="1:10" ht="12" customHeight="1" x14ac:dyDescent="0.2">
      <c r="A13" s="497" t="s">
        <v>200</v>
      </c>
      <c r="B13" s="498">
        <v>2.1220789999999998</v>
      </c>
      <c r="C13" s="499" t="s">
        <v>549</v>
      </c>
      <c r="D13" s="747">
        <v>1000</v>
      </c>
      <c r="E13" s="498" t="s">
        <v>240</v>
      </c>
      <c r="F13" s="498" t="s">
        <v>240</v>
      </c>
      <c r="G13" s="747">
        <v>29.086715505210876</v>
      </c>
      <c r="H13" s="502" t="s">
        <v>551</v>
      </c>
      <c r="I13" s="503">
        <v>2.1220789999999998</v>
      </c>
    </row>
    <row r="14" spans="1:10" ht="12" customHeight="1" x14ac:dyDescent="0.2">
      <c r="A14" s="497" t="s">
        <v>478</v>
      </c>
      <c r="B14" s="498">
        <v>5.1333576759530803E-4</v>
      </c>
      <c r="C14" s="499" t="s">
        <v>549</v>
      </c>
      <c r="D14" s="747">
        <v>1000</v>
      </c>
      <c r="E14" s="498" t="s">
        <v>240</v>
      </c>
      <c r="F14" s="498" t="s">
        <v>240</v>
      </c>
      <c r="G14" s="747">
        <v>5.0376844612152221</v>
      </c>
      <c r="H14" s="502" t="s">
        <v>551</v>
      </c>
      <c r="I14" s="503">
        <v>5.1333576759530803E-4</v>
      </c>
    </row>
    <row r="15" spans="1:10" ht="12" customHeight="1" x14ac:dyDescent="0.2">
      <c r="A15" s="497" t="s">
        <v>479</v>
      </c>
      <c r="B15" s="498">
        <v>48.041582792451379</v>
      </c>
      <c r="C15" s="499" t="s">
        <v>416</v>
      </c>
      <c r="D15" s="747">
        <v>1000</v>
      </c>
      <c r="E15" s="498" t="s">
        <v>240</v>
      </c>
      <c r="F15" s="498" t="s">
        <v>240</v>
      </c>
      <c r="G15" s="747">
        <v>48.041582792451379</v>
      </c>
      <c r="H15" s="502" t="s">
        <v>550</v>
      </c>
      <c r="I15" s="503">
        <v>63.426596940000003</v>
      </c>
    </row>
    <row r="16" spans="1:10" ht="12" customHeight="1" x14ac:dyDescent="0.2">
      <c r="A16" s="497" t="s">
        <v>480</v>
      </c>
      <c r="B16" s="498">
        <v>2.4389233605352306E-2</v>
      </c>
      <c r="C16" s="499" t="s">
        <v>549</v>
      </c>
      <c r="D16" s="747">
        <v>1000</v>
      </c>
      <c r="E16" s="498" t="s">
        <v>240</v>
      </c>
      <c r="F16" s="498" t="s">
        <v>240</v>
      </c>
      <c r="G16" s="747">
        <v>5.0570299660946043</v>
      </c>
      <c r="H16" s="502" t="s">
        <v>550</v>
      </c>
      <c r="I16" s="503">
        <v>2.4389233605352306E-2</v>
      </c>
    </row>
    <row r="17" spans="1:9" ht="12" customHeight="1" x14ac:dyDescent="0.2">
      <c r="A17" s="497" t="s">
        <v>481</v>
      </c>
      <c r="B17" s="498">
        <v>6.3212874576182552</v>
      </c>
      <c r="C17" s="499" t="s">
        <v>416</v>
      </c>
      <c r="D17" s="747">
        <v>1000</v>
      </c>
      <c r="E17" s="498" t="s">
        <v>240</v>
      </c>
      <c r="F17" s="498" t="s">
        <v>240</v>
      </c>
      <c r="G17" s="747">
        <v>6.3212874576182552</v>
      </c>
      <c r="H17" s="502" t="s">
        <v>550</v>
      </c>
      <c r="I17" s="503">
        <v>8525.7600700149596</v>
      </c>
    </row>
    <row r="18" spans="1:9" ht="12" customHeight="1" x14ac:dyDescent="0.2">
      <c r="A18" s="497" t="s">
        <v>482</v>
      </c>
      <c r="B18" s="498">
        <v>2.6687692407481776E-2</v>
      </c>
      <c r="C18" s="499" t="s">
        <v>549</v>
      </c>
      <c r="D18" s="747">
        <v>1000</v>
      </c>
      <c r="E18" s="498" t="s">
        <v>240</v>
      </c>
      <c r="F18" s="498" t="s">
        <v>240</v>
      </c>
      <c r="G18" s="747">
        <v>0.2528547182228586</v>
      </c>
      <c r="H18" s="502" t="s">
        <v>550</v>
      </c>
      <c r="I18" s="503">
        <v>2.6687692407481776E-2</v>
      </c>
    </row>
    <row r="19" spans="1:9" ht="12" customHeight="1" x14ac:dyDescent="0.2">
      <c r="A19" s="497" t="s">
        <v>483</v>
      </c>
      <c r="B19" s="498">
        <v>3.7926970838246823E-2</v>
      </c>
      <c r="C19" s="499" t="s">
        <v>416</v>
      </c>
      <c r="D19" s="747">
        <v>1000</v>
      </c>
      <c r="E19" s="498" t="s">
        <v>240</v>
      </c>
      <c r="F19" s="498" t="s">
        <v>240</v>
      </c>
      <c r="G19" s="747">
        <v>3.7926970838246823E-2</v>
      </c>
      <c r="H19" s="502" t="s">
        <v>550</v>
      </c>
      <c r="I19" s="503">
        <v>32.791640141817538</v>
      </c>
    </row>
    <row r="20" spans="1:9" ht="12" customHeight="1" x14ac:dyDescent="0.2">
      <c r="A20" s="497" t="s">
        <v>484</v>
      </c>
      <c r="B20" s="498">
        <v>3.792802661159253E-2</v>
      </c>
      <c r="C20" s="499" t="s">
        <v>416</v>
      </c>
      <c r="D20" s="747">
        <v>1000</v>
      </c>
      <c r="E20" s="498" t="s">
        <v>240</v>
      </c>
      <c r="F20" s="498" t="s">
        <v>240</v>
      </c>
      <c r="G20" s="747">
        <v>3.792802661159253E-2</v>
      </c>
      <c r="H20" s="502" t="s">
        <v>550</v>
      </c>
      <c r="I20" s="503">
        <v>4.6812000732426009</v>
      </c>
    </row>
    <row r="21" spans="1:9" ht="12" customHeight="1" x14ac:dyDescent="0.2">
      <c r="A21" s="497" t="s">
        <v>485</v>
      </c>
      <c r="B21" s="498">
        <v>2.5285429294595263E-2</v>
      </c>
      <c r="C21" s="499" t="s">
        <v>416</v>
      </c>
      <c r="D21" s="747">
        <v>1000</v>
      </c>
      <c r="E21" s="498" t="s">
        <v>240</v>
      </c>
      <c r="F21" s="498" t="s">
        <v>240</v>
      </c>
      <c r="G21" s="747">
        <v>2.5285429294595263E-2</v>
      </c>
      <c r="H21" s="502" t="s">
        <v>550</v>
      </c>
      <c r="I21" s="503">
        <v>0.66068000931049997</v>
      </c>
    </row>
    <row r="22" spans="1:9" ht="12" customHeight="1" x14ac:dyDescent="0.2">
      <c r="A22" s="497" t="s">
        <v>486</v>
      </c>
      <c r="B22" s="498">
        <v>6.321367955571465E-2</v>
      </c>
      <c r="C22" s="499" t="s">
        <v>416</v>
      </c>
      <c r="D22" s="747">
        <v>1000</v>
      </c>
      <c r="E22" s="498" t="s">
        <v>240</v>
      </c>
      <c r="F22" s="498" t="s">
        <v>240</v>
      </c>
      <c r="G22" s="747">
        <v>6.321367955571465E-2</v>
      </c>
      <c r="H22" s="502" t="s">
        <v>550</v>
      </c>
      <c r="I22" s="503">
        <v>1000000</v>
      </c>
    </row>
    <row r="23" spans="1:9" ht="12" customHeight="1" x14ac:dyDescent="0.2">
      <c r="A23" s="497" t="s">
        <v>487</v>
      </c>
      <c r="B23" s="498">
        <v>8.4705728342417075E-2</v>
      </c>
      <c r="C23" s="499" t="s">
        <v>416</v>
      </c>
      <c r="D23" s="747">
        <v>1000</v>
      </c>
      <c r="E23" s="498" t="s">
        <v>240</v>
      </c>
      <c r="F23" s="498" t="s">
        <v>240</v>
      </c>
      <c r="G23" s="747">
        <v>8.4705728342417075E-2</v>
      </c>
      <c r="H23" s="502" t="s">
        <v>550</v>
      </c>
      <c r="I23" s="503">
        <v>1000000</v>
      </c>
    </row>
    <row r="24" spans="1:9" ht="12" customHeight="1" x14ac:dyDescent="0.2">
      <c r="A24" s="497" t="s">
        <v>488</v>
      </c>
      <c r="B24" s="498">
        <v>8.4706330604657626E-2</v>
      </c>
      <c r="C24" s="499" t="s">
        <v>416</v>
      </c>
      <c r="D24" s="747">
        <v>1000</v>
      </c>
      <c r="E24" s="498" t="s">
        <v>240</v>
      </c>
      <c r="F24" s="498" t="s">
        <v>240</v>
      </c>
      <c r="G24" s="747">
        <v>8.4706330604657626E-2</v>
      </c>
      <c r="H24" s="502" t="s">
        <v>550</v>
      </c>
      <c r="I24" s="503">
        <v>1000000</v>
      </c>
    </row>
    <row r="25" spans="1:9" s="749" customFormat="1" ht="12" customHeight="1" x14ac:dyDescent="0.2">
      <c r="A25" s="497" t="s">
        <v>489</v>
      </c>
      <c r="B25" s="498">
        <v>0.84706330604657598</v>
      </c>
      <c r="C25" s="499" t="s">
        <v>416</v>
      </c>
      <c r="D25" s="747">
        <v>1000</v>
      </c>
      <c r="E25" s="498" t="s">
        <v>240</v>
      </c>
      <c r="F25" s="498" t="s">
        <v>240</v>
      </c>
      <c r="G25" s="747">
        <v>0.84706330604657598</v>
      </c>
      <c r="H25" s="502" t="s">
        <v>550</v>
      </c>
      <c r="I25" s="503">
        <v>1000000</v>
      </c>
    </row>
    <row r="26" spans="1:9" s="749" customFormat="1" ht="12" customHeight="1" x14ac:dyDescent="0.2">
      <c r="A26" s="497" t="s">
        <v>490</v>
      </c>
      <c r="B26" s="498">
        <v>5.0642769872477544E-3</v>
      </c>
      <c r="C26" s="499" t="s">
        <v>549</v>
      </c>
      <c r="D26" s="747">
        <v>1000</v>
      </c>
      <c r="E26" s="498" t="s">
        <v>240</v>
      </c>
      <c r="F26" s="498" t="s">
        <v>240</v>
      </c>
      <c r="G26" s="747">
        <v>0.15171283093371513</v>
      </c>
      <c r="H26" s="502" t="s">
        <v>550</v>
      </c>
      <c r="I26" s="503">
        <v>5.0642769872477544E-3</v>
      </c>
    </row>
    <row r="27" spans="1:9" s="749" customFormat="1" ht="12" customHeight="1" x14ac:dyDescent="0.2">
      <c r="A27" s="497" t="s">
        <v>491</v>
      </c>
      <c r="B27" s="498">
        <v>6.7587200420000004E-4</v>
      </c>
      <c r="C27" s="499" t="s">
        <v>549</v>
      </c>
      <c r="D27" s="747">
        <v>1000</v>
      </c>
      <c r="E27" s="498" t="s">
        <v>240</v>
      </c>
      <c r="F27" s="498" t="s">
        <v>240</v>
      </c>
      <c r="G27" s="747">
        <v>3.7928207733428781E-2</v>
      </c>
      <c r="H27" s="502" t="s">
        <v>550</v>
      </c>
      <c r="I27" s="503">
        <v>6.7587200420000004E-4</v>
      </c>
    </row>
    <row r="28" spans="1:9" s="749" customFormat="1" ht="12" customHeight="1" x14ac:dyDescent="0.2">
      <c r="A28" s="497" t="s">
        <v>492</v>
      </c>
      <c r="B28" s="498">
        <v>4.9305812995733218</v>
      </c>
      <c r="C28" s="499" t="s">
        <v>416</v>
      </c>
      <c r="D28" s="747">
        <v>1000</v>
      </c>
      <c r="E28" s="498" t="s">
        <v>240</v>
      </c>
      <c r="F28" s="498" t="s">
        <v>240</v>
      </c>
      <c r="G28" s="747">
        <v>4.9305812995733218</v>
      </c>
      <c r="H28" s="502" t="s">
        <v>550</v>
      </c>
      <c r="I28" s="503">
        <v>1697.7816122675149</v>
      </c>
    </row>
    <row r="29" spans="1:9" s="749" customFormat="1" ht="12" customHeight="1" x14ac:dyDescent="0.2">
      <c r="A29" s="497" t="s">
        <v>493</v>
      </c>
      <c r="B29" s="498">
        <v>3.7928207733428785</v>
      </c>
      <c r="C29" s="499" t="s">
        <v>416</v>
      </c>
      <c r="D29" s="747">
        <v>1000</v>
      </c>
      <c r="E29" s="498" t="s">
        <v>240</v>
      </c>
      <c r="F29" s="498" t="s">
        <v>240</v>
      </c>
      <c r="G29" s="747">
        <v>3.7928207733428785</v>
      </c>
      <c r="H29" s="502" t="s">
        <v>550</v>
      </c>
      <c r="I29" s="503">
        <v>1605.2200111726004</v>
      </c>
    </row>
    <row r="30" spans="1:9" s="749" customFormat="1" ht="12" customHeight="1" x14ac:dyDescent="0.2">
      <c r="A30" s="497" t="s">
        <v>494</v>
      </c>
      <c r="B30" s="498">
        <v>2.6228000080691003</v>
      </c>
      <c r="C30" s="499" t="s">
        <v>549</v>
      </c>
      <c r="D30" s="747">
        <v>1000</v>
      </c>
      <c r="E30" s="498" t="s">
        <v>240</v>
      </c>
      <c r="F30" s="498" t="s">
        <v>240</v>
      </c>
      <c r="G30" s="747">
        <v>16.435347389807468</v>
      </c>
      <c r="H30" s="502" t="s">
        <v>550</v>
      </c>
      <c r="I30" s="503">
        <v>2.6228000080691003</v>
      </c>
    </row>
    <row r="31" spans="1:9" s="749" customFormat="1" ht="12" customHeight="1" x14ac:dyDescent="0.2">
      <c r="A31" s="497" t="s">
        <v>495</v>
      </c>
      <c r="B31" s="498">
        <v>1.5731692362576515</v>
      </c>
      <c r="C31" s="499" t="s">
        <v>549</v>
      </c>
      <c r="D31" s="747">
        <v>1000</v>
      </c>
      <c r="E31" s="498" t="s">
        <v>240</v>
      </c>
      <c r="F31" s="498" t="s">
        <v>240</v>
      </c>
      <c r="G31" s="747">
        <v>13.906832406760163</v>
      </c>
      <c r="H31" s="502" t="s">
        <v>550</v>
      </c>
      <c r="I31" s="503">
        <v>1.5731692362576515</v>
      </c>
    </row>
    <row r="32" spans="1:9" s="749" customFormat="1" ht="12" customHeight="1" thickBot="1" x14ac:dyDescent="0.25">
      <c r="A32" s="507" t="s">
        <v>496</v>
      </c>
      <c r="B32" s="508">
        <v>6.3213679555714641</v>
      </c>
      <c r="C32" s="509" t="s">
        <v>416</v>
      </c>
      <c r="D32" s="751">
        <v>1000</v>
      </c>
      <c r="E32" s="508" t="s">
        <v>240</v>
      </c>
      <c r="F32" s="508" t="s">
        <v>240</v>
      </c>
      <c r="G32" s="751">
        <v>6.3213679555714641</v>
      </c>
      <c r="H32" s="512" t="s">
        <v>550</v>
      </c>
      <c r="I32" s="513">
        <v>77741.0454013212</v>
      </c>
    </row>
    <row r="33" spans="1:9" s="517" customFormat="1" ht="11.25" customHeight="1" thickTop="1" x14ac:dyDescent="0.2">
      <c r="A33" s="514" t="s">
        <v>238</v>
      </c>
      <c r="B33" s="515"/>
      <c r="C33" s="515"/>
      <c r="D33" s="515"/>
      <c r="E33" s="515"/>
      <c r="F33" s="504"/>
      <c r="G33" s="515"/>
      <c r="H33" s="515"/>
      <c r="I33" s="516"/>
    </row>
    <row r="34" spans="1:9" ht="11.25" customHeight="1" x14ac:dyDescent="0.2">
      <c r="A34" s="518" t="s">
        <v>508</v>
      </c>
      <c r="B34" s="515"/>
      <c r="C34" s="515"/>
      <c r="D34" s="515"/>
      <c r="E34" s="568"/>
      <c r="F34" s="515"/>
      <c r="G34" s="515"/>
      <c r="H34" s="515"/>
      <c r="I34" s="522"/>
    </row>
    <row r="35" spans="1:9" ht="11.25" customHeight="1" x14ac:dyDescent="0.2">
      <c r="A35" s="521" t="s">
        <v>552</v>
      </c>
      <c r="B35" s="515"/>
      <c r="C35" s="515"/>
      <c r="D35" s="515"/>
      <c r="E35" s="568"/>
      <c r="F35" s="515"/>
      <c r="G35" s="515"/>
      <c r="H35" s="515"/>
      <c r="I35" s="522"/>
    </row>
    <row r="36" spans="1:9" ht="11.25" customHeight="1" x14ac:dyDescent="0.2">
      <c r="A36" s="521" t="s">
        <v>553</v>
      </c>
      <c r="B36" s="515"/>
      <c r="C36" s="515"/>
      <c r="D36" s="515"/>
      <c r="E36" s="515"/>
      <c r="F36" s="504"/>
      <c r="G36" s="515"/>
      <c r="H36" s="515"/>
      <c r="I36" s="522"/>
    </row>
    <row r="37" spans="1:9" ht="11.25" customHeight="1" x14ac:dyDescent="0.2">
      <c r="A37" s="521" t="s">
        <v>554</v>
      </c>
      <c r="B37" s="515"/>
      <c r="C37" s="515"/>
      <c r="D37" s="515"/>
      <c r="E37" s="515"/>
      <c r="F37" s="504"/>
      <c r="G37" s="515"/>
      <c r="H37" s="515"/>
      <c r="I37" s="522"/>
    </row>
    <row r="38" spans="1:9" ht="11.25" customHeight="1" x14ac:dyDescent="0.2">
      <c r="A38" s="518" t="s">
        <v>555</v>
      </c>
      <c r="B38" s="515"/>
      <c r="C38" s="515"/>
      <c r="D38" s="515"/>
      <c r="E38" s="515"/>
      <c r="F38" s="504"/>
      <c r="G38" s="515"/>
      <c r="H38" s="515"/>
      <c r="I38" s="522"/>
    </row>
    <row r="39" spans="1:9" ht="11.25" customHeight="1" x14ac:dyDescent="0.2">
      <c r="A39" s="521"/>
      <c r="B39" s="515"/>
      <c r="C39" s="515"/>
      <c r="D39" s="515"/>
      <c r="E39" s="515"/>
      <c r="F39" s="504"/>
      <c r="G39" s="515"/>
      <c r="H39" s="515"/>
      <c r="I39" s="522"/>
    </row>
    <row r="40" spans="1:9" ht="11.25" customHeight="1" thickBot="1" x14ac:dyDescent="0.25">
      <c r="A40" s="523"/>
      <c r="B40" s="524"/>
      <c r="C40" s="524"/>
      <c r="D40" s="524"/>
      <c r="E40" s="524"/>
      <c r="F40" s="525"/>
      <c r="G40" s="524"/>
      <c r="H40" s="524"/>
      <c r="I40" s="526"/>
    </row>
    <row r="41" spans="1:9" ht="12" thickTop="1" x14ac:dyDescent="0.2"/>
  </sheetData>
  <sheetProtection algorithmName="SHA-512" hashValue="4J0BaUFWKNahz2OojqW3BnOmkKt/YRDd6LtiCmoJGLVq5U2r8qB4x8Rx06F9chRe5YaEDe9NkAa6ocQldJjzIQ==" saltValue="JtD9CqQqXPO4VH39dUYt7w==" spinCount="100000" sheet="1" objects="1" scenarios="1"/>
  <mergeCells count="5">
    <mergeCell ref="F4:F5"/>
    <mergeCell ref="A4:A6"/>
    <mergeCell ref="B4:B6"/>
    <mergeCell ref="D4:D5"/>
    <mergeCell ref="E4:E5"/>
  </mergeCells>
  <phoneticPr fontId="0" type="noConversion"/>
  <printOptions horizontalCentered="1"/>
  <pageMargins left="0.15748031496063" right="0.15748031496063" top="0.511811023622047" bottom="0.98425196850393704" header="0.511811023622047" footer="0.511811023622047"/>
  <pageSetup scale="83" fitToHeight="4" orientation="landscape" r:id="rId1"/>
  <headerFooter alignWithMargins="0">
    <oddFooter>&amp;LHawai'i DOH
PFASs November 2024&amp;C&amp;8Page &amp;P of &amp;N&amp;R&amp;A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29"/>
    <pageSetUpPr fitToPage="1"/>
  </sheetPr>
  <dimension ref="A1:K41"/>
  <sheetViews>
    <sheetView zoomScaleNormal="100" workbookViewId="0">
      <selection activeCell="F24" sqref="F24"/>
    </sheetView>
  </sheetViews>
  <sheetFormatPr defaultColWidth="8.7109375" defaultRowHeight="11.25" x14ac:dyDescent="0.2"/>
  <cols>
    <col min="1" max="1" width="50.5703125" style="470" customWidth="1"/>
    <col min="2" max="2" width="12.140625" style="505" customWidth="1"/>
    <col min="3" max="3" width="19.7109375" style="505" customWidth="1"/>
    <col min="4" max="4" width="13.7109375" style="470" customWidth="1"/>
    <col min="5" max="5" width="13.5703125" style="470" customWidth="1"/>
    <col min="6" max="6" width="11.85546875" style="470" customWidth="1"/>
    <col min="7" max="7" width="13.5703125" style="470" customWidth="1"/>
    <col min="8" max="8" width="11.42578125" style="470" customWidth="1"/>
    <col min="9" max="9" width="12.7109375" style="528" customWidth="1"/>
    <col min="10" max="16384" width="8.7109375" style="470"/>
  </cols>
  <sheetData>
    <row r="1" spans="1:11" ht="47.25" x14ac:dyDescent="0.25">
      <c r="A1" s="471" t="s">
        <v>559</v>
      </c>
      <c r="B1" s="468"/>
      <c r="C1" s="468"/>
      <c r="D1" s="468"/>
      <c r="E1" s="472"/>
      <c r="F1" s="473"/>
      <c r="G1" s="473"/>
      <c r="H1" s="468"/>
      <c r="I1" s="468"/>
      <c r="J1" s="468"/>
      <c r="K1" s="469"/>
    </row>
    <row r="2" spans="1:11" ht="16.350000000000001" customHeight="1" thickBot="1" x14ac:dyDescent="0.25">
      <c r="A2" s="780"/>
      <c r="B2" s="468"/>
      <c r="C2" s="468"/>
      <c r="D2" s="473"/>
      <c r="E2" s="473"/>
      <c r="F2" s="473"/>
      <c r="G2" s="473"/>
      <c r="H2" s="473"/>
      <c r="I2" s="468"/>
    </row>
    <row r="3" spans="1:11" s="565" customFormat="1" ht="14.1" customHeight="1" thickTop="1" thickBot="1" x14ac:dyDescent="0.25">
      <c r="A3" s="736"/>
      <c r="B3" s="569" t="s">
        <v>539</v>
      </c>
      <c r="C3" s="737"/>
      <c r="D3" s="738"/>
      <c r="E3" s="738"/>
      <c r="F3" s="739"/>
      <c r="G3" s="738"/>
      <c r="H3" s="738"/>
      <c r="I3" s="533"/>
    </row>
    <row r="4" spans="1:11" s="565" customFormat="1" ht="39" customHeight="1" thickTop="1" thickBot="1" x14ac:dyDescent="0.25">
      <c r="A4" s="1550" t="s">
        <v>469</v>
      </c>
      <c r="B4" s="1547" t="s">
        <v>540</v>
      </c>
      <c r="C4" s="476"/>
      <c r="D4" s="1552" t="s">
        <v>541</v>
      </c>
      <c r="E4" s="1540" t="s">
        <v>542</v>
      </c>
      <c r="F4" s="1540" t="s">
        <v>543</v>
      </c>
      <c r="G4" s="740" t="s">
        <v>544</v>
      </c>
      <c r="H4" s="477"/>
      <c r="I4" s="741" t="s">
        <v>545</v>
      </c>
    </row>
    <row r="5" spans="1:11" s="565" customFormat="1" ht="35.1" customHeight="1" x14ac:dyDescent="0.2">
      <c r="A5" s="1550"/>
      <c r="B5" s="1548"/>
      <c r="C5" s="479"/>
      <c r="D5" s="1546"/>
      <c r="E5" s="1541"/>
      <c r="F5" s="1541"/>
      <c r="G5" s="742" t="s">
        <v>259</v>
      </c>
      <c r="H5" s="481" t="s">
        <v>546</v>
      </c>
      <c r="I5" s="482" t="s">
        <v>558</v>
      </c>
    </row>
    <row r="6" spans="1:11" s="565" customFormat="1" ht="12" thickBot="1" x14ac:dyDescent="0.25">
      <c r="A6" s="1551"/>
      <c r="B6" s="1549"/>
      <c r="C6" s="483" t="s">
        <v>405</v>
      </c>
      <c r="D6" s="484" t="s">
        <v>437</v>
      </c>
      <c r="E6" s="485" t="s">
        <v>434</v>
      </c>
      <c r="F6" s="486" t="s">
        <v>547</v>
      </c>
      <c r="G6" s="487" t="s">
        <v>418</v>
      </c>
      <c r="H6" s="488" t="s">
        <v>425</v>
      </c>
      <c r="I6" s="489" t="s">
        <v>548</v>
      </c>
    </row>
    <row r="7" spans="1:11" ht="12" customHeight="1" x14ac:dyDescent="0.2">
      <c r="A7" s="490" t="s">
        <v>472</v>
      </c>
      <c r="B7" s="491">
        <v>3.7928104235024822</v>
      </c>
      <c r="C7" s="492" t="s">
        <v>416</v>
      </c>
      <c r="D7" s="491">
        <v>1000</v>
      </c>
      <c r="E7" s="491" t="s">
        <v>240</v>
      </c>
      <c r="F7" s="491" t="s">
        <v>240</v>
      </c>
      <c r="G7" s="743">
        <v>3.7928104235024822</v>
      </c>
      <c r="H7" s="495" t="s">
        <v>550</v>
      </c>
      <c r="I7" s="496">
        <v>4067.0000915532505</v>
      </c>
    </row>
    <row r="8" spans="1:11" ht="12" customHeight="1" x14ac:dyDescent="0.2">
      <c r="A8" s="497" t="s">
        <v>473</v>
      </c>
      <c r="B8" s="498">
        <v>0.10122807769451152</v>
      </c>
      <c r="C8" s="499" t="s">
        <v>549</v>
      </c>
      <c r="D8" s="498">
        <v>1000</v>
      </c>
      <c r="E8" s="498" t="s">
        <v>240</v>
      </c>
      <c r="F8" s="498" t="s">
        <v>240</v>
      </c>
      <c r="G8" s="746">
        <v>1.9090531225825822</v>
      </c>
      <c r="H8" s="502" t="s">
        <v>550</v>
      </c>
      <c r="I8" s="503">
        <v>0.10122807769451152</v>
      </c>
    </row>
    <row r="9" spans="1:11" ht="12" customHeight="1" x14ac:dyDescent="0.2">
      <c r="A9" s="497" t="s">
        <v>474</v>
      </c>
      <c r="B9" s="498">
        <v>2.5285298441059922E-2</v>
      </c>
      <c r="C9" s="499" t="s">
        <v>416</v>
      </c>
      <c r="D9" s="498">
        <v>1000</v>
      </c>
      <c r="E9" s="498" t="s">
        <v>240</v>
      </c>
      <c r="F9" s="498" t="s">
        <v>240</v>
      </c>
      <c r="G9" s="746">
        <v>2.5285298441059922E-2</v>
      </c>
      <c r="H9" s="502" t="s">
        <v>550</v>
      </c>
      <c r="I9" s="503">
        <v>3.8014000120415807</v>
      </c>
    </row>
    <row r="10" spans="1:11" ht="12" customHeight="1" x14ac:dyDescent="0.2">
      <c r="A10" s="497" t="s">
        <v>475</v>
      </c>
      <c r="B10" s="498">
        <v>7.853076965809733E-3</v>
      </c>
      <c r="C10" s="499" t="s">
        <v>549</v>
      </c>
      <c r="D10" s="498">
        <v>1000</v>
      </c>
      <c r="E10" s="498" t="s">
        <v>240</v>
      </c>
      <c r="F10" s="498" t="s">
        <v>240</v>
      </c>
      <c r="G10" s="746">
        <v>0.1264273591114293</v>
      </c>
      <c r="H10" s="502" t="s">
        <v>550</v>
      </c>
      <c r="I10" s="503">
        <v>7.853076965809733E-3</v>
      </c>
    </row>
    <row r="11" spans="1:11" ht="12" customHeight="1" x14ac:dyDescent="0.2">
      <c r="A11" s="497" t="s">
        <v>476</v>
      </c>
      <c r="B11" s="498">
        <v>2.5285443995509162E-2</v>
      </c>
      <c r="C11" s="499" t="s">
        <v>416</v>
      </c>
      <c r="D11" s="498">
        <v>1000</v>
      </c>
      <c r="E11" s="498" t="s">
        <v>240</v>
      </c>
      <c r="F11" s="498" t="s">
        <v>240</v>
      </c>
      <c r="G11" s="746">
        <v>2.5285443995509162E-2</v>
      </c>
      <c r="H11" s="502" t="s">
        <v>550</v>
      </c>
      <c r="I11" s="503">
        <v>6.4823000122898614E-2</v>
      </c>
    </row>
    <row r="12" spans="1:11" ht="12" customHeight="1" x14ac:dyDescent="0.2">
      <c r="A12" s="497" t="s">
        <v>477</v>
      </c>
      <c r="B12" s="498">
        <v>0.1264273591114293</v>
      </c>
      <c r="C12" s="499" t="s">
        <v>416</v>
      </c>
      <c r="D12" s="498">
        <v>1000</v>
      </c>
      <c r="E12" s="498" t="s">
        <v>240</v>
      </c>
      <c r="F12" s="498" t="s">
        <v>240</v>
      </c>
      <c r="G12" s="746">
        <v>0.1264273591114293</v>
      </c>
      <c r="H12" s="502" t="s">
        <v>550</v>
      </c>
      <c r="I12" s="503">
        <v>1000000</v>
      </c>
    </row>
    <row r="13" spans="1:11" ht="12" customHeight="1" x14ac:dyDescent="0.2">
      <c r="A13" s="497" t="s">
        <v>200</v>
      </c>
      <c r="B13" s="498">
        <v>2.1220789999999998</v>
      </c>
      <c r="C13" s="499" t="s">
        <v>549</v>
      </c>
      <c r="D13" s="498">
        <v>1000</v>
      </c>
      <c r="E13" s="498" t="s">
        <v>240</v>
      </c>
      <c r="F13" s="498" t="s">
        <v>240</v>
      </c>
      <c r="G13" s="746">
        <v>29.086715505210876</v>
      </c>
      <c r="H13" s="502" t="s">
        <v>551</v>
      </c>
      <c r="I13" s="503">
        <v>2.1220789999999998</v>
      </c>
    </row>
    <row r="14" spans="1:11" ht="12" customHeight="1" x14ac:dyDescent="0.2">
      <c r="A14" s="497" t="s">
        <v>478</v>
      </c>
      <c r="B14" s="498">
        <v>5.1333576759530803E-4</v>
      </c>
      <c r="C14" s="499" t="s">
        <v>549</v>
      </c>
      <c r="D14" s="498">
        <v>1000</v>
      </c>
      <c r="E14" s="498" t="s">
        <v>240</v>
      </c>
      <c r="F14" s="498" t="s">
        <v>240</v>
      </c>
      <c r="G14" s="746">
        <v>5.0376844612152221</v>
      </c>
      <c r="H14" s="502" t="s">
        <v>551</v>
      </c>
      <c r="I14" s="503">
        <v>5.1333576759530803E-4</v>
      </c>
    </row>
    <row r="15" spans="1:11" ht="12" customHeight="1" x14ac:dyDescent="0.2">
      <c r="A15" s="497" t="s">
        <v>479</v>
      </c>
      <c r="B15" s="498">
        <v>12.534303680999999</v>
      </c>
      <c r="C15" s="499" t="s">
        <v>549</v>
      </c>
      <c r="D15" s="498">
        <v>1000</v>
      </c>
      <c r="E15" s="498" t="s">
        <v>240</v>
      </c>
      <c r="F15" s="498" t="s">
        <v>240</v>
      </c>
      <c r="G15" s="746">
        <v>48.041582792451379</v>
      </c>
      <c r="H15" s="502" t="s">
        <v>550</v>
      </c>
      <c r="I15" s="503">
        <v>12.534303680999999</v>
      </c>
    </row>
    <row r="16" spans="1:11" ht="12" customHeight="1" x14ac:dyDescent="0.2">
      <c r="A16" s="497" t="s">
        <v>480</v>
      </c>
      <c r="B16" s="498">
        <v>2.4389233605352306E-2</v>
      </c>
      <c r="C16" s="499" t="s">
        <v>549</v>
      </c>
      <c r="D16" s="498">
        <v>1000</v>
      </c>
      <c r="E16" s="498" t="s">
        <v>240</v>
      </c>
      <c r="F16" s="498" t="s">
        <v>240</v>
      </c>
      <c r="G16" s="746">
        <v>5.0570299660946043</v>
      </c>
      <c r="H16" s="502" t="s">
        <v>550</v>
      </c>
      <c r="I16" s="503">
        <v>2.4389233605352306E-2</v>
      </c>
    </row>
    <row r="17" spans="1:9" ht="12" customHeight="1" x14ac:dyDescent="0.2">
      <c r="A17" s="497" t="s">
        <v>481</v>
      </c>
      <c r="B17" s="498">
        <v>6.3212874576182552</v>
      </c>
      <c r="C17" s="499" t="s">
        <v>416</v>
      </c>
      <c r="D17" s="498">
        <v>1000</v>
      </c>
      <c r="E17" s="498" t="s">
        <v>240</v>
      </c>
      <c r="F17" s="498" t="s">
        <v>240</v>
      </c>
      <c r="G17" s="746">
        <v>6.3212874576182552</v>
      </c>
      <c r="H17" s="502" t="s">
        <v>550</v>
      </c>
      <c r="I17" s="503">
        <v>1119.0060091894634</v>
      </c>
    </row>
    <row r="18" spans="1:9" ht="12" customHeight="1" x14ac:dyDescent="0.2">
      <c r="A18" s="497" t="s">
        <v>482</v>
      </c>
      <c r="B18" s="498">
        <v>2.6687692407481776E-2</v>
      </c>
      <c r="C18" s="499" t="s">
        <v>549</v>
      </c>
      <c r="D18" s="498">
        <v>1000</v>
      </c>
      <c r="E18" s="498" t="s">
        <v>240</v>
      </c>
      <c r="F18" s="498" t="s">
        <v>240</v>
      </c>
      <c r="G18" s="746">
        <v>0.2528547182228586</v>
      </c>
      <c r="H18" s="502" t="s">
        <v>550</v>
      </c>
      <c r="I18" s="503">
        <v>2.6687692407481776E-2</v>
      </c>
    </row>
    <row r="19" spans="1:9" ht="12" customHeight="1" x14ac:dyDescent="0.2">
      <c r="A19" s="497" t="s">
        <v>483</v>
      </c>
      <c r="B19" s="498">
        <v>3.7926970838246823E-2</v>
      </c>
      <c r="C19" s="499" t="s">
        <v>416</v>
      </c>
      <c r="D19" s="498">
        <v>1000</v>
      </c>
      <c r="E19" s="498" t="s">
        <v>240</v>
      </c>
      <c r="F19" s="498" t="s">
        <v>240</v>
      </c>
      <c r="G19" s="746">
        <v>3.7926970838246823E-2</v>
      </c>
      <c r="H19" s="502" t="s">
        <v>550</v>
      </c>
      <c r="I19" s="503">
        <v>2.2871480098914754</v>
      </c>
    </row>
    <row r="20" spans="1:9" ht="12" customHeight="1" x14ac:dyDescent="0.2">
      <c r="A20" s="497" t="s">
        <v>484</v>
      </c>
      <c r="B20" s="498">
        <v>3.792802661159253E-2</v>
      </c>
      <c r="C20" s="499" t="s">
        <v>416</v>
      </c>
      <c r="D20" s="498">
        <v>1000</v>
      </c>
      <c r="E20" s="498" t="s">
        <v>240</v>
      </c>
      <c r="F20" s="498" t="s">
        <v>240</v>
      </c>
      <c r="G20" s="746">
        <v>3.792802661159253E-2</v>
      </c>
      <c r="H20" s="502" t="s">
        <v>550</v>
      </c>
      <c r="I20" s="503">
        <v>3.7449600585940801</v>
      </c>
    </row>
    <row r="21" spans="1:9" ht="12" customHeight="1" x14ac:dyDescent="0.2">
      <c r="A21" s="497" t="s">
        <v>485</v>
      </c>
      <c r="B21" s="498">
        <v>2.5285429294595263E-2</v>
      </c>
      <c r="C21" s="499" t="s">
        <v>416</v>
      </c>
      <c r="D21" s="498">
        <v>1000</v>
      </c>
      <c r="E21" s="498" t="s">
        <v>240</v>
      </c>
      <c r="F21" s="498" t="s">
        <v>240</v>
      </c>
      <c r="G21" s="746">
        <v>2.5285429294595263E-2</v>
      </c>
      <c r="H21" s="502" t="s">
        <v>550</v>
      </c>
      <c r="I21" s="503">
        <v>0.66068000931049997</v>
      </c>
    </row>
    <row r="22" spans="1:9" ht="12" customHeight="1" x14ac:dyDescent="0.2">
      <c r="A22" s="497" t="s">
        <v>486</v>
      </c>
      <c r="B22" s="498">
        <v>6.321367955571465E-2</v>
      </c>
      <c r="C22" s="499" t="s">
        <v>416</v>
      </c>
      <c r="D22" s="498">
        <v>1000</v>
      </c>
      <c r="E22" s="498" t="s">
        <v>240</v>
      </c>
      <c r="F22" s="498" t="s">
        <v>240</v>
      </c>
      <c r="G22" s="746">
        <v>6.321367955571465E-2</v>
      </c>
      <c r="H22" s="502" t="s">
        <v>550</v>
      </c>
      <c r="I22" s="503">
        <v>1000000</v>
      </c>
    </row>
    <row r="23" spans="1:9" ht="12" customHeight="1" x14ac:dyDescent="0.2">
      <c r="A23" s="497" t="s">
        <v>487</v>
      </c>
      <c r="B23" s="498">
        <v>8.4705728342417075E-2</v>
      </c>
      <c r="C23" s="499" t="s">
        <v>416</v>
      </c>
      <c r="D23" s="498">
        <v>1000</v>
      </c>
      <c r="E23" s="498" t="s">
        <v>240</v>
      </c>
      <c r="F23" s="498" t="s">
        <v>240</v>
      </c>
      <c r="G23" s="746">
        <v>8.4705728342417075E-2</v>
      </c>
      <c r="H23" s="502" t="s">
        <v>550</v>
      </c>
      <c r="I23" s="503">
        <v>1000000</v>
      </c>
    </row>
    <row r="24" spans="1:9" ht="12" customHeight="1" x14ac:dyDescent="0.2">
      <c r="A24" s="497" t="s">
        <v>488</v>
      </c>
      <c r="B24" s="498">
        <v>8.4706330604657626E-2</v>
      </c>
      <c r="C24" s="499" t="s">
        <v>416</v>
      </c>
      <c r="D24" s="498">
        <v>1000</v>
      </c>
      <c r="E24" s="498" t="s">
        <v>240</v>
      </c>
      <c r="F24" s="498" t="s">
        <v>240</v>
      </c>
      <c r="G24" s="746">
        <v>8.4706330604657626E-2</v>
      </c>
      <c r="H24" s="502" t="s">
        <v>550</v>
      </c>
      <c r="I24" s="503">
        <v>1000000</v>
      </c>
    </row>
    <row r="25" spans="1:9" s="749" customFormat="1" ht="12" customHeight="1" x14ac:dyDescent="0.2">
      <c r="A25" s="497" t="s">
        <v>489</v>
      </c>
      <c r="B25" s="498">
        <v>0.84706330604657598</v>
      </c>
      <c r="C25" s="499" t="s">
        <v>416</v>
      </c>
      <c r="D25" s="498">
        <v>1000</v>
      </c>
      <c r="E25" s="498" t="s">
        <v>240</v>
      </c>
      <c r="F25" s="498" t="s">
        <v>240</v>
      </c>
      <c r="G25" s="746">
        <v>0.84706330604657598</v>
      </c>
      <c r="H25" s="502" t="s">
        <v>550</v>
      </c>
      <c r="I25" s="503">
        <v>1000000</v>
      </c>
    </row>
    <row r="26" spans="1:9" s="749" customFormat="1" ht="12" customHeight="1" x14ac:dyDescent="0.2">
      <c r="A26" s="497" t="s">
        <v>490</v>
      </c>
      <c r="B26" s="498">
        <v>5.0642769872477544E-3</v>
      </c>
      <c r="C26" s="499" t="s">
        <v>549</v>
      </c>
      <c r="D26" s="498">
        <v>1000</v>
      </c>
      <c r="E26" s="498" t="s">
        <v>240</v>
      </c>
      <c r="F26" s="498" t="s">
        <v>240</v>
      </c>
      <c r="G26" s="746">
        <v>0.15171283093371513</v>
      </c>
      <c r="H26" s="502" t="s">
        <v>550</v>
      </c>
      <c r="I26" s="503">
        <v>5.0642769872477544E-3</v>
      </c>
    </row>
    <row r="27" spans="1:9" s="749" customFormat="1" ht="12" customHeight="1" x14ac:dyDescent="0.2">
      <c r="A27" s="497" t="s">
        <v>491</v>
      </c>
      <c r="B27" s="498">
        <v>6.7587200420000004E-4</v>
      </c>
      <c r="C27" s="499" t="s">
        <v>549</v>
      </c>
      <c r="D27" s="498">
        <v>1000</v>
      </c>
      <c r="E27" s="498" t="s">
        <v>240</v>
      </c>
      <c r="F27" s="498" t="s">
        <v>240</v>
      </c>
      <c r="G27" s="746">
        <v>3.7928207733428781E-2</v>
      </c>
      <c r="H27" s="502" t="s">
        <v>550</v>
      </c>
      <c r="I27" s="503">
        <v>6.7587200420000004E-4</v>
      </c>
    </row>
    <row r="28" spans="1:9" s="749" customFormat="1" ht="12" customHeight="1" x14ac:dyDescent="0.2">
      <c r="A28" s="497" t="s">
        <v>492</v>
      </c>
      <c r="B28" s="498">
        <v>4.9305812995733218</v>
      </c>
      <c r="C28" s="499" t="s">
        <v>416</v>
      </c>
      <c r="D28" s="498">
        <v>1000</v>
      </c>
      <c r="E28" s="498" t="s">
        <v>240</v>
      </c>
      <c r="F28" s="498" t="s">
        <v>240</v>
      </c>
      <c r="G28" s="746">
        <v>4.9305812995733218</v>
      </c>
      <c r="H28" s="502" t="s">
        <v>550</v>
      </c>
      <c r="I28" s="503">
        <v>40.872520295329068</v>
      </c>
    </row>
    <row r="29" spans="1:9" s="749" customFormat="1" ht="12" customHeight="1" x14ac:dyDescent="0.2">
      <c r="A29" s="497" t="s">
        <v>493</v>
      </c>
      <c r="B29" s="498">
        <v>3.7928207733428785</v>
      </c>
      <c r="C29" s="499" t="s">
        <v>416</v>
      </c>
      <c r="D29" s="498">
        <v>1000</v>
      </c>
      <c r="E29" s="498" t="s">
        <v>240</v>
      </c>
      <c r="F29" s="498" t="s">
        <v>240</v>
      </c>
      <c r="G29" s="746">
        <v>3.7928207733428785</v>
      </c>
      <c r="H29" s="502" t="s">
        <v>550</v>
      </c>
      <c r="I29" s="503">
        <v>1605.2200111726004</v>
      </c>
    </row>
    <row r="30" spans="1:9" s="749" customFormat="1" ht="12" customHeight="1" x14ac:dyDescent="0.2">
      <c r="A30" s="497" t="s">
        <v>494</v>
      </c>
      <c r="B30" s="498">
        <v>2.6228000080691003</v>
      </c>
      <c r="C30" s="499" t="s">
        <v>549</v>
      </c>
      <c r="D30" s="498">
        <v>1000</v>
      </c>
      <c r="E30" s="498" t="s">
        <v>240</v>
      </c>
      <c r="F30" s="498" t="s">
        <v>240</v>
      </c>
      <c r="G30" s="746">
        <v>16.435347389807468</v>
      </c>
      <c r="H30" s="502" t="s">
        <v>550</v>
      </c>
      <c r="I30" s="503">
        <v>2.6228000080691003</v>
      </c>
    </row>
    <row r="31" spans="1:9" s="749" customFormat="1" ht="12" customHeight="1" x14ac:dyDescent="0.2">
      <c r="A31" s="497" t="s">
        <v>495</v>
      </c>
      <c r="B31" s="498">
        <v>1.5731692362576515</v>
      </c>
      <c r="C31" s="499" t="s">
        <v>549</v>
      </c>
      <c r="D31" s="498">
        <v>1000</v>
      </c>
      <c r="E31" s="498" t="s">
        <v>240</v>
      </c>
      <c r="F31" s="498" t="s">
        <v>240</v>
      </c>
      <c r="G31" s="746">
        <v>13.906832406760163</v>
      </c>
      <c r="H31" s="502" t="s">
        <v>550</v>
      </c>
      <c r="I31" s="503">
        <v>1.5731692362576515</v>
      </c>
    </row>
    <row r="32" spans="1:9" s="749" customFormat="1" ht="12" customHeight="1" thickBot="1" x14ac:dyDescent="0.25">
      <c r="A32" s="507" t="s">
        <v>496</v>
      </c>
      <c r="B32" s="508">
        <v>6.3213679555714641</v>
      </c>
      <c r="C32" s="509" t="s">
        <v>416</v>
      </c>
      <c r="D32" s="508">
        <v>1000</v>
      </c>
      <c r="E32" s="508" t="s">
        <v>240</v>
      </c>
      <c r="F32" s="508" t="s">
        <v>240</v>
      </c>
      <c r="G32" s="750">
        <v>6.3213679555714641</v>
      </c>
      <c r="H32" s="512" t="s">
        <v>550</v>
      </c>
      <c r="I32" s="513">
        <v>77741.0454013212</v>
      </c>
    </row>
    <row r="33" spans="1:9" s="517" customFormat="1" ht="11.25" customHeight="1" thickTop="1" x14ac:dyDescent="0.2">
      <c r="A33" s="514" t="s">
        <v>238</v>
      </c>
      <c r="B33" s="515"/>
      <c r="C33" s="515"/>
      <c r="D33" s="515"/>
      <c r="E33" s="515"/>
      <c r="F33" s="504"/>
      <c r="G33" s="515"/>
      <c r="H33" s="515"/>
      <c r="I33" s="516"/>
    </row>
    <row r="34" spans="1:9" ht="11.25" customHeight="1" x14ac:dyDescent="0.2">
      <c r="A34" s="518" t="s">
        <v>508</v>
      </c>
      <c r="B34" s="515"/>
      <c r="C34" s="515"/>
      <c r="D34" s="781"/>
      <c r="E34" s="782"/>
      <c r="F34" s="781"/>
      <c r="G34" s="781"/>
      <c r="H34" s="515"/>
      <c r="I34" s="783"/>
    </row>
    <row r="35" spans="1:9" ht="11.25" customHeight="1" x14ac:dyDescent="0.2">
      <c r="A35" s="521" t="s">
        <v>552</v>
      </c>
      <c r="B35" s="515"/>
      <c r="C35" s="515"/>
      <c r="D35" s="515"/>
      <c r="E35" s="515"/>
      <c r="F35" s="504"/>
      <c r="G35" s="515"/>
      <c r="H35" s="515"/>
      <c r="I35" s="522"/>
    </row>
    <row r="36" spans="1:9" ht="11.25" customHeight="1" x14ac:dyDescent="0.2">
      <c r="A36" s="521" t="s">
        <v>553</v>
      </c>
      <c r="B36" s="515"/>
      <c r="C36" s="515"/>
      <c r="D36" s="515"/>
      <c r="E36" s="515"/>
      <c r="F36" s="504"/>
      <c r="G36" s="515"/>
      <c r="H36" s="515"/>
      <c r="I36" s="522"/>
    </row>
    <row r="37" spans="1:9" ht="11.25" customHeight="1" x14ac:dyDescent="0.2">
      <c r="A37" s="521" t="s">
        <v>554</v>
      </c>
      <c r="B37" s="515"/>
      <c r="C37" s="515"/>
      <c r="D37" s="515"/>
      <c r="E37" s="515"/>
      <c r="F37" s="504"/>
      <c r="G37" s="515"/>
      <c r="H37" s="515"/>
      <c r="I37" s="522"/>
    </row>
    <row r="38" spans="1:9" ht="11.25" customHeight="1" x14ac:dyDescent="0.2">
      <c r="A38" s="518" t="s">
        <v>555</v>
      </c>
      <c r="B38" s="515"/>
      <c r="C38" s="515"/>
      <c r="D38" s="515"/>
      <c r="E38" s="515"/>
      <c r="F38" s="504"/>
      <c r="G38" s="515"/>
      <c r="H38" s="515"/>
      <c r="I38" s="522"/>
    </row>
    <row r="39" spans="1:9" x14ac:dyDescent="0.2">
      <c r="A39" s="521"/>
      <c r="B39" s="784"/>
      <c r="C39" s="784"/>
      <c r="D39" s="784"/>
      <c r="E39" s="784"/>
      <c r="F39" s="710"/>
      <c r="G39" s="784"/>
      <c r="H39" s="784"/>
      <c r="I39" s="785"/>
    </row>
    <row r="40" spans="1:9" ht="12" thickBot="1" x14ac:dyDescent="0.25">
      <c r="A40" s="523"/>
      <c r="B40" s="786"/>
      <c r="C40" s="786"/>
      <c r="D40" s="720"/>
      <c r="E40" s="720"/>
      <c r="F40" s="720"/>
      <c r="G40" s="720"/>
      <c r="H40" s="720"/>
      <c r="I40" s="787"/>
    </row>
    <row r="41" spans="1:9" ht="12" thickTop="1" x14ac:dyDescent="0.2"/>
  </sheetData>
  <sheetProtection algorithmName="SHA-512" hashValue="FaWP/xP9mkU4cfjPD7QhMNXIElr8iVl2pYFTVPne1QABi7YyB8BdL/uursG6Fp78ujY6UMibRD4uJB/PyiNYcQ==" saltValue="RHJC9EwT9yZS+A86hI4sgg==" spinCount="100000" sheet="1" objects="1" scenarios="1"/>
  <mergeCells count="5">
    <mergeCell ref="F4:F5"/>
    <mergeCell ref="A4:A6"/>
    <mergeCell ref="B4:B6"/>
    <mergeCell ref="D4:D5"/>
    <mergeCell ref="E4:E5"/>
  </mergeCells>
  <phoneticPr fontId="0" type="noConversion"/>
  <printOptions horizontalCentered="1"/>
  <pageMargins left="0.15748031496063" right="0.15748031496063" top="0.511811023622047" bottom="0.98425196850393704" header="0.511811023622047" footer="0.511811023622047"/>
  <pageSetup scale="82" fitToHeight="4" orientation="landscape" r:id="rId1"/>
  <headerFooter alignWithMargins="0">
    <oddFooter>&amp;LHawai'i DOH
PFASs November 2024&amp;C&amp;8Page &amp;P of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FF"/>
  </sheetPr>
  <dimension ref="B1:Q14"/>
  <sheetViews>
    <sheetView showGridLines="0" showRowColHeaders="0" topLeftCell="A2" workbookViewId="0">
      <selection activeCell="C7" sqref="C7"/>
    </sheetView>
  </sheetViews>
  <sheetFormatPr defaultColWidth="9.140625" defaultRowHeight="12.75" x14ac:dyDescent="0.2"/>
  <cols>
    <col min="1" max="1" width="2.85546875" style="262" customWidth="1"/>
    <col min="2" max="2" width="2.28515625" style="262" customWidth="1"/>
    <col min="3" max="3" width="10.5703125" style="262" customWidth="1"/>
    <col min="4" max="8" width="9.140625" style="262"/>
    <col min="9" max="9" width="15.28515625" style="262" customWidth="1"/>
    <col min="10" max="10" width="9.140625" style="262"/>
    <col min="11" max="11" width="13.140625" style="262" customWidth="1"/>
    <col min="12" max="16384" width="9.140625" style="262"/>
  </cols>
  <sheetData>
    <row r="1" spans="2:17" ht="6" customHeight="1" x14ac:dyDescent="0.2"/>
    <row r="2" spans="2:17" s="7" customFormat="1" ht="44.25" customHeight="1" x14ac:dyDescent="0.25">
      <c r="C2" s="1321" t="s">
        <v>155</v>
      </c>
      <c r="D2" s="1322"/>
      <c r="E2" s="1322"/>
      <c r="F2" s="1322"/>
      <c r="G2" s="1322"/>
      <c r="H2" s="1322"/>
      <c r="I2" s="1322"/>
      <c r="J2" s="1322"/>
      <c r="K2" s="1322"/>
      <c r="M2" s="263"/>
      <c r="N2" s="264"/>
      <c r="O2" s="265"/>
      <c r="P2" s="265"/>
      <c r="Q2" s="265"/>
    </row>
    <row r="3" spans="2:17" s="7" customFormat="1" ht="41.25" customHeight="1" x14ac:dyDescent="0.25">
      <c r="C3" s="1323" t="s">
        <v>156</v>
      </c>
      <c r="D3" s="1324"/>
      <c r="E3" s="1324"/>
      <c r="F3" s="1324"/>
      <c r="G3" s="1324"/>
      <c r="H3" s="1324"/>
      <c r="I3" s="1324"/>
      <c r="J3" s="1324"/>
      <c r="K3" s="1324"/>
      <c r="M3" s="263"/>
      <c r="N3" s="264"/>
      <c r="O3" s="265"/>
      <c r="P3" s="265"/>
      <c r="Q3" s="265"/>
    </row>
    <row r="4" spans="2:17" ht="6" customHeight="1" x14ac:dyDescent="0.2"/>
    <row r="5" spans="2:17" ht="15.75" x14ac:dyDescent="0.25">
      <c r="C5" s="266" t="s">
        <v>157</v>
      </c>
      <c r="D5" s="267"/>
      <c r="E5" s="267"/>
      <c r="F5" s="267"/>
      <c r="G5" s="267"/>
      <c r="H5" s="267"/>
      <c r="I5" s="267"/>
      <c r="J5" s="267"/>
      <c r="K5" s="267"/>
    </row>
    <row r="6" spans="2:17" ht="5.25" customHeight="1" x14ac:dyDescent="0.2">
      <c r="C6" s="268"/>
    </row>
    <row r="7" spans="2:17" ht="18" customHeight="1" x14ac:dyDescent="0.25">
      <c r="C7" s="436" t="s">
        <v>158</v>
      </c>
    </row>
    <row r="8" spans="2:17" s="297" customFormat="1" ht="96.6" customHeight="1" x14ac:dyDescent="0.2">
      <c r="C8" s="1325" t="s">
        <v>159</v>
      </c>
      <c r="D8" s="1326"/>
      <c r="E8" s="1326"/>
      <c r="F8" s="1326"/>
      <c r="G8" s="1326"/>
      <c r="H8" s="1326"/>
      <c r="I8" s="1326"/>
      <c r="J8" s="1326"/>
      <c r="K8" s="1326"/>
    </row>
    <row r="9" spans="2:17" ht="18.75" customHeight="1" x14ac:dyDescent="0.25">
      <c r="B9" s="297"/>
      <c r="C9" s="1320"/>
      <c r="D9" s="1327"/>
      <c r="E9" s="1327"/>
      <c r="F9" s="1327"/>
      <c r="G9" s="1327"/>
      <c r="H9" s="1327"/>
      <c r="I9" s="1327"/>
      <c r="J9" s="1327"/>
      <c r="K9" s="1327"/>
    </row>
    <row r="10" spans="2:17" ht="18" customHeight="1" x14ac:dyDescent="0.25">
      <c r="C10" s="53" t="s">
        <v>160</v>
      </c>
      <c r="D10" s="52"/>
      <c r="E10" s="52"/>
      <c r="F10" s="7"/>
      <c r="G10" s="7"/>
      <c r="H10" s="52"/>
      <c r="I10" s="7"/>
      <c r="J10" s="7"/>
      <c r="K10" s="7"/>
    </row>
    <row r="11" spans="2:17" ht="9.75" customHeight="1" x14ac:dyDescent="0.25">
      <c r="C11" s="441"/>
      <c r="D11" s="442"/>
      <c r="E11" s="442"/>
      <c r="F11" s="442"/>
      <c r="G11" s="442"/>
      <c r="H11" s="442"/>
      <c r="I11" s="442"/>
      <c r="J11" s="442"/>
      <c r="K11" s="442"/>
    </row>
    <row r="12" spans="2:17" ht="47.1" customHeight="1" x14ac:dyDescent="0.25">
      <c r="C12" s="1319" t="s">
        <v>161</v>
      </c>
      <c r="D12" s="1320"/>
      <c r="E12" s="1320"/>
      <c r="F12" s="1320"/>
      <c r="G12" s="1320"/>
      <c r="H12" s="1320"/>
      <c r="I12" s="1320"/>
      <c r="J12" s="1320"/>
      <c r="K12" s="1320"/>
    </row>
    <row r="13" spans="2:17" ht="9.75" customHeight="1" x14ac:dyDescent="0.25">
      <c r="C13" s="441"/>
      <c r="D13" s="437"/>
      <c r="E13" s="437"/>
      <c r="F13" s="437"/>
      <c r="G13" s="437"/>
      <c r="H13" s="437"/>
      <c r="I13" s="437"/>
      <c r="J13" s="437"/>
      <c r="K13" s="437"/>
    </row>
    <row r="14" spans="2:17" ht="47.1" customHeight="1" x14ac:dyDescent="0.25">
      <c r="C14" s="1319" t="s">
        <v>162</v>
      </c>
      <c r="D14" s="1320"/>
      <c r="E14" s="1320"/>
      <c r="F14" s="1320"/>
      <c r="G14" s="1320"/>
      <c r="H14" s="1320"/>
      <c r="I14" s="1320"/>
      <c r="J14" s="1320"/>
      <c r="K14" s="1320"/>
    </row>
  </sheetData>
  <sheetProtection algorithmName="SHA-512" hashValue="510q+aSSyBo4Ngz7BsA5CluknuHQ5mh74Qk3naj5RaS+BLEwyioeo0z2WwHrLV1nhmfAxCwbZzeOYkfMvEd/cA==" saltValue="fjMADahLJLwqmHPuFVvCmg==" spinCount="100000" sheet="1" objects="1" scenarios="1"/>
  <mergeCells count="6">
    <mergeCell ref="C14:K14"/>
    <mergeCell ref="C12:K12"/>
    <mergeCell ref="C2:K2"/>
    <mergeCell ref="C3:K3"/>
    <mergeCell ref="C8:K8"/>
    <mergeCell ref="C9:K9"/>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9"/>
  </sheetPr>
  <dimension ref="A1:I121"/>
  <sheetViews>
    <sheetView topLeftCell="B1" zoomScaleNormal="100" workbookViewId="0">
      <selection activeCell="B5" sqref="B5"/>
    </sheetView>
  </sheetViews>
  <sheetFormatPr defaultColWidth="9.140625" defaultRowHeight="12.75" x14ac:dyDescent="0.2"/>
  <cols>
    <col min="1" max="1" width="12" style="470" hidden="1" customWidth="1"/>
    <col min="2" max="2" width="50.5703125" style="504" customWidth="1"/>
    <col min="3" max="4" width="3.7109375" style="504" customWidth="1"/>
    <col min="5" max="6" width="20.7109375" style="515" customWidth="1"/>
    <col min="7" max="7" width="9.140625" style="627"/>
    <col min="8" max="9" width="9.140625" style="638"/>
    <col min="10" max="16384" width="9.140625" style="470"/>
  </cols>
  <sheetData>
    <row r="1" spans="1:9" ht="47.25" x14ac:dyDescent="0.25">
      <c r="B1" s="471" t="s">
        <v>560</v>
      </c>
      <c r="C1" s="471"/>
      <c r="D1" s="628"/>
      <c r="E1" s="468"/>
      <c r="F1" s="468"/>
      <c r="G1" s="469"/>
    </row>
    <row r="2" spans="1:9" ht="13.5" thickBot="1" x14ac:dyDescent="0.25">
      <c r="G2" s="469"/>
    </row>
    <row r="3" spans="1:9" ht="41.25" customHeight="1" thickTop="1" thickBot="1" x14ac:dyDescent="0.25">
      <c r="A3" s="753" t="s">
        <v>561</v>
      </c>
      <c r="B3" s="774"/>
      <c r="C3" s="1553" t="s">
        <v>562</v>
      </c>
      <c r="D3" s="1554"/>
      <c r="E3" s="755" t="s">
        <v>563</v>
      </c>
      <c r="F3" s="756" t="s">
        <v>564</v>
      </c>
      <c r="G3" s="469"/>
    </row>
    <row r="4" spans="1:9" s="551" customFormat="1" ht="13.5" thickBot="1" x14ac:dyDescent="0.25">
      <c r="A4" s="757" t="s">
        <v>565</v>
      </c>
      <c r="B4" s="775" t="s">
        <v>469</v>
      </c>
      <c r="C4" s="1555" t="s">
        <v>566</v>
      </c>
      <c r="D4" s="1556"/>
      <c r="E4" s="759" t="s">
        <v>567</v>
      </c>
      <c r="F4" s="760" t="s">
        <v>567</v>
      </c>
      <c r="G4" s="469"/>
      <c r="H4" s="761"/>
      <c r="I4" s="761"/>
    </row>
    <row r="5" spans="1:9" s="551" customFormat="1" ht="12" customHeight="1" x14ac:dyDescent="0.2">
      <c r="A5" s="762" t="s">
        <v>472</v>
      </c>
      <c r="B5" s="490" t="s">
        <v>472</v>
      </c>
      <c r="C5" s="763" t="s">
        <v>895</v>
      </c>
      <c r="D5" s="776" t="s">
        <v>875</v>
      </c>
      <c r="E5" s="542" t="s">
        <v>550</v>
      </c>
      <c r="F5" s="545" t="s">
        <v>550</v>
      </c>
      <c r="G5" s="469"/>
      <c r="H5" s="761"/>
      <c r="I5" s="761"/>
    </row>
    <row r="6" spans="1:9" s="551" customFormat="1" ht="12" customHeight="1" x14ac:dyDescent="0.2">
      <c r="A6" s="764" t="s">
        <v>473</v>
      </c>
      <c r="B6" s="497" t="s">
        <v>473</v>
      </c>
      <c r="C6" s="765" t="s">
        <v>895</v>
      </c>
      <c r="D6" s="777" t="s">
        <v>875</v>
      </c>
      <c r="E6" s="547" t="s">
        <v>550</v>
      </c>
      <c r="F6" s="550" t="s">
        <v>550</v>
      </c>
      <c r="G6" s="469"/>
      <c r="H6" s="761"/>
      <c r="I6" s="761"/>
    </row>
    <row r="7" spans="1:9" s="551" customFormat="1" ht="12" customHeight="1" x14ac:dyDescent="0.2">
      <c r="A7" s="764" t="s">
        <v>474</v>
      </c>
      <c r="B7" s="497" t="s">
        <v>474</v>
      </c>
      <c r="C7" s="765" t="s">
        <v>895</v>
      </c>
      <c r="D7" s="777" t="s">
        <v>875</v>
      </c>
      <c r="E7" s="547" t="s">
        <v>550</v>
      </c>
      <c r="F7" s="550" t="s">
        <v>550</v>
      </c>
      <c r="G7" s="469"/>
      <c r="H7" s="761"/>
      <c r="I7" s="761"/>
    </row>
    <row r="8" spans="1:9" s="551" customFormat="1" ht="12" customHeight="1" x14ac:dyDescent="0.2">
      <c r="A8" s="764" t="s">
        <v>475</v>
      </c>
      <c r="B8" s="497" t="s">
        <v>475</v>
      </c>
      <c r="C8" s="765" t="s">
        <v>895</v>
      </c>
      <c r="D8" s="777" t="s">
        <v>875</v>
      </c>
      <c r="E8" s="547" t="s">
        <v>550</v>
      </c>
      <c r="F8" s="550" t="s">
        <v>550</v>
      </c>
      <c r="G8" s="469"/>
      <c r="H8" s="761"/>
      <c r="I8" s="761"/>
    </row>
    <row r="9" spans="1:9" s="551" customFormat="1" ht="12" customHeight="1" x14ac:dyDescent="0.2">
      <c r="A9" s="764" t="s">
        <v>476</v>
      </c>
      <c r="B9" s="497" t="s">
        <v>476</v>
      </c>
      <c r="C9" s="765" t="s">
        <v>895</v>
      </c>
      <c r="D9" s="777" t="s">
        <v>875</v>
      </c>
      <c r="E9" s="547" t="s">
        <v>550</v>
      </c>
      <c r="F9" s="550" t="s">
        <v>550</v>
      </c>
      <c r="G9" s="469"/>
      <c r="H9" s="761"/>
      <c r="I9" s="761"/>
    </row>
    <row r="10" spans="1:9" s="551" customFormat="1" ht="12" customHeight="1" x14ac:dyDescent="0.2">
      <c r="A10" s="764" t="s">
        <v>477</v>
      </c>
      <c r="B10" s="497" t="s">
        <v>477</v>
      </c>
      <c r="C10" s="765" t="s">
        <v>895</v>
      </c>
      <c r="D10" s="777" t="s">
        <v>875</v>
      </c>
      <c r="E10" s="547" t="s">
        <v>550</v>
      </c>
      <c r="F10" s="550" t="s">
        <v>550</v>
      </c>
      <c r="G10" s="469"/>
      <c r="H10" s="761"/>
      <c r="I10" s="761"/>
    </row>
    <row r="11" spans="1:9" s="551" customFormat="1" ht="12" customHeight="1" x14ac:dyDescent="0.2">
      <c r="A11" s="764" t="s">
        <v>200</v>
      </c>
      <c r="B11" s="497" t="s">
        <v>200</v>
      </c>
      <c r="C11" s="765" t="s">
        <v>902</v>
      </c>
      <c r="D11" s="777" t="s">
        <v>903</v>
      </c>
      <c r="E11" s="547" t="s">
        <v>551</v>
      </c>
      <c r="F11" s="550" t="s">
        <v>551</v>
      </c>
      <c r="G11" s="469"/>
      <c r="H11" s="761"/>
      <c r="I11" s="761"/>
    </row>
    <row r="12" spans="1:9" s="551" customFormat="1" ht="12" customHeight="1" x14ac:dyDescent="0.2">
      <c r="A12" s="764" t="s">
        <v>478</v>
      </c>
      <c r="B12" s="497" t="s">
        <v>478</v>
      </c>
      <c r="C12" s="765" t="s">
        <v>902</v>
      </c>
      <c r="D12" s="777" t="s">
        <v>903</v>
      </c>
      <c r="E12" s="547" t="s">
        <v>551</v>
      </c>
      <c r="F12" s="550" t="s">
        <v>551</v>
      </c>
      <c r="G12" s="469"/>
      <c r="H12" s="761"/>
      <c r="I12" s="761"/>
    </row>
    <row r="13" spans="1:9" s="551" customFormat="1" ht="12" customHeight="1" x14ac:dyDescent="0.2">
      <c r="A13" s="764" t="s">
        <v>479</v>
      </c>
      <c r="B13" s="497" t="s">
        <v>479</v>
      </c>
      <c r="C13" s="765" t="s">
        <v>906</v>
      </c>
      <c r="D13" s="777" t="s">
        <v>903</v>
      </c>
      <c r="E13" s="547" t="s">
        <v>550</v>
      </c>
      <c r="F13" s="550" t="s">
        <v>550</v>
      </c>
      <c r="G13" s="469"/>
      <c r="H13" s="761"/>
      <c r="I13" s="761"/>
    </row>
    <row r="14" spans="1:9" s="551" customFormat="1" ht="12" customHeight="1" x14ac:dyDescent="0.2">
      <c r="A14" s="764" t="s">
        <v>480</v>
      </c>
      <c r="B14" s="497" t="s">
        <v>480</v>
      </c>
      <c r="C14" s="765" t="s">
        <v>906</v>
      </c>
      <c r="D14" s="777" t="s">
        <v>903</v>
      </c>
      <c r="E14" s="547" t="s">
        <v>550</v>
      </c>
      <c r="F14" s="550" t="s">
        <v>550</v>
      </c>
      <c r="G14" s="469"/>
      <c r="H14" s="761"/>
      <c r="I14" s="761"/>
    </row>
    <row r="15" spans="1:9" s="551" customFormat="1" ht="12" customHeight="1" x14ac:dyDescent="0.2">
      <c r="A15" s="764" t="s">
        <v>481</v>
      </c>
      <c r="B15" s="497" t="s">
        <v>481</v>
      </c>
      <c r="C15" s="765" t="s">
        <v>906</v>
      </c>
      <c r="D15" s="777" t="s">
        <v>903</v>
      </c>
      <c r="E15" s="547" t="s">
        <v>550</v>
      </c>
      <c r="F15" s="550" t="s">
        <v>550</v>
      </c>
      <c r="G15" s="469"/>
      <c r="H15" s="761"/>
      <c r="I15" s="761"/>
    </row>
    <row r="16" spans="1:9" s="551" customFormat="1" ht="12" customHeight="1" x14ac:dyDescent="0.2">
      <c r="A16" s="764" t="s">
        <v>482</v>
      </c>
      <c r="B16" s="497" t="s">
        <v>482</v>
      </c>
      <c r="C16" s="765" t="s">
        <v>895</v>
      </c>
      <c r="D16" s="777" t="s">
        <v>875</v>
      </c>
      <c r="E16" s="547" t="s">
        <v>550</v>
      </c>
      <c r="F16" s="550" t="s">
        <v>550</v>
      </c>
      <c r="G16" s="469"/>
      <c r="H16" s="761"/>
      <c r="I16" s="761"/>
    </row>
    <row r="17" spans="1:9" s="551" customFormat="1" ht="12" customHeight="1" x14ac:dyDescent="0.2">
      <c r="A17" s="764" t="s">
        <v>483</v>
      </c>
      <c r="B17" s="497" t="s">
        <v>483</v>
      </c>
      <c r="C17" s="765" t="s">
        <v>895</v>
      </c>
      <c r="D17" s="777" t="s">
        <v>875</v>
      </c>
      <c r="E17" s="547" t="s">
        <v>550</v>
      </c>
      <c r="F17" s="550" t="s">
        <v>550</v>
      </c>
      <c r="G17" s="469"/>
      <c r="H17" s="761"/>
      <c r="I17" s="761"/>
    </row>
    <row r="18" spans="1:9" s="551" customFormat="1" ht="12" customHeight="1" x14ac:dyDescent="0.2">
      <c r="A18" s="764" t="s">
        <v>484</v>
      </c>
      <c r="B18" s="497" t="s">
        <v>484</v>
      </c>
      <c r="C18" s="765" t="s">
        <v>895</v>
      </c>
      <c r="D18" s="777" t="s">
        <v>875</v>
      </c>
      <c r="E18" s="547" t="s">
        <v>550</v>
      </c>
      <c r="F18" s="550" t="s">
        <v>550</v>
      </c>
      <c r="G18" s="469"/>
      <c r="H18" s="761"/>
      <c r="I18" s="761"/>
    </row>
    <row r="19" spans="1:9" s="551" customFormat="1" ht="12" customHeight="1" x14ac:dyDescent="0.2">
      <c r="A19" s="764" t="s">
        <v>485</v>
      </c>
      <c r="B19" s="497" t="s">
        <v>485</v>
      </c>
      <c r="C19" s="765" t="s">
        <v>895</v>
      </c>
      <c r="D19" s="777" t="s">
        <v>875</v>
      </c>
      <c r="E19" s="547" t="s">
        <v>550</v>
      </c>
      <c r="F19" s="550" t="s">
        <v>550</v>
      </c>
      <c r="G19" s="469"/>
      <c r="H19" s="761"/>
      <c r="I19" s="761"/>
    </row>
    <row r="20" spans="1:9" s="551" customFormat="1" ht="12" customHeight="1" x14ac:dyDescent="0.2">
      <c r="A20" s="764" t="s">
        <v>486</v>
      </c>
      <c r="B20" s="497" t="s">
        <v>486</v>
      </c>
      <c r="C20" s="765" t="s">
        <v>895</v>
      </c>
      <c r="D20" s="777" t="s">
        <v>875</v>
      </c>
      <c r="E20" s="547" t="s">
        <v>550</v>
      </c>
      <c r="F20" s="550" t="s">
        <v>550</v>
      </c>
      <c r="G20" s="469"/>
      <c r="H20" s="761"/>
      <c r="I20" s="761"/>
    </row>
    <row r="21" spans="1:9" s="551" customFormat="1" ht="12" customHeight="1" x14ac:dyDescent="0.2">
      <c r="A21" s="764" t="s">
        <v>487</v>
      </c>
      <c r="B21" s="497" t="s">
        <v>487</v>
      </c>
      <c r="C21" s="765" t="s">
        <v>895</v>
      </c>
      <c r="D21" s="777" t="s">
        <v>875</v>
      </c>
      <c r="E21" s="547" t="s">
        <v>550</v>
      </c>
      <c r="F21" s="550" t="s">
        <v>550</v>
      </c>
      <c r="G21" s="469"/>
      <c r="H21" s="761"/>
      <c r="I21" s="761"/>
    </row>
    <row r="22" spans="1:9" s="551" customFormat="1" ht="12" customHeight="1" x14ac:dyDescent="0.2">
      <c r="A22" s="764" t="s">
        <v>488</v>
      </c>
      <c r="B22" s="497" t="s">
        <v>488</v>
      </c>
      <c r="C22" s="765" t="s">
        <v>895</v>
      </c>
      <c r="D22" s="777" t="s">
        <v>875</v>
      </c>
      <c r="E22" s="547" t="s">
        <v>550</v>
      </c>
      <c r="F22" s="550" t="s">
        <v>550</v>
      </c>
      <c r="G22" s="469"/>
      <c r="H22" s="761"/>
      <c r="I22" s="761"/>
    </row>
    <row r="23" spans="1:9" s="551" customFormat="1" ht="12" customHeight="1" x14ac:dyDescent="0.2">
      <c r="A23" s="764" t="s">
        <v>489</v>
      </c>
      <c r="B23" s="497" t="s">
        <v>489</v>
      </c>
      <c r="C23" s="765" t="s">
        <v>895</v>
      </c>
      <c r="D23" s="777" t="s">
        <v>875</v>
      </c>
      <c r="E23" s="547" t="s">
        <v>550</v>
      </c>
      <c r="F23" s="550" t="s">
        <v>550</v>
      </c>
      <c r="G23" s="778"/>
      <c r="H23" s="761"/>
      <c r="I23" s="761"/>
    </row>
    <row r="24" spans="1:9" s="551" customFormat="1" ht="12" customHeight="1" x14ac:dyDescent="0.2">
      <c r="A24" s="764" t="s">
        <v>490</v>
      </c>
      <c r="B24" s="497" t="s">
        <v>490</v>
      </c>
      <c r="C24" s="765" t="s">
        <v>895</v>
      </c>
      <c r="D24" s="777" t="s">
        <v>875</v>
      </c>
      <c r="E24" s="547" t="s">
        <v>550</v>
      </c>
      <c r="F24" s="550" t="s">
        <v>550</v>
      </c>
      <c r="G24" s="778"/>
      <c r="H24" s="761"/>
      <c r="I24" s="761"/>
    </row>
    <row r="25" spans="1:9" s="551" customFormat="1" ht="12" customHeight="1" x14ac:dyDescent="0.2">
      <c r="A25" s="764" t="s">
        <v>491</v>
      </c>
      <c r="B25" s="497" t="s">
        <v>491</v>
      </c>
      <c r="C25" s="765" t="s">
        <v>895</v>
      </c>
      <c r="D25" s="777" t="s">
        <v>875</v>
      </c>
      <c r="E25" s="547" t="s">
        <v>550</v>
      </c>
      <c r="F25" s="550" t="s">
        <v>550</v>
      </c>
      <c r="G25" s="778"/>
      <c r="H25" s="761"/>
      <c r="I25" s="761"/>
    </row>
    <row r="26" spans="1:9" s="551" customFormat="1" ht="12" customHeight="1" x14ac:dyDescent="0.2">
      <c r="A26" s="764" t="s">
        <v>492</v>
      </c>
      <c r="B26" s="497" t="s">
        <v>492</v>
      </c>
      <c r="C26" s="765" t="s">
        <v>895</v>
      </c>
      <c r="D26" s="777" t="s">
        <v>875</v>
      </c>
      <c r="E26" s="547" t="s">
        <v>550</v>
      </c>
      <c r="F26" s="550" t="s">
        <v>550</v>
      </c>
      <c r="G26" s="778"/>
      <c r="H26" s="761"/>
      <c r="I26" s="761"/>
    </row>
    <row r="27" spans="1:9" s="551" customFormat="1" ht="12" customHeight="1" x14ac:dyDescent="0.2">
      <c r="A27" s="764" t="s">
        <v>493</v>
      </c>
      <c r="B27" s="497" t="s">
        <v>493</v>
      </c>
      <c r="C27" s="765" t="s">
        <v>895</v>
      </c>
      <c r="D27" s="777" t="s">
        <v>875</v>
      </c>
      <c r="E27" s="547" t="s">
        <v>550</v>
      </c>
      <c r="F27" s="550" t="s">
        <v>550</v>
      </c>
      <c r="G27" s="778"/>
      <c r="H27" s="761"/>
      <c r="I27" s="761"/>
    </row>
    <row r="28" spans="1:9" s="551" customFormat="1" ht="12" customHeight="1" x14ac:dyDescent="0.2">
      <c r="A28" s="764" t="s">
        <v>494</v>
      </c>
      <c r="B28" s="497" t="s">
        <v>494</v>
      </c>
      <c r="C28" s="765" t="s">
        <v>906</v>
      </c>
      <c r="D28" s="777" t="s">
        <v>903</v>
      </c>
      <c r="E28" s="547" t="s">
        <v>550</v>
      </c>
      <c r="F28" s="550" t="s">
        <v>550</v>
      </c>
      <c r="G28" s="778"/>
      <c r="H28" s="761"/>
      <c r="I28" s="761"/>
    </row>
    <row r="29" spans="1:9" s="551" customFormat="1" ht="12" customHeight="1" x14ac:dyDescent="0.2">
      <c r="A29" s="764" t="s">
        <v>495</v>
      </c>
      <c r="B29" s="497" t="s">
        <v>495</v>
      </c>
      <c r="C29" s="765" t="s">
        <v>895</v>
      </c>
      <c r="D29" s="777" t="s">
        <v>875</v>
      </c>
      <c r="E29" s="547" t="s">
        <v>550</v>
      </c>
      <c r="F29" s="550" t="s">
        <v>550</v>
      </c>
      <c r="G29" s="778"/>
      <c r="H29" s="761"/>
      <c r="I29" s="761"/>
    </row>
    <row r="30" spans="1:9" s="551" customFormat="1" ht="12" customHeight="1" thickBot="1" x14ac:dyDescent="0.25">
      <c r="A30" s="766" t="s">
        <v>496</v>
      </c>
      <c r="B30" s="507" t="s">
        <v>496</v>
      </c>
      <c r="C30" s="767" t="s">
        <v>895</v>
      </c>
      <c r="D30" s="779" t="s">
        <v>875</v>
      </c>
      <c r="E30" s="553" t="s">
        <v>550</v>
      </c>
      <c r="F30" s="556" t="s">
        <v>550</v>
      </c>
      <c r="G30" s="778"/>
      <c r="H30" s="761"/>
      <c r="I30" s="761"/>
    </row>
    <row r="31" spans="1:9" ht="11.25" customHeight="1" thickTop="1" x14ac:dyDescent="0.2">
      <c r="B31" s="514" t="s">
        <v>238</v>
      </c>
      <c r="F31" s="522"/>
      <c r="G31" s="469"/>
    </row>
    <row r="32" spans="1:9" ht="22.5" customHeight="1" x14ac:dyDescent="0.2">
      <c r="B32" s="1522" t="s">
        <v>568</v>
      </c>
      <c r="C32" s="1523"/>
      <c r="D32" s="1523"/>
      <c r="E32" s="1523"/>
      <c r="F32" s="1524"/>
      <c r="G32" s="469"/>
    </row>
    <row r="33" spans="2:7" ht="23.1" customHeight="1" x14ac:dyDescent="0.2">
      <c r="B33" s="1522" t="s">
        <v>569</v>
      </c>
      <c r="C33" s="1523"/>
      <c r="D33" s="1523"/>
      <c r="E33" s="1523"/>
      <c r="F33" s="1524"/>
      <c r="G33" s="469"/>
    </row>
    <row r="34" spans="2:7" ht="32.1" customHeight="1" x14ac:dyDescent="0.2">
      <c r="B34" s="1522" t="s">
        <v>570</v>
      </c>
      <c r="C34" s="1523"/>
      <c r="D34" s="1523"/>
      <c r="E34" s="1523"/>
      <c r="F34" s="1524"/>
      <c r="G34" s="469"/>
    </row>
    <row r="35" spans="2:7" ht="11.25" customHeight="1" x14ac:dyDescent="0.2">
      <c r="B35" s="514"/>
      <c r="C35" s="706"/>
      <c r="D35" s="565"/>
      <c r="E35" s="626"/>
      <c r="F35" s="768"/>
      <c r="G35" s="469"/>
    </row>
    <row r="36" spans="2:7" ht="22.35" customHeight="1" x14ac:dyDescent="0.2">
      <c r="B36" s="1522" t="s">
        <v>571</v>
      </c>
      <c r="C36" s="1523"/>
      <c r="D36" s="1523"/>
      <c r="E36" s="1523"/>
      <c r="F36" s="1524"/>
      <c r="G36" s="469"/>
    </row>
    <row r="37" spans="2:7" ht="11.25" customHeight="1" x14ac:dyDescent="0.2">
      <c r="B37" s="1522" t="s">
        <v>572</v>
      </c>
      <c r="C37" s="1523"/>
      <c r="D37" s="1523"/>
      <c r="E37" s="1523"/>
      <c r="F37" s="1524"/>
      <c r="G37" s="469"/>
    </row>
    <row r="38" spans="2:7" ht="11.25" customHeight="1" x14ac:dyDescent="0.2">
      <c r="B38" s="1522" t="s">
        <v>573</v>
      </c>
      <c r="C38" s="1523"/>
      <c r="D38" s="1523"/>
      <c r="E38" s="1523"/>
      <c r="F38" s="1524"/>
      <c r="G38" s="469"/>
    </row>
    <row r="39" spans="2:7" ht="12" customHeight="1" x14ac:dyDescent="0.2">
      <c r="B39" s="1522" t="s">
        <v>574</v>
      </c>
      <c r="C39" s="1523"/>
      <c r="D39" s="1523"/>
      <c r="E39" s="1523"/>
      <c r="F39" s="1524"/>
      <c r="G39" s="469"/>
    </row>
    <row r="40" spans="2:7" ht="11.25" customHeight="1" x14ac:dyDescent="0.2">
      <c r="B40" s="1522" t="s">
        <v>575</v>
      </c>
      <c r="C40" s="1523"/>
      <c r="D40" s="1523"/>
      <c r="E40" s="1523"/>
      <c r="F40" s="1524"/>
      <c r="G40" s="469"/>
    </row>
    <row r="41" spans="2:7" ht="24" customHeight="1" x14ac:dyDescent="0.2">
      <c r="B41" s="1522" t="s">
        <v>576</v>
      </c>
      <c r="C41" s="1523"/>
      <c r="D41" s="1523"/>
      <c r="E41" s="1523"/>
      <c r="F41" s="1524"/>
      <c r="G41" s="469"/>
    </row>
    <row r="42" spans="2:7" ht="11.25" customHeight="1" x14ac:dyDescent="0.2">
      <c r="B42" s="769"/>
      <c r="C42" s="770"/>
      <c r="D42" s="565"/>
      <c r="E42" s="626"/>
      <c r="F42" s="768"/>
      <c r="G42" s="469"/>
    </row>
    <row r="43" spans="2:7" ht="11.25" customHeight="1" thickBot="1" x14ac:dyDescent="0.25">
      <c r="B43" s="523"/>
      <c r="C43" s="720"/>
      <c r="D43" s="771"/>
      <c r="E43" s="772"/>
      <c r="F43" s="773"/>
      <c r="G43" s="469"/>
    </row>
    <row r="44" spans="2:7" ht="13.5" thickTop="1" x14ac:dyDescent="0.2">
      <c r="D44" s="469"/>
      <c r="E44" s="626"/>
      <c r="F44" s="626"/>
      <c r="G44" s="469"/>
    </row>
    <row r="45" spans="2:7" x14ac:dyDescent="0.2">
      <c r="B45" s="470"/>
      <c r="C45" s="470"/>
      <c r="D45" s="469"/>
      <c r="E45" s="626"/>
      <c r="F45" s="626"/>
      <c r="G45" s="469"/>
    </row>
    <row r="46" spans="2:7" x14ac:dyDescent="0.2">
      <c r="B46" s="469"/>
      <c r="C46" s="469"/>
      <c r="D46" s="469"/>
      <c r="E46" s="626"/>
      <c r="F46" s="626"/>
      <c r="G46" s="469"/>
    </row>
    <row r="47" spans="2:7" x14ac:dyDescent="0.2">
      <c r="B47" s="469"/>
      <c r="C47" s="469"/>
      <c r="D47" s="469"/>
      <c r="E47" s="626"/>
      <c r="F47" s="626"/>
      <c r="G47" s="469"/>
    </row>
    <row r="48" spans="2:7" x14ac:dyDescent="0.2">
      <c r="B48" s="469"/>
      <c r="C48" s="469"/>
      <c r="D48" s="469"/>
      <c r="E48" s="626"/>
      <c r="F48" s="626"/>
      <c r="G48" s="469"/>
    </row>
    <row r="49" spans="2:6" x14ac:dyDescent="0.2">
      <c r="B49" s="469"/>
      <c r="C49" s="469"/>
      <c r="D49" s="469"/>
      <c r="E49" s="626"/>
      <c r="F49" s="626"/>
    </row>
    <row r="50" spans="2:6" x14ac:dyDescent="0.2">
      <c r="B50" s="469"/>
      <c r="C50" s="469"/>
      <c r="D50" s="469"/>
      <c r="E50" s="626"/>
      <c r="F50" s="626"/>
    </row>
    <row r="51" spans="2:6" x14ac:dyDescent="0.2">
      <c r="B51" s="469"/>
      <c r="C51" s="469"/>
      <c r="D51" s="469"/>
      <c r="E51" s="626"/>
      <c r="F51" s="626"/>
    </row>
    <row r="52" spans="2:6" x14ac:dyDescent="0.2">
      <c r="B52" s="469"/>
      <c r="C52" s="469"/>
      <c r="D52" s="469"/>
      <c r="E52" s="626"/>
      <c r="F52" s="626"/>
    </row>
    <row r="53" spans="2:6" x14ac:dyDescent="0.2">
      <c r="B53" s="469"/>
      <c r="C53" s="469"/>
      <c r="D53" s="469"/>
      <c r="E53" s="626"/>
      <c r="F53" s="626"/>
    </row>
    <row r="54" spans="2:6" x14ac:dyDescent="0.2">
      <c r="B54" s="469"/>
      <c r="C54" s="469"/>
      <c r="D54" s="469"/>
      <c r="E54" s="626"/>
      <c r="F54" s="626"/>
    </row>
    <row r="55" spans="2:6" x14ac:dyDescent="0.2">
      <c r="B55" s="469"/>
      <c r="C55" s="469"/>
      <c r="D55" s="469"/>
      <c r="E55" s="626"/>
      <c r="F55" s="626"/>
    </row>
    <row r="56" spans="2:6" x14ac:dyDescent="0.2">
      <c r="B56" s="469"/>
      <c r="C56" s="469"/>
      <c r="D56" s="469"/>
      <c r="E56" s="626"/>
      <c r="F56" s="626"/>
    </row>
    <row r="57" spans="2:6" x14ac:dyDescent="0.2">
      <c r="B57" s="469"/>
      <c r="C57" s="469"/>
      <c r="D57" s="469"/>
      <c r="E57" s="626"/>
      <c r="F57" s="626"/>
    </row>
    <row r="58" spans="2:6" x14ac:dyDescent="0.2">
      <c r="B58" s="469"/>
      <c r="C58" s="469"/>
      <c r="D58" s="469"/>
      <c r="E58" s="626"/>
      <c r="F58" s="626"/>
    </row>
    <row r="59" spans="2:6" x14ac:dyDescent="0.2">
      <c r="B59" s="469"/>
      <c r="C59" s="469"/>
      <c r="D59" s="469"/>
      <c r="E59" s="626"/>
      <c r="F59" s="626"/>
    </row>
    <row r="60" spans="2:6" x14ac:dyDescent="0.2">
      <c r="B60" s="469"/>
      <c r="C60" s="469"/>
      <c r="D60" s="469"/>
      <c r="E60" s="626"/>
      <c r="F60" s="626"/>
    </row>
    <row r="61" spans="2:6" x14ac:dyDescent="0.2">
      <c r="B61" s="469"/>
      <c r="C61" s="469"/>
      <c r="D61" s="469"/>
      <c r="E61" s="626"/>
      <c r="F61" s="626"/>
    </row>
    <row r="62" spans="2:6" x14ac:dyDescent="0.2">
      <c r="B62" s="469"/>
      <c r="C62" s="469"/>
      <c r="D62" s="469"/>
      <c r="E62" s="626"/>
      <c r="F62" s="626"/>
    </row>
    <row r="63" spans="2:6" x14ac:dyDescent="0.2">
      <c r="B63" s="469"/>
      <c r="C63" s="469"/>
      <c r="D63" s="469"/>
      <c r="E63" s="626"/>
      <c r="F63" s="626"/>
    </row>
    <row r="64" spans="2:6" x14ac:dyDescent="0.2">
      <c r="B64" s="469"/>
      <c r="C64" s="469"/>
      <c r="D64" s="469"/>
      <c r="E64" s="626"/>
      <c r="F64" s="626"/>
    </row>
    <row r="65" spans="2:6" x14ac:dyDescent="0.2">
      <c r="B65" s="469"/>
      <c r="C65" s="469"/>
      <c r="D65" s="469"/>
      <c r="E65" s="626"/>
      <c r="F65" s="626"/>
    </row>
    <row r="66" spans="2:6" x14ac:dyDescent="0.2">
      <c r="B66" s="469"/>
      <c r="C66" s="469"/>
      <c r="D66" s="469"/>
      <c r="E66" s="626"/>
      <c r="F66" s="626"/>
    </row>
    <row r="67" spans="2:6" x14ac:dyDescent="0.2">
      <c r="B67" s="469"/>
      <c r="C67" s="469"/>
      <c r="D67" s="469"/>
      <c r="E67" s="626"/>
      <c r="F67" s="626"/>
    </row>
    <row r="68" spans="2:6" x14ac:dyDescent="0.2">
      <c r="B68" s="469"/>
      <c r="C68" s="469"/>
      <c r="D68" s="469"/>
      <c r="E68" s="626"/>
      <c r="F68" s="626"/>
    </row>
    <row r="69" spans="2:6" x14ac:dyDescent="0.2">
      <c r="B69" s="469"/>
      <c r="C69" s="469"/>
      <c r="D69" s="469"/>
      <c r="E69" s="626"/>
      <c r="F69" s="626"/>
    </row>
    <row r="70" spans="2:6" x14ac:dyDescent="0.2">
      <c r="B70" s="469"/>
      <c r="C70" s="469"/>
      <c r="D70" s="469"/>
      <c r="E70" s="626"/>
      <c r="F70" s="626"/>
    </row>
    <row r="71" spans="2:6" x14ac:dyDescent="0.2">
      <c r="B71" s="469"/>
      <c r="C71" s="469"/>
      <c r="D71" s="469"/>
      <c r="E71" s="626"/>
      <c r="F71" s="626"/>
    </row>
    <row r="72" spans="2:6" x14ac:dyDescent="0.2">
      <c r="B72" s="469"/>
      <c r="C72" s="469"/>
      <c r="D72" s="469"/>
      <c r="E72" s="626"/>
      <c r="F72" s="626"/>
    </row>
    <row r="73" spans="2:6" x14ac:dyDescent="0.2">
      <c r="B73" s="469"/>
      <c r="C73" s="469"/>
      <c r="D73" s="469"/>
      <c r="E73" s="626"/>
      <c r="F73" s="626"/>
    </row>
    <row r="74" spans="2:6" x14ac:dyDescent="0.2">
      <c r="B74" s="469"/>
      <c r="C74" s="469"/>
      <c r="D74" s="469"/>
      <c r="E74" s="626"/>
      <c r="F74" s="626"/>
    </row>
    <row r="75" spans="2:6" x14ac:dyDescent="0.2">
      <c r="B75" s="469"/>
      <c r="C75" s="469"/>
      <c r="D75" s="469"/>
      <c r="E75" s="626"/>
      <c r="F75" s="626"/>
    </row>
    <row r="76" spans="2:6" x14ac:dyDescent="0.2">
      <c r="B76" s="469"/>
      <c r="C76" s="469"/>
      <c r="D76" s="469"/>
      <c r="E76" s="626"/>
      <c r="F76" s="626"/>
    </row>
    <row r="77" spans="2:6" x14ac:dyDescent="0.2">
      <c r="B77" s="469"/>
      <c r="C77" s="469"/>
      <c r="D77" s="469"/>
      <c r="E77" s="626"/>
      <c r="F77" s="626"/>
    </row>
    <row r="78" spans="2:6" x14ac:dyDescent="0.2">
      <c r="B78" s="469"/>
      <c r="C78" s="469"/>
      <c r="D78" s="469"/>
      <c r="E78" s="626"/>
      <c r="F78" s="626"/>
    </row>
    <row r="79" spans="2:6" x14ac:dyDescent="0.2">
      <c r="B79" s="469"/>
      <c r="C79" s="469"/>
      <c r="D79" s="469"/>
      <c r="E79" s="626"/>
      <c r="F79" s="626"/>
    </row>
    <row r="80" spans="2:6" x14ac:dyDescent="0.2">
      <c r="B80" s="469"/>
      <c r="C80" s="469"/>
      <c r="D80" s="469"/>
      <c r="E80" s="626"/>
      <c r="F80" s="626"/>
    </row>
    <row r="81" spans="2:6" x14ac:dyDescent="0.2">
      <c r="B81" s="469"/>
      <c r="C81" s="469"/>
      <c r="D81" s="469"/>
      <c r="E81" s="626"/>
      <c r="F81" s="626"/>
    </row>
    <row r="82" spans="2:6" x14ac:dyDescent="0.2">
      <c r="B82" s="469"/>
      <c r="C82" s="469"/>
      <c r="D82" s="469"/>
      <c r="E82" s="626"/>
      <c r="F82" s="626"/>
    </row>
    <row r="83" spans="2:6" x14ac:dyDescent="0.2">
      <c r="B83" s="469"/>
      <c r="C83" s="469"/>
      <c r="D83" s="469"/>
      <c r="E83" s="626"/>
      <c r="F83" s="626"/>
    </row>
    <row r="84" spans="2:6" x14ac:dyDescent="0.2">
      <c r="B84" s="469"/>
      <c r="C84" s="469"/>
      <c r="D84" s="469"/>
      <c r="E84" s="626"/>
      <c r="F84" s="626"/>
    </row>
    <row r="85" spans="2:6" x14ac:dyDescent="0.2">
      <c r="B85" s="469"/>
      <c r="C85" s="469"/>
      <c r="D85" s="469"/>
      <c r="E85" s="626"/>
      <c r="F85" s="626"/>
    </row>
    <row r="86" spans="2:6" x14ac:dyDescent="0.2">
      <c r="B86" s="469"/>
      <c r="C86" s="469"/>
      <c r="D86" s="469"/>
      <c r="E86" s="626"/>
      <c r="F86" s="626"/>
    </row>
    <row r="87" spans="2:6" x14ac:dyDescent="0.2">
      <c r="B87" s="469"/>
      <c r="C87" s="469"/>
      <c r="D87" s="469"/>
      <c r="E87" s="626"/>
      <c r="F87" s="626"/>
    </row>
    <row r="88" spans="2:6" x14ac:dyDescent="0.2">
      <c r="B88" s="469"/>
      <c r="C88" s="469"/>
      <c r="D88" s="469"/>
      <c r="E88" s="626"/>
      <c r="F88" s="626"/>
    </row>
    <row r="89" spans="2:6" x14ac:dyDescent="0.2">
      <c r="B89" s="469"/>
      <c r="C89" s="469"/>
      <c r="D89" s="469"/>
      <c r="E89" s="626"/>
      <c r="F89" s="626"/>
    </row>
    <row r="90" spans="2:6" x14ac:dyDescent="0.2">
      <c r="B90" s="469"/>
      <c r="C90" s="469"/>
      <c r="D90" s="469"/>
      <c r="E90" s="626"/>
      <c r="F90" s="626"/>
    </row>
    <row r="91" spans="2:6" x14ac:dyDescent="0.2">
      <c r="B91" s="469"/>
      <c r="C91" s="469"/>
      <c r="D91" s="469"/>
      <c r="E91" s="626"/>
      <c r="F91" s="626"/>
    </row>
    <row r="92" spans="2:6" x14ac:dyDescent="0.2">
      <c r="B92" s="469"/>
      <c r="C92" s="469"/>
      <c r="D92" s="469"/>
      <c r="E92" s="626"/>
      <c r="F92" s="626"/>
    </row>
    <row r="93" spans="2:6" x14ac:dyDescent="0.2">
      <c r="B93" s="469"/>
      <c r="C93" s="469"/>
      <c r="D93" s="469"/>
      <c r="E93" s="626"/>
      <c r="F93" s="626"/>
    </row>
    <row r="94" spans="2:6" x14ac:dyDescent="0.2">
      <c r="B94" s="469"/>
      <c r="C94" s="469"/>
      <c r="D94" s="469"/>
      <c r="E94" s="626"/>
      <c r="F94" s="626"/>
    </row>
    <row r="95" spans="2:6" x14ac:dyDescent="0.2">
      <c r="B95" s="469"/>
      <c r="C95" s="469"/>
      <c r="D95" s="469"/>
      <c r="E95" s="626"/>
      <c r="F95" s="626"/>
    </row>
    <row r="96" spans="2:6" x14ac:dyDescent="0.2">
      <c r="B96" s="469"/>
      <c r="C96" s="469"/>
      <c r="D96" s="469"/>
      <c r="E96" s="626"/>
      <c r="F96" s="626"/>
    </row>
    <row r="97" spans="2:6" x14ac:dyDescent="0.2">
      <c r="B97" s="469"/>
      <c r="C97" s="469"/>
      <c r="D97" s="469"/>
      <c r="E97" s="626"/>
      <c r="F97" s="626"/>
    </row>
    <row r="98" spans="2:6" x14ac:dyDescent="0.2">
      <c r="B98" s="469"/>
      <c r="C98" s="469"/>
      <c r="D98" s="469"/>
      <c r="E98" s="626"/>
      <c r="F98" s="626"/>
    </row>
    <row r="99" spans="2:6" x14ac:dyDescent="0.2">
      <c r="B99" s="469"/>
      <c r="C99" s="469"/>
      <c r="D99" s="469"/>
      <c r="E99" s="626"/>
      <c r="F99" s="626"/>
    </row>
    <row r="100" spans="2:6" x14ac:dyDescent="0.2">
      <c r="B100" s="469"/>
      <c r="C100" s="469"/>
      <c r="D100" s="469"/>
      <c r="E100" s="626"/>
      <c r="F100" s="626"/>
    </row>
    <row r="101" spans="2:6" x14ac:dyDescent="0.2">
      <c r="B101" s="469"/>
      <c r="C101" s="469"/>
      <c r="D101" s="469"/>
      <c r="E101" s="626"/>
      <c r="F101" s="626"/>
    </row>
    <row r="102" spans="2:6" x14ac:dyDescent="0.2">
      <c r="B102" s="469"/>
      <c r="C102" s="469"/>
      <c r="D102" s="469"/>
      <c r="E102" s="626"/>
      <c r="F102" s="626"/>
    </row>
    <row r="103" spans="2:6" x14ac:dyDescent="0.2">
      <c r="B103" s="469"/>
      <c r="C103" s="469"/>
      <c r="D103" s="469"/>
      <c r="E103" s="626"/>
      <c r="F103" s="626"/>
    </row>
    <row r="104" spans="2:6" x14ac:dyDescent="0.2">
      <c r="B104" s="469"/>
      <c r="C104" s="469"/>
      <c r="D104" s="469"/>
      <c r="E104" s="626"/>
      <c r="F104" s="626"/>
    </row>
    <row r="105" spans="2:6" x14ac:dyDescent="0.2">
      <c r="B105" s="469"/>
      <c r="C105" s="469"/>
      <c r="D105" s="469"/>
      <c r="E105" s="626"/>
      <c r="F105" s="626"/>
    </row>
    <row r="106" spans="2:6" x14ac:dyDescent="0.2">
      <c r="B106" s="469"/>
      <c r="C106" s="469"/>
      <c r="D106" s="469"/>
      <c r="E106" s="626"/>
      <c r="F106" s="626"/>
    </row>
    <row r="107" spans="2:6" x14ac:dyDescent="0.2">
      <c r="B107" s="469"/>
      <c r="C107" s="469"/>
      <c r="D107" s="469"/>
      <c r="E107" s="626"/>
      <c r="F107" s="626"/>
    </row>
    <row r="108" spans="2:6" x14ac:dyDescent="0.2">
      <c r="B108" s="469"/>
      <c r="C108" s="469"/>
      <c r="D108" s="469"/>
      <c r="E108" s="626"/>
      <c r="F108" s="626"/>
    </row>
    <row r="109" spans="2:6" x14ac:dyDescent="0.2">
      <c r="B109" s="469"/>
      <c r="C109" s="469"/>
      <c r="D109" s="469"/>
      <c r="E109" s="626"/>
      <c r="F109" s="626"/>
    </row>
    <row r="110" spans="2:6" x14ac:dyDescent="0.2">
      <c r="B110" s="469"/>
      <c r="C110" s="469"/>
      <c r="D110" s="469"/>
      <c r="E110" s="626"/>
      <c r="F110" s="626"/>
    </row>
    <row r="111" spans="2:6" x14ac:dyDescent="0.2">
      <c r="B111" s="469"/>
      <c r="C111" s="469"/>
      <c r="D111" s="469"/>
      <c r="E111" s="626"/>
      <c r="F111" s="626"/>
    </row>
    <row r="112" spans="2:6" x14ac:dyDescent="0.2">
      <c r="B112" s="469"/>
      <c r="C112" s="469"/>
      <c r="D112" s="469"/>
      <c r="E112" s="626"/>
      <c r="F112" s="626"/>
    </row>
    <row r="113" spans="2:6" x14ac:dyDescent="0.2">
      <c r="B113" s="469"/>
      <c r="C113" s="469"/>
      <c r="D113" s="469"/>
      <c r="E113" s="626"/>
      <c r="F113" s="626"/>
    </row>
    <row r="114" spans="2:6" x14ac:dyDescent="0.2">
      <c r="B114" s="469"/>
      <c r="C114" s="469"/>
      <c r="D114" s="469"/>
      <c r="E114" s="626"/>
      <c r="F114" s="626"/>
    </row>
    <row r="115" spans="2:6" x14ac:dyDescent="0.2">
      <c r="B115" s="469"/>
      <c r="C115" s="469"/>
      <c r="D115" s="469"/>
      <c r="E115" s="626"/>
      <c r="F115" s="626"/>
    </row>
    <row r="116" spans="2:6" x14ac:dyDescent="0.2">
      <c r="B116" s="469"/>
      <c r="C116" s="469"/>
      <c r="D116" s="469"/>
      <c r="E116" s="626"/>
      <c r="F116" s="626"/>
    </row>
    <row r="117" spans="2:6" x14ac:dyDescent="0.2">
      <c r="B117" s="469"/>
      <c r="C117" s="469"/>
      <c r="D117" s="469"/>
      <c r="E117" s="626"/>
      <c r="F117" s="626"/>
    </row>
    <row r="118" spans="2:6" x14ac:dyDescent="0.2">
      <c r="B118" s="469"/>
      <c r="C118" s="469"/>
      <c r="D118" s="469"/>
      <c r="E118" s="626"/>
      <c r="F118" s="626"/>
    </row>
    <row r="119" spans="2:6" x14ac:dyDescent="0.2">
      <c r="B119" s="469"/>
      <c r="C119" s="469"/>
      <c r="D119" s="469"/>
      <c r="E119" s="626"/>
      <c r="F119" s="626"/>
    </row>
    <row r="120" spans="2:6" x14ac:dyDescent="0.2">
      <c r="B120" s="469"/>
      <c r="C120" s="469"/>
      <c r="D120" s="469"/>
      <c r="E120" s="626"/>
      <c r="F120" s="626"/>
    </row>
    <row r="121" spans="2:6" x14ac:dyDescent="0.2">
      <c r="B121" s="469"/>
      <c r="C121" s="469"/>
      <c r="D121" s="469"/>
      <c r="E121" s="626"/>
      <c r="F121" s="626"/>
    </row>
  </sheetData>
  <sheetProtection algorithmName="SHA-512" hashValue="xHK+ABtWG5HGEkXLTDaZNcT081ugCw6Hov97cAGjBuHUYFBH0TlW0IWokEUHFJotZLawYVRFuu1ye7afUMeRpQ==" saltValue="VwHjoAH6ZD9PD4wu5AAE1A==" spinCount="100000" sheet="1" objects="1" scenarios="1"/>
  <mergeCells count="11">
    <mergeCell ref="B41:F41"/>
    <mergeCell ref="B36:F36"/>
    <mergeCell ref="B37:F37"/>
    <mergeCell ref="B38:F38"/>
    <mergeCell ref="B39:F39"/>
    <mergeCell ref="B40:F40"/>
    <mergeCell ref="C3:D3"/>
    <mergeCell ref="C4:D4"/>
    <mergeCell ref="B32:F32"/>
    <mergeCell ref="B33:F33"/>
    <mergeCell ref="B34:F34"/>
  </mergeCells>
  <phoneticPr fontId="0" type="noConversion"/>
  <printOptions horizontalCentered="1"/>
  <pageMargins left="0.655511811" right="0.39370078740157499" top="0.511811023622047" bottom="0.98425196850393704" header="0.511811023622047" footer="0.511811023622047"/>
  <pageSetup scale="94" fitToHeight="4" orientation="portrait" r:id="rId1"/>
  <headerFooter alignWithMargins="0">
    <oddFooter>&amp;LHawai'i DOH
PFASs November 2024&amp;C&amp;8Page &amp;P of &amp;N&amp;R&amp;A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29"/>
  </sheetPr>
  <dimension ref="A1:I120"/>
  <sheetViews>
    <sheetView topLeftCell="B1" zoomScaleNormal="100" workbookViewId="0">
      <selection activeCell="B5" sqref="B5"/>
    </sheetView>
  </sheetViews>
  <sheetFormatPr defaultColWidth="9.140625" defaultRowHeight="11.25" x14ac:dyDescent="0.2"/>
  <cols>
    <col min="1" max="1" width="12.140625" style="470" hidden="1" customWidth="1"/>
    <col min="2" max="2" width="50.5703125" style="504" customWidth="1"/>
    <col min="3" max="4" width="3.7109375" style="504" customWidth="1"/>
    <col min="5" max="6" width="20.7109375" style="515" customWidth="1"/>
    <col min="7" max="7" width="9.140625" style="470"/>
    <col min="8" max="9" width="9.140625" style="638"/>
    <col min="10" max="16384" width="9.140625" style="470"/>
  </cols>
  <sheetData>
    <row r="1" spans="1:9" ht="63" x14ac:dyDescent="0.25">
      <c r="B1" s="471" t="s">
        <v>577</v>
      </c>
      <c r="C1" s="471"/>
      <c r="D1" s="628"/>
      <c r="E1" s="468"/>
      <c r="F1" s="468"/>
    </row>
    <row r="2" spans="1:9" ht="12" thickBot="1" x14ac:dyDescent="0.25"/>
    <row r="3" spans="1:9" ht="35.25" thickTop="1" thickBot="1" x14ac:dyDescent="0.25">
      <c r="A3" s="753" t="s">
        <v>561</v>
      </c>
      <c r="B3" s="754"/>
      <c r="C3" s="1553" t="s">
        <v>562</v>
      </c>
      <c r="D3" s="1554"/>
      <c r="E3" s="755" t="s">
        <v>578</v>
      </c>
      <c r="F3" s="756" t="s">
        <v>564</v>
      </c>
    </row>
    <row r="4" spans="1:9" s="551" customFormat="1" ht="13.5" thickBot="1" x14ac:dyDescent="0.25">
      <c r="A4" s="757" t="s">
        <v>565</v>
      </c>
      <c r="B4" s="758" t="s">
        <v>469</v>
      </c>
      <c r="C4" s="1555" t="s">
        <v>566</v>
      </c>
      <c r="D4" s="1556"/>
      <c r="E4" s="759" t="s">
        <v>579</v>
      </c>
      <c r="F4" s="760" t="s">
        <v>579</v>
      </c>
      <c r="H4" s="761"/>
      <c r="I4" s="761"/>
    </row>
    <row r="5" spans="1:9" s="551" customFormat="1" ht="12" customHeight="1" x14ac:dyDescent="0.2">
      <c r="A5" s="762" t="s">
        <v>472</v>
      </c>
      <c r="B5" s="490" t="s">
        <v>472</v>
      </c>
      <c r="C5" s="763" t="s">
        <v>895</v>
      </c>
      <c r="D5" s="763" t="s">
        <v>875</v>
      </c>
      <c r="E5" s="542" t="s">
        <v>550</v>
      </c>
      <c r="F5" s="545" t="s">
        <v>550</v>
      </c>
      <c r="H5" s="761"/>
      <c r="I5" s="761"/>
    </row>
    <row r="6" spans="1:9" s="551" customFormat="1" ht="12" customHeight="1" x14ac:dyDescent="0.2">
      <c r="A6" s="764" t="s">
        <v>473</v>
      </c>
      <c r="B6" s="497" t="s">
        <v>473</v>
      </c>
      <c r="C6" s="765" t="s">
        <v>895</v>
      </c>
      <c r="D6" s="765" t="s">
        <v>875</v>
      </c>
      <c r="E6" s="547" t="s">
        <v>550</v>
      </c>
      <c r="F6" s="550" t="s">
        <v>550</v>
      </c>
      <c r="H6" s="761"/>
      <c r="I6" s="761"/>
    </row>
    <row r="7" spans="1:9" s="551" customFormat="1" ht="12" customHeight="1" x14ac:dyDescent="0.2">
      <c r="A7" s="764" t="s">
        <v>474</v>
      </c>
      <c r="B7" s="497" t="s">
        <v>474</v>
      </c>
      <c r="C7" s="765" t="s">
        <v>895</v>
      </c>
      <c r="D7" s="765" t="s">
        <v>875</v>
      </c>
      <c r="E7" s="547" t="s">
        <v>550</v>
      </c>
      <c r="F7" s="550" t="s">
        <v>550</v>
      </c>
      <c r="H7" s="761"/>
      <c r="I7" s="761"/>
    </row>
    <row r="8" spans="1:9" s="551" customFormat="1" ht="12" customHeight="1" x14ac:dyDescent="0.2">
      <c r="A8" s="764" t="s">
        <v>475</v>
      </c>
      <c r="B8" s="497" t="s">
        <v>475</v>
      </c>
      <c r="C8" s="765" t="s">
        <v>895</v>
      </c>
      <c r="D8" s="765" t="s">
        <v>875</v>
      </c>
      <c r="E8" s="547" t="s">
        <v>550</v>
      </c>
      <c r="F8" s="550" t="s">
        <v>550</v>
      </c>
      <c r="H8" s="761"/>
      <c r="I8" s="761"/>
    </row>
    <row r="9" spans="1:9" s="551" customFormat="1" ht="12" customHeight="1" x14ac:dyDescent="0.2">
      <c r="A9" s="764" t="s">
        <v>476</v>
      </c>
      <c r="B9" s="497" t="s">
        <v>476</v>
      </c>
      <c r="C9" s="765" t="s">
        <v>895</v>
      </c>
      <c r="D9" s="765" t="s">
        <v>875</v>
      </c>
      <c r="E9" s="547" t="s">
        <v>550</v>
      </c>
      <c r="F9" s="550" t="s">
        <v>550</v>
      </c>
      <c r="H9" s="761"/>
      <c r="I9" s="761"/>
    </row>
    <row r="10" spans="1:9" s="551" customFormat="1" ht="12" customHeight="1" x14ac:dyDescent="0.2">
      <c r="A10" s="764" t="s">
        <v>477</v>
      </c>
      <c r="B10" s="497" t="s">
        <v>477</v>
      </c>
      <c r="C10" s="765" t="s">
        <v>895</v>
      </c>
      <c r="D10" s="765" t="s">
        <v>875</v>
      </c>
      <c r="E10" s="547" t="s">
        <v>550</v>
      </c>
      <c r="F10" s="550" t="s">
        <v>550</v>
      </c>
      <c r="H10" s="761"/>
      <c r="I10" s="761"/>
    </row>
    <row r="11" spans="1:9" s="551" customFormat="1" ht="12" customHeight="1" x14ac:dyDescent="0.2">
      <c r="A11" s="764" t="s">
        <v>200</v>
      </c>
      <c r="B11" s="497" t="s">
        <v>200</v>
      </c>
      <c r="C11" s="765" t="s">
        <v>902</v>
      </c>
      <c r="D11" s="765" t="s">
        <v>903</v>
      </c>
      <c r="E11" s="547" t="s">
        <v>551</v>
      </c>
      <c r="F11" s="550" t="s">
        <v>551</v>
      </c>
      <c r="H11" s="761"/>
      <c r="I11" s="761"/>
    </row>
    <row r="12" spans="1:9" s="551" customFormat="1" ht="12" customHeight="1" x14ac:dyDescent="0.2">
      <c r="A12" s="764" t="s">
        <v>478</v>
      </c>
      <c r="B12" s="497" t="s">
        <v>478</v>
      </c>
      <c r="C12" s="765" t="s">
        <v>902</v>
      </c>
      <c r="D12" s="765" t="s">
        <v>903</v>
      </c>
      <c r="E12" s="547" t="s">
        <v>551</v>
      </c>
      <c r="F12" s="550" t="s">
        <v>551</v>
      </c>
      <c r="H12" s="761"/>
      <c r="I12" s="761"/>
    </row>
    <row r="13" spans="1:9" s="551" customFormat="1" ht="12" customHeight="1" x14ac:dyDescent="0.2">
      <c r="A13" s="764" t="s">
        <v>479</v>
      </c>
      <c r="B13" s="497" t="s">
        <v>479</v>
      </c>
      <c r="C13" s="765" t="s">
        <v>906</v>
      </c>
      <c r="D13" s="765" t="s">
        <v>903</v>
      </c>
      <c r="E13" s="547" t="s">
        <v>550</v>
      </c>
      <c r="F13" s="550" t="s">
        <v>550</v>
      </c>
      <c r="H13" s="761"/>
      <c r="I13" s="761"/>
    </row>
    <row r="14" spans="1:9" s="551" customFormat="1" ht="12" customHeight="1" x14ac:dyDescent="0.2">
      <c r="A14" s="764" t="s">
        <v>480</v>
      </c>
      <c r="B14" s="497" t="s">
        <v>480</v>
      </c>
      <c r="C14" s="765" t="s">
        <v>906</v>
      </c>
      <c r="D14" s="765" t="s">
        <v>903</v>
      </c>
      <c r="E14" s="547" t="s">
        <v>550</v>
      </c>
      <c r="F14" s="550" t="s">
        <v>550</v>
      </c>
      <c r="H14" s="761"/>
      <c r="I14" s="761"/>
    </row>
    <row r="15" spans="1:9" s="551" customFormat="1" ht="12" customHeight="1" x14ac:dyDescent="0.2">
      <c r="A15" s="764" t="s">
        <v>481</v>
      </c>
      <c r="B15" s="497" t="s">
        <v>481</v>
      </c>
      <c r="C15" s="765" t="s">
        <v>906</v>
      </c>
      <c r="D15" s="765" t="s">
        <v>903</v>
      </c>
      <c r="E15" s="547" t="s">
        <v>550</v>
      </c>
      <c r="F15" s="550" t="s">
        <v>550</v>
      </c>
      <c r="H15" s="761"/>
      <c r="I15" s="761"/>
    </row>
    <row r="16" spans="1:9" s="551" customFormat="1" ht="12" customHeight="1" x14ac:dyDescent="0.2">
      <c r="A16" s="764" t="s">
        <v>482</v>
      </c>
      <c r="B16" s="497" t="s">
        <v>482</v>
      </c>
      <c r="C16" s="765" t="s">
        <v>895</v>
      </c>
      <c r="D16" s="765" t="s">
        <v>875</v>
      </c>
      <c r="E16" s="547" t="s">
        <v>550</v>
      </c>
      <c r="F16" s="550" t="s">
        <v>550</v>
      </c>
      <c r="H16" s="761"/>
      <c r="I16" s="761"/>
    </row>
    <row r="17" spans="1:9" s="551" customFormat="1" ht="12" customHeight="1" x14ac:dyDescent="0.2">
      <c r="A17" s="764" t="s">
        <v>483</v>
      </c>
      <c r="B17" s="497" t="s">
        <v>483</v>
      </c>
      <c r="C17" s="765" t="s">
        <v>895</v>
      </c>
      <c r="D17" s="765" t="s">
        <v>875</v>
      </c>
      <c r="E17" s="547" t="s">
        <v>550</v>
      </c>
      <c r="F17" s="550" t="s">
        <v>550</v>
      </c>
      <c r="H17" s="761"/>
      <c r="I17" s="761"/>
    </row>
    <row r="18" spans="1:9" s="551" customFormat="1" ht="12" customHeight="1" x14ac:dyDescent="0.2">
      <c r="A18" s="764" t="s">
        <v>484</v>
      </c>
      <c r="B18" s="497" t="s">
        <v>484</v>
      </c>
      <c r="C18" s="765" t="s">
        <v>895</v>
      </c>
      <c r="D18" s="765" t="s">
        <v>875</v>
      </c>
      <c r="E18" s="547" t="s">
        <v>550</v>
      </c>
      <c r="F18" s="550" t="s">
        <v>550</v>
      </c>
      <c r="H18" s="761"/>
      <c r="I18" s="761"/>
    </row>
    <row r="19" spans="1:9" s="551" customFormat="1" ht="12" customHeight="1" x14ac:dyDescent="0.2">
      <c r="A19" s="764" t="s">
        <v>485</v>
      </c>
      <c r="B19" s="497" t="s">
        <v>485</v>
      </c>
      <c r="C19" s="765" t="s">
        <v>895</v>
      </c>
      <c r="D19" s="765" t="s">
        <v>875</v>
      </c>
      <c r="E19" s="547" t="s">
        <v>550</v>
      </c>
      <c r="F19" s="550" t="s">
        <v>550</v>
      </c>
      <c r="H19" s="761"/>
      <c r="I19" s="761"/>
    </row>
    <row r="20" spans="1:9" s="551" customFormat="1" ht="12" customHeight="1" x14ac:dyDescent="0.2">
      <c r="A20" s="764" t="s">
        <v>486</v>
      </c>
      <c r="B20" s="497" t="s">
        <v>486</v>
      </c>
      <c r="C20" s="765" t="s">
        <v>895</v>
      </c>
      <c r="D20" s="765" t="s">
        <v>875</v>
      </c>
      <c r="E20" s="547" t="s">
        <v>550</v>
      </c>
      <c r="F20" s="550" t="s">
        <v>550</v>
      </c>
      <c r="H20" s="761"/>
      <c r="I20" s="761"/>
    </row>
    <row r="21" spans="1:9" s="551" customFormat="1" ht="12" customHeight="1" x14ac:dyDescent="0.2">
      <c r="A21" s="764" t="s">
        <v>487</v>
      </c>
      <c r="B21" s="497" t="s">
        <v>487</v>
      </c>
      <c r="C21" s="765" t="s">
        <v>895</v>
      </c>
      <c r="D21" s="765" t="s">
        <v>875</v>
      </c>
      <c r="E21" s="547" t="s">
        <v>550</v>
      </c>
      <c r="F21" s="550" t="s">
        <v>550</v>
      </c>
      <c r="H21" s="761"/>
      <c r="I21" s="761"/>
    </row>
    <row r="22" spans="1:9" s="551" customFormat="1" ht="12" customHeight="1" x14ac:dyDescent="0.2">
      <c r="A22" s="764" t="s">
        <v>488</v>
      </c>
      <c r="B22" s="497" t="s">
        <v>488</v>
      </c>
      <c r="C22" s="765" t="s">
        <v>895</v>
      </c>
      <c r="D22" s="765" t="s">
        <v>875</v>
      </c>
      <c r="E22" s="547" t="s">
        <v>550</v>
      </c>
      <c r="F22" s="550" t="s">
        <v>550</v>
      </c>
      <c r="H22" s="761"/>
      <c r="I22" s="761"/>
    </row>
    <row r="23" spans="1:9" s="551" customFormat="1" ht="12" customHeight="1" x14ac:dyDescent="0.2">
      <c r="A23" s="764" t="s">
        <v>489</v>
      </c>
      <c r="B23" s="497" t="s">
        <v>489</v>
      </c>
      <c r="C23" s="765" t="s">
        <v>895</v>
      </c>
      <c r="D23" s="765" t="s">
        <v>875</v>
      </c>
      <c r="E23" s="547" t="s">
        <v>550</v>
      </c>
      <c r="F23" s="550" t="s">
        <v>550</v>
      </c>
      <c r="H23" s="761"/>
      <c r="I23" s="761"/>
    </row>
    <row r="24" spans="1:9" s="551" customFormat="1" ht="12" customHeight="1" x14ac:dyDescent="0.2">
      <c r="A24" s="764" t="s">
        <v>490</v>
      </c>
      <c r="B24" s="497" t="s">
        <v>490</v>
      </c>
      <c r="C24" s="765" t="s">
        <v>895</v>
      </c>
      <c r="D24" s="765" t="s">
        <v>875</v>
      </c>
      <c r="E24" s="547" t="s">
        <v>550</v>
      </c>
      <c r="F24" s="550" t="s">
        <v>550</v>
      </c>
      <c r="H24" s="761"/>
      <c r="I24" s="761"/>
    </row>
    <row r="25" spans="1:9" s="551" customFormat="1" ht="12" customHeight="1" x14ac:dyDescent="0.2">
      <c r="A25" s="764" t="s">
        <v>491</v>
      </c>
      <c r="B25" s="497" t="s">
        <v>491</v>
      </c>
      <c r="C25" s="765" t="s">
        <v>895</v>
      </c>
      <c r="D25" s="765" t="s">
        <v>875</v>
      </c>
      <c r="E25" s="547" t="s">
        <v>550</v>
      </c>
      <c r="F25" s="550" t="s">
        <v>550</v>
      </c>
      <c r="H25" s="761"/>
      <c r="I25" s="761"/>
    </row>
    <row r="26" spans="1:9" s="551" customFormat="1" ht="12" customHeight="1" x14ac:dyDescent="0.2">
      <c r="A26" s="764" t="s">
        <v>492</v>
      </c>
      <c r="B26" s="497" t="s">
        <v>492</v>
      </c>
      <c r="C26" s="765" t="s">
        <v>895</v>
      </c>
      <c r="D26" s="765" t="s">
        <v>875</v>
      </c>
      <c r="E26" s="547" t="s">
        <v>550</v>
      </c>
      <c r="F26" s="550" t="s">
        <v>550</v>
      </c>
      <c r="H26" s="761"/>
      <c r="I26" s="761"/>
    </row>
    <row r="27" spans="1:9" s="551" customFormat="1" ht="12" customHeight="1" x14ac:dyDescent="0.2">
      <c r="A27" s="764" t="s">
        <v>493</v>
      </c>
      <c r="B27" s="497" t="s">
        <v>493</v>
      </c>
      <c r="C27" s="765" t="s">
        <v>895</v>
      </c>
      <c r="D27" s="765" t="s">
        <v>875</v>
      </c>
      <c r="E27" s="547" t="s">
        <v>550</v>
      </c>
      <c r="F27" s="550" t="s">
        <v>550</v>
      </c>
      <c r="H27" s="761"/>
      <c r="I27" s="761"/>
    </row>
    <row r="28" spans="1:9" s="551" customFormat="1" ht="12" customHeight="1" x14ac:dyDescent="0.2">
      <c r="A28" s="764" t="s">
        <v>494</v>
      </c>
      <c r="B28" s="497" t="s">
        <v>494</v>
      </c>
      <c r="C28" s="765" t="s">
        <v>906</v>
      </c>
      <c r="D28" s="765" t="s">
        <v>903</v>
      </c>
      <c r="E28" s="547" t="s">
        <v>550</v>
      </c>
      <c r="F28" s="550" t="s">
        <v>550</v>
      </c>
      <c r="H28" s="761"/>
      <c r="I28" s="761"/>
    </row>
    <row r="29" spans="1:9" s="551" customFormat="1" ht="12" customHeight="1" x14ac:dyDescent="0.2">
      <c r="A29" s="764" t="s">
        <v>495</v>
      </c>
      <c r="B29" s="497" t="s">
        <v>495</v>
      </c>
      <c r="C29" s="765" t="s">
        <v>895</v>
      </c>
      <c r="D29" s="765" t="s">
        <v>875</v>
      </c>
      <c r="E29" s="547" t="s">
        <v>550</v>
      </c>
      <c r="F29" s="550" t="s">
        <v>550</v>
      </c>
      <c r="H29" s="761"/>
      <c r="I29" s="761"/>
    </row>
    <row r="30" spans="1:9" s="551" customFormat="1" ht="12" customHeight="1" thickBot="1" x14ac:dyDescent="0.25">
      <c r="A30" s="766" t="s">
        <v>496</v>
      </c>
      <c r="B30" s="507" t="s">
        <v>496</v>
      </c>
      <c r="C30" s="767" t="s">
        <v>895</v>
      </c>
      <c r="D30" s="767" t="s">
        <v>875</v>
      </c>
      <c r="E30" s="553" t="s">
        <v>550</v>
      </c>
      <c r="F30" s="556" t="s">
        <v>550</v>
      </c>
      <c r="H30" s="761"/>
      <c r="I30" s="761"/>
    </row>
    <row r="31" spans="1:9" ht="11.25" customHeight="1" thickTop="1" x14ac:dyDescent="0.2">
      <c r="B31" s="514" t="s">
        <v>238</v>
      </c>
      <c r="F31" s="522"/>
    </row>
    <row r="32" spans="1:9" ht="24.75" customHeight="1" x14ac:dyDescent="0.2">
      <c r="B32" s="1522" t="s">
        <v>568</v>
      </c>
      <c r="C32" s="1523"/>
      <c r="D32" s="1523"/>
      <c r="E32" s="1523"/>
      <c r="F32" s="1524"/>
    </row>
    <row r="33" spans="2:6" ht="11.25" customHeight="1" x14ac:dyDescent="0.2">
      <c r="B33" s="521"/>
      <c r="F33" s="522"/>
    </row>
    <row r="34" spans="2:6" ht="25.35" customHeight="1" x14ac:dyDescent="0.2">
      <c r="B34" s="1525" t="s">
        <v>571</v>
      </c>
      <c r="C34" s="1523"/>
      <c r="D34" s="1523"/>
      <c r="E34" s="1523"/>
      <c r="F34" s="1524"/>
    </row>
    <row r="35" spans="2:6" ht="11.25" customHeight="1" x14ac:dyDescent="0.2">
      <c r="B35" s="521" t="s">
        <v>580</v>
      </c>
      <c r="C35" s="710"/>
      <c r="D35" s="565"/>
      <c r="E35" s="626"/>
      <c r="F35" s="768"/>
    </row>
    <row r="36" spans="2:6" ht="11.25" customHeight="1" x14ac:dyDescent="0.2">
      <c r="B36" s="521" t="s">
        <v>573</v>
      </c>
      <c r="C36" s="517"/>
      <c r="D36" s="565"/>
      <c r="E36" s="626"/>
      <c r="F36" s="768"/>
    </row>
    <row r="37" spans="2:6" ht="11.25" customHeight="1" x14ac:dyDescent="0.2">
      <c r="B37" s="521" t="s">
        <v>574</v>
      </c>
      <c r="C37" s="517"/>
      <c r="D37" s="565"/>
      <c r="E37" s="626"/>
      <c r="F37" s="768"/>
    </row>
    <row r="38" spans="2:6" ht="12" customHeight="1" x14ac:dyDescent="0.2">
      <c r="B38" s="769" t="s">
        <v>575</v>
      </c>
      <c r="C38" s="770"/>
      <c r="D38" s="565"/>
      <c r="E38" s="626"/>
      <c r="F38" s="768"/>
    </row>
    <row r="39" spans="2:6" ht="24" customHeight="1" x14ac:dyDescent="0.2">
      <c r="B39" s="1525" t="s">
        <v>576</v>
      </c>
      <c r="C39" s="1523"/>
      <c r="D39" s="1523"/>
      <c r="E39" s="1523"/>
      <c r="F39" s="1524"/>
    </row>
    <row r="40" spans="2:6" ht="25.35" customHeight="1" x14ac:dyDescent="0.2">
      <c r="B40" s="1525"/>
      <c r="C40" s="1523"/>
      <c r="D40" s="1523"/>
      <c r="E40" s="1523"/>
      <c r="F40" s="1524"/>
    </row>
    <row r="41" spans="2:6" ht="11.25" customHeight="1" x14ac:dyDescent="0.2">
      <c r="B41" s="769"/>
      <c r="C41" s="770"/>
      <c r="D41" s="565"/>
      <c r="E41" s="626"/>
      <c r="F41" s="768"/>
    </row>
    <row r="42" spans="2:6" ht="11.25" customHeight="1" thickBot="1" x14ac:dyDescent="0.25">
      <c r="B42" s="523"/>
      <c r="C42" s="720"/>
      <c r="D42" s="771"/>
      <c r="E42" s="772"/>
      <c r="F42" s="773"/>
    </row>
    <row r="43" spans="2:6" ht="13.5" thickTop="1" x14ac:dyDescent="0.2">
      <c r="D43" s="469"/>
      <c r="E43" s="626"/>
      <c r="F43" s="626"/>
    </row>
    <row r="44" spans="2:6" ht="12.75" x14ac:dyDescent="0.2">
      <c r="B44" s="470"/>
      <c r="C44" s="470"/>
      <c r="D44" s="469"/>
      <c r="E44" s="626"/>
      <c r="F44" s="626"/>
    </row>
    <row r="45" spans="2:6" ht="12.75" x14ac:dyDescent="0.2">
      <c r="B45" s="469"/>
      <c r="C45" s="469"/>
      <c r="D45" s="469"/>
      <c r="E45" s="626"/>
      <c r="F45" s="626"/>
    </row>
    <row r="46" spans="2:6" ht="12.75" x14ac:dyDescent="0.2">
      <c r="B46" s="469"/>
      <c r="C46" s="469"/>
      <c r="D46" s="469"/>
      <c r="E46" s="626"/>
      <c r="F46" s="626"/>
    </row>
    <row r="47" spans="2:6" ht="12.75" x14ac:dyDescent="0.2">
      <c r="B47" s="469"/>
      <c r="C47" s="469"/>
      <c r="D47" s="469"/>
      <c r="E47" s="626"/>
      <c r="F47" s="626"/>
    </row>
    <row r="48" spans="2:6" ht="12.75" x14ac:dyDescent="0.2">
      <c r="B48" s="469"/>
      <c r="C48" s="469"/>
      <c r="D48" s="469"/>
      <c r="E48" s="626"/>
      <c r="F48" s="626"/>
    </row>
    <row r="49" spans="2:6" ht="12.75" x14ac:dyDescent="0.2">
      <c r="B49" s="469"/>
      <c r="C49" s="469"/>
      <c r="D49" s="469"/>
      <c r="E49" s="626"/>
      <c r="F49" s="626"/>
    </row>
    <row r="50" spans="2:6" ht="12.75" x14ac:dyDescent="0.2">
      <c r="B50" s="469"/>
      <c r="C50" s="469"/>
      <c r="D50" s="469"/>
      <c r="E50" s="626"/>
      <c r="F50" s="626"/>
    </row>
    <row r="51" spans="2:6" ht="12.75" x14ac:dyDescent="0.2">
      <c r="B51" s="469"/>
      <c r="C51" s="469"/>
      <c r="D51" s="469"/>
      <c r="E51" s="626"/>
      <c r="F51" s="626"/>
    </row>
    <row r="52" spans="2:6" ht="12.75" x14ac:dyDescent="0.2">
      <c r="B52" s="469"/>
      <c r="C52" s="469"/>
      <c r="D52" s="469"/>
      <c r="E52" s="626"/>
      <c r="F52" s="626"/>
    </row>
    <row r="53" spans="2:6" ht="12.75" x14ac:dyDescent="0.2">
      <c r="B53" s="469"/>
      <c r="C53" s="469"/>
      <c r="D53" s="469"/>
      <c r="E53" s="626"/>
      <c r="F53" s="626"/>
    </row>
    <row r="54" spans="2:6" ht="12.75" x14ac:dyDescent="0.2">
      <c r="B54" s="469"/>
      <c r="C54" s="469"/>
      <c r="D54" s="469"/>
      <c r="E54" s="626"/>
      <c r="F54" s="626"/>
    </row>
    <row r="55" spans="2:6" ht="12.75" x14ac:dyDescent="0.2">
      <c r="B55" s="469"/>
      <c r="C55" s="469"/>
      <c r="D55" s="469"/>
      <c r="E55" s="626"/>
      <c r="F55" s="626"/>
    </row>
    <row r="56" spans="2:6" ht="12.75" x14ac:dyDescent="0.2">
      <c r="B56" s="469"/>
      <c r="C56" s="469"/>
      <c r="D56" s="469"/>
      <c r="E56" s="626"/>
      <c r="F56" s="626"/>
    </row>
    <row r="57" spans="2:6" ht="12.75" x14ac:dyDescent="0.2">
      <c r="B57" s="469"/>
      <c r="C57" s="469"/>
      <c r="D57" s="469"/>
      <c r="E57" s="626"/>
      <c r="F57" s="626"/>
    </row>
    <row r="58" spans="2:6" ht="12.75" x14ac:dyDescent="0.2">
      <c r="B58" s="469"/>
      <c r="C58" s="469"/>
      <c r="D58" s="469"/>
      <c r="E58" s="626"/>
      <c r="F58" s="626"/>
    </row>
    <row r="59" spans="2:6" ht="12.75" x14ac:dyDescent="0.2">
      <c r="B59" s="469"/>
      <c r="C59" s="469"/>
      <c r="D59" s="469"/>
      <c r="E59" s="626"/>
      <c r="F59" s="626"/>
    </row>
    <row r="60" spans="2:6" ht="12.75" x14ac:dyDescent="0.2">
      <c r="B60" s="469"/>
      <c r="C60" s="469"/>
      <c r="D60" s="469"/>
      <c r="E60" s="626"/>
      <c r="F60" s="626"/>
    </row>
    <row r="61" spans="2:6" ht="12.75" x14ac:dyDescent="0.2">
      <c r="B61" s="469"/>
      <c r="C61" s="469"/>
      <c r="D61" s="469"/>
      <c r="E61" s="626"/>
      <c r="F61" s="626"/>
    </row>
    <row r="62" spans="2:6" ht="12.75" x14ac:dyDescent="0.2">
      <c r="B62" s="469"/>
      <c r="C62" s="469"/>
      <c r="D62" s="469"/>
      <c r="E62" s="626"/>
      <c r="F62" s="626"/>
    </row>
    <row r="63" spans="2:6" ht="12.75" x14ac:dyDescent="0.2">
      <c r="B63" s="469"/>
      <c r="C63" s="469"/>
      <c r="D63" s="469"/>
      <c r="E63" s="626"/>
      <c r="F63" s="626"/>
    </row>
    <row r="64" spans="2:6" ht="12.75" x14ac:dyDescent="0.2">
      <c r="B64" s="469"/>
      <c r="C64" s="469"/>
      <c r="D64" s="469"/>
      <c r="E64" s="626"/>
      <c r="F64" s="626"/>
    </row>
    <row r="65" spans="2:6" ht="12.75" x14ac:dyDescent="0.2">
      <c r="B65" s="469"/>
      <c r="C65" s="469"/>
      <c r="D65" s="469"/>
      <c r="E65" s="626"/>
      <c r="F65" s="626"/>
    </row>
    <row r="66" spans="2:6" ht="12.75" x14ac:dyDescent="0.2">
      <c r="B66" s="469"/>
      <c r="C66" s="469"/>
      <c r="D66" s="469"/>
      <c r="E66" s="626"/>
      <c r="F66" s="626"/>
    </row>
    <row r="67" spans="2:6" ht="12.75" x14ac:dyDescent="0.2">
      <c r="B67" s="469"/>
      <c r="C67" s="469"/>
      <c r="D67" s="469"/>
      <c r="E67" s="626"/>
      <c r="F67" s="626"/>
    </row>
    <row r="68" spans="2:6" ht="12.75" x14ac:dyDescent="0.2">
      <c r="B68" s="469"/>
      <c r="C68" s="469"/>
      <c r="D68" s="469"/>
      <c r="E68" s="626"/>
      <c r="F68" s="626"/>
    </row>
    <row r="69" spans="2:6" ht="12.75" x14ac:dyDescent="0.2">
      <c r="B69" s="469"/>
      <c r="C69" s="469"/>
      <c r="D69" s="469"/>
      <c r="E69" s="626"/>
      <c r="F69" s="626"/>
    </row>
    <row r="70" spans="2:6" ht="12.75" x14ac:dyDescent="0.2">
      <c r="B70" s="469"/>
      <c r="C70" s="469"/>
      <c r="D70" s="469"/>
      <c r="E70" s="626"/>
      <c r="F70" s="626"/>
    </row>
    <row r="71" spans="2:6" ht="12.75" x14ac:dyDescent="0.2">
      <c r="B71" s="469"/>
      <c r="C71" s="469"/>
      <c r="D71" s="469"/>
      <c r="E71" s="626"/>
      <c r="F71" s="626"/>
    </row>
    <row r="72" spans="2:6" ht="12.75" x14ac:dyDescent="0.2">
      <c r="B72" s="469"/>
      <c r="C72" s="469"/>
      <c r="D72" s="469"/>
      <c r="E72" s="626"/>
      <c r="F72" s="626"/>
    </row>
    <row r="73" spans="2:6" ht="12.75" x14ac:dyDescent="0.2">
      <c r="B73" s="469"/>
      <c r="C73" s="469"/>
      <c r="D73" s="469"/>
      <c r="E73" s="626"/>
      <c r="F73" s="626"/>
    </row>
    <row r="74" spans="2:6" ht="12.75" x14ac:dyDescent="0.2">
      <c r="B74" s="469"/>
      <c r="C74" s="469"/>
      <c r="D74" s="469"/>
      <c r="E74" s="626"/>
      <c r="F74" s="626"/>
    </row>
    <row r="75" spans="2:6" ht="12.75" x14ac:dyDescent="0.2">
      <c r="B75" s="469"/>
      <c r="C75" s="469"/>
      <c r="D75" s="469"/>
      <c r="E75" s="626"/>
      <c r="F75" s="626"/>
    </row>
    <row r="76" spans="2:6" ht="12.75" x14ac:dyDescent="0.2">
      <c r="B76" s="469"/>
      <c r="C76" s="469"/>
      <c r="D76" s="469"/>
      <c r="E76" s="626"/>
      <c r="F76" s="626"/>
    </row>
    <row r="77" spans="2:6" ht="12.75" x14ac:dyDescent="0.2">
      <c r="B77" s="469"/>
      <c r="C77" s="469"/>
      <c r="D77" s="469"/>
      <c r="E77" s="626"/>
      <c r="F77" s="626"/>
    </row>
    <row r="78" spans="2:6" ht="12.75" x14ac:dyDescent="0.2">
      <c r="B78" s="469"/>
      <c r="C78" s="469"/>
      <c r="D78" s="469"/>
      <c r="E78" s="626"/>
      <c r="F78" s="626"/>
    </row>
    <row r="79" spans="2:6" ht="12.75" x14ac:dyDescent="0.2">
      <c r="B79" s="469"/>
      <c r="C79" s="469"/>
      <c r="D79" s="469"/>
      <c r="E79" s="626"/>
      <c r="F79" s="626"/>
    </row>
    <row r="80" spans="2:6" ht="12.75" x14ac:dyDescent="0.2">
      <c r="B80" s="469"/>
      <c r="C80" s="469"/>
      <c r="D80" s="469"/>
      <c r="E80" s="626"/>
      <c r="F80" s="626"/>
    </row>
    <row r="81" spans="2:6" ht="12.75" x14ac:dyDescent="0.2">
      <c r="B81" s="469"/>
      <c r="C81" s="469"/>
      <c r="D81" s="469"/>
      <c r="E81" s="626"/>
      <c r="F81" s="626"/>
    </row>
    <row r="82" spans="2:6" ht="12.75" x14ac:dyDescent="0.2">
      <c r="B82" s="469"/>
      <c r="C82" s="469"/>
      <c r="D82" s="469"/>
      <c r="E82" s="626"/>
      <c r="F82" s="626"/>
    </row>
    <row r="83" spans="2:6" ht="12.75" x14ac:dyDescent="0.2">
      <c r="B83" s="469"/>
      <c r="C83" s="469"/>
      <c r="D83" s="469"/>
      <c r="E83" s="626"/>
      <c r="F83" s="626"/>
    </row>
    <row r="84" spans="2:6" ht="12.75" x14ac:dyDescent="0.2">
      <c r="B84" s="469"/>
      <c r="C84" s="469"/>
      <c r="D84" s="469"/>
      <c r="E84" s="626"/>
      <c r="F84" s="626"/>
    </row>
    <row r="85" spans="2:6" ht="12.75" x14ac:dyDescent="0.2">
      <c r="B85" s="469"/>
      <c r="C85" s="469"/>
      <c r="D85" s="469"/>
      <c r="E85" s="626"/>
      <c r="F85" s="626"/>
    </row>
    <row r="86" spans="2:6" ht="12.75" x14ac:dyDescent="0.2">
      <c r="B86" s="469"/>
      <c r="C86" s="469"/>
      <c r="D86" s="469"/>
      <c r="E86" s="626"/>
      <c r="F86" s="626"/>
    </row>
    <row r="87" spans="2:6" ht="12.75" x14ac:dyDescent="0.2">
      <c r="B87" s="469"/>
      <c r="C87" s="469"/>
      <c r="D87" s="469"/>
      <c r="E87" s="626"/>
      <c r="F87" s="626"/>
    </row>
    <row r="88" spans="2:6" ht="12.75" x14ac:dyDescent="0.2">
      <c r="B88" s="469"/>
      <c r="C88" s="469"/>
      <c r="D88" s="469"/>
      <c r="E88" s="626"/>
      <c r="F88" s="626"/>
    </row>
    <row r="89" spans="2:6" ht="12.75" x14ac:dyDescent="0.2">
      <c r="B89" s="469"/>
      <c r="C89" s="469"/>
      <c r="D89" s="469"/>
      <c r="E89" s="626"/>
      <c r="F89" s="626"/>
    </row>
    <row r="90" spans="2:6" ht="12.75" x14ac:dyDescent="0.2">
      <c r="B90" s="469"/>
      <c r="C90" s="469"/>
      <c r="D90" s="469"/>
      <c r="E90" s="626"/>
      <c r="F90" s="626"/>
    </row>
    <row r="91" spans="2:6" ht="12.75" x14ac:dyDescent="0.2">
      <c r="B91" s="469"/>
      <c r="C91" s="469"/>
      <c r="D91" s="469"/>
      <c r="E91" s="626"/>
      <c r="F91" s="626"/>
    </row>
    <row r="92" spans="2:6" ht="12.75" x14ac:dyDescent="0.2">
      <c r="B92" s="469"/>
      <c r="C92" s="469"/>
      <c r="D92" s="469"/>
      <c r="E92" s="626"/>
      <c r="F92" s="626"/>
    </row>
    <row r="93" spans="2:6" ht="12.75" x14ac:dyDescent="0.2">
      <c r="B93" s="469"/>
      <c r="C93" s="469"/>
      <c r="D93" s="469"/>
      <c r="E93" s="626"/>
      <c r="F93" s="626"/>
    </row>
    <row r="94" spans="2:6" ht="12.75" x14ac:dyDescent="0.2">
      <c r="B94" s="469"/>
      <c r="C94" s="469"/>
      <c r="D94" s="469"/>
      <c r="E94" s="626"/>
      <c r="F94" s="626"/>
    </row>
    <row r="95" spans="2:6" ht="12.75" x14ac:dyDescent="0.2">
      <c r="B95" s="469"/>
      <c r="C95" s="469"/>
      <c r="D95" s="469"/>
      <c r="E95" s="626"/>
      <c r="F95" s="626"/>
    </row>
    <row r="96" spans="2:6" ht="12.75" x14ac:dyDescent="0.2">
      <c r="B96" s="469"/>
      <c r="C96" s="469"/>
      <c r="D96" s="469"/>
      <c r="E96" s="626"/>
      <c r="F96" s="626"/>
    </row>
    <row r="97" spans="2:6" ht="12.75" x14ac:dyDescent="0.2">
      <c r="B97" s="469"/>
      <c r="C97" s="469"/>
      <c r="D97" s="469"/>
      <c r="E97" s="626"/>
      <c r="F97" s="626"/>
    </row>
    <row r="98" spans="2:6" ht="12.75" x14ac:dyDescent="0.2">
      <c r="B98" s="469"/>
      <c r="C98" s="469"/>
      <c r="D98" s="469"/>
      <c r="E98" s="626"/>
      <c r="F98" s="626"/>
    </row>
    <row r="99" spans="2:6" ht="12.75" x14ac:dyDescent="0.2">
      <c r="B99" s="469"/>
      <c r="C99" s="469"/>
      <c r="D99" s="469"/>
      <c r="E99" s="626"/>
      <c r="F99" s="626"/>
    </row>
    <row r="100" spans="2:6" ht="12.75" x14ac:dyDescent="0.2">
      <c r="B100" s="469"/>
      <c r="C100" s="469"/>
      <c r="D100" s="469"/>
      <c r="E100" s="626"/>
      <c r="F100" s="626"/>
    </row>
    <row r="101" spans="2:6" ht="12.75" x14ac:dyDescent="0.2">
      <c r="B101" s="469"/>
      <c r="C101" s="469"/>
      <c r="D101" s="469"/>
      <c r="E101" s="626"/>
      <c r="F101" s="626"/>
    </row>
    <row r="102" spans="2:6" ht="12.75" x14ac:dyDescent="0.2">
      <c r="B102" s="469"/>
      <c r="C102" s="469"/>
      <c r="D102" s="469"/>
      <c r="E102" s="626"/>
      <c r="F102" s="626"/>
    </row>
    <row r="103" spans="2:6" ht="12.75" x14ac:dyDescent="0.2">
      <c r="B103" s="469"/>
      <c r="C103" s="469"/>
      <c r="D103" s="469"/>
      <c r="E103" s="626"/>
      <c r="F103" s="626"/>
    </row>
    <row r="104" spans="2:6" ht="12.75" x14ac:dyDescent="0.2">
      <c r="B104" s="469"/>
      <c r="C104" s="469"/>
      <c r="D104" s="469"/>
      <c r="E104" s="626"/>
      <c r="F104" s="626"/>
    </row>
    <row r="105" spans="2:6" ht="12.75" x14ac:dyDescent="0.2">
      <c r="B105" s="469"/>
      <c r="C105" s="469"/>
      <c r="D105" s="469"/>
      <c r="E105" s="626"/>
      <c r="F105" s="626"/>
    </row>
    <row r="106" spans="2:6" ht="12.75" x14ac:dyDescent="0.2">
      <c r="B106" s="469"/>
      <c r="C106" s="469"/>
      <c r="D106" s="469"/>
      <c r="E106" s="626"/>
      <c r="F106" s="626"/>
    </row>
    <row r="107" spans="2:6" ht="12.75" x14ac:dyDescent="0.2">
      <c r="B107" s="469"/>
      <c r="C107" s="469"/>
      <c r="D107" s="469"/>
      <c r="E107" s="626"/>
      <c r="F107" s="626"/>
    </row>
    <row r="108" spans="2:6" ht="12.75" x14ac:dyDescent="0.2">
      <c r="B108" s="469"/>
      <c r="C108" s="469"/>
      <c r="D108" s="469"/>
      <c r="E108" s="626"/>
      <c r="F108" s="626"/>
    </row>
    <row r="109" spans="2:6" ht="12.75" x14ac:dyDescent="0.2">
      <c r="B109" s="469"/>
      <c r="C109" s="469"/>
      <c r="D109" s="469"/>
      <c r="E109" s="626"/>
      <c r="F109" s="626"/>
    </row>
    <row r="110" spans="2:6" ht="12.75" x14ac:dyDescent="0.2">
      <c r="B110" s="469"/>
      <c r="C110" s="469"/>
      <c r="D110" s="469"/>
      <c r="E110" s="626"/>
      <c r="F110" s="626"/>
    </row>
    <row r="111" spans="2:6" ht="12.75" x14ac:dyDescent="0.2">
      <c r="B111" s="469"/>
      <c r="C111" s="469"/>
      <c r="D111" s="469"/>
      <c r="E111" s="626"/>
      <c r="F111" s="626"/>
    </row>
    <row r="112" spans="2:6" ht="12.75" x14ac:dyDescent="0.2">
      <c r="B112" s="469"/>
      <c r="C112" s="469"/>
      <c r="D112" s="469"/>
      <c r="E112" s="626"/>
      <c r="F112" s="626"/>
    </row>
    <row r="113" spans="2:9" ht="12.75" x14ac:dyDescent="0.2">
      <c r="B113" s="469"/>
      <c r="C113" s="469"/>
      <c r="D113" s="469"/>
      <c r="E113" s="626"/>
      <c r="F113" s="626"/>
    </row>
    <row r="114" spans="2:9" ht="12.75" x14ac:dyDescent="0.2">
      <c r="B114" s="469"/>
      <c r="C114" s="469"/>
      <c r="D114" s="469"/>
      <c r="E114" s="626"/>
      <c r="F114" s="626"/>
    </row>
    <row r="115" spans="2:9" ht="12.75" x14ac:dyDescent="0.2">
      <c r="B115" s="469"/>
      <c r="C115" s="469"/>
      <c r="D115" s="469"/>
      <c r="E115" s="626"/>
      <c r="F115" s="626"/>
    </row>
    <row r="116" spans="2:9" s="627" customFormat="1" ht="12.75" x14ac:dyDescent="0.2">
      <c r="B116" s="469"/>
      <c r="C116" s="469"/>
      <c r="D116" s="469"/>
      <c r="E116" s="626"/>
      <c r="F116" s="626"/>
      <c r="G116" s="469"/>
      <c r="H116" s="715"/>
      <c r="I116" s="715"/>
    </row>
    <row r="117" spans="2:9" s="627" customFormat="1" ht="12.75" x14ac:dyDescent="0.2">
      <c r="B117" s="469"/>
      <c r="C117" s="469"/>
      <c r="D117" s="469"/>
      <c r="E117" s="626"/>
      <c r="F117" s="626"/>
      <c r="G117" s="469"/>
      <c r="H117" s="715"/>
      <c r="I117" s="715"/>
    </row>
    <row r="118" spans="2:9" s="627" customFormat="1" ht="12.75" x14ac:dyDescent="0.2">
      <c r="B118" s="469"/>
      <c r="C118" s="469"/>
      <c r="D118" s="469"/>
      <c r="E118" s="626"/>
      <c r="F118" s="626"/>
      <c r="G118" s="469"/>
      <c r="H118" s="715"/>
      <c r="I118" s="715"/>
    </row>
    <row r="119" spans="2:9" s="627" customFormat="1" ht="12.75" x14ac:dyDescent="0.2">
      <c r="B119" s="469"/>
      <c r="C119" s="469"/>
      <c r="D119" s="469"/>
      <c r="E119" s="626"/>
      <c r="F119" s="626"/>
      <c r="G119" s="469"/>
      <c r="H119" s="715"/>
      <c r="I119" s="715"/>
    </row>
    <row r="120" spans="2:9" s="627" customFormat="1" ht="12.75" x14ac:dyDescent="0.2">
      <c r="B120" s="469"/>
      <c r="C120" s="469"/>
      <c r="D120" s="469"/>
      <c r="E120" s="626"/>
      <c r="F120" s="626"/>
      <c r="G120" s="469"/>
      <c r="H120" s="715"/>
      <c r="I120" s="715"/>
    </row>
  </sheetData>
  <sheetProtection algorithmName="SHA-512" hashValue="/ZC36T+iHso0fxhqXKMufXQ5hKXlfg1IVPR7duyZv+uOrxubqQg/u4Pd5XC7rKWvJAyLbKj4s3wwEQLmifVKHg==" saltValue="3pfPlzKxHB9pUvYTHfne8g==" spinCount="100000" sheet="1" objects="1" scenarios="1"/>
  <mergeCells count="6">
    <mergeCell ref="B40:F40"/>
    <mergeCell ref="C3:D3"/>
    <mergeCell ref="C4:D4"/>
    <mergeCell ref="B32:F32"/>
    <mergeCell ref="B34:F34"/>
    <mergeCell ref="B39:F39"/>
  </mergeCells>
  <phoneticPr fontId="0" type="noConversion"/>
  <printOptions horizontalCentered="1"/>
  <pageMargins left="0.655511811" right="0.39370078740157499" top="0.511811023622047" bottom="0.98425196850393704" header="0.511811023622047" footer="0.511811023622047"/>
  <pageSetup scale="94" fitToHeight="4" orientation="portrait" r:id="rId1"/>
  <headerFooter alignWithMargins="0">
    <oddFooter>&amp;LHawai'i DOH
PFASs November 2024&amp;C&amp;8Page &amp;P of &amp;N&amp;R&amp;A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29"/>
    <pageSetUpPr fitToPage="1"/>
  </sheetPr>
  <dimension ref="A1:N298"/>
  <sheetViews>
    <sheetView zoomScaleNormal="100" workbookViewId="0">
      <selection activeCell="F24" sqref="F24"/>
    </sheetView>
  </sheetViews>
  <sheetFormatPr defaultColWidth="9.140625" defaultRowHeight="12.75" x14ac:dyDescent="0.2"/>
  <cols>
    <col min="1" max="1" width="50.5703125" style="504" customWidth="1"/>
    <col min="2" max="3" width="3.7109375" style="504" customWidth="1"/>
    <col min="4" max="4" width="11.7109375" style="515" customWidth="1"/>
    <col min="5" max="6" width="13.7109375" style="515" customWidth="1"/>
    <col min="7" max="7" width="11.7109375" style="515" customWidth="1"/>
    <col min="8" max="9" width="13.7109375" style="515" customWidth="1"/>
    <col min="10" max="14" width="9.140625" style="627"/>
    <col min="15" max="16384" width="9.140625" style="470"/>
  </cols>
  <sheetData>
    <row r="1" spans="1:14" ht="50.25" x14ac:dyDescent="0.25">
      <c r="A1" s="471" t="s">
        <v>581</v>
      </c>
      <c r="B1" s="471"/>
      <c r="C1" s="628"/>
      <c r="D1" s="468"/>
      <c r="E1" s="468"/>
      <c r="F1" s="468"/>
      <c r="G1" s="788"/>
      <c r="H1" s="472"/>
      <c r="I1" s="472"/>
      <c r="J1" s="469"/>
      <c r="K1" s="469"/>
      <c r="L1" s="469"/>
      <c r="M1" s="469"/>
      <c r="N1" s="469"/>
    </row>
    <row r="2" spans="1:14" ht="13.5" thickBot="1" x14ac:dyDescent="0.25">
      <c r="J2" s="469"/>
      <c r="K2" s="469"/>
      <c r="L2" s="469"/>
      <c r="M2" s="469"/>
      <c r="N2" s="469"/>
    </row>
    <row r="3" spans="1:14" ht="14.25" thickTop="1" thickBot="1" x14ac:dyDescent="0.25">
      <c r="A3" s="774"/>
      <c r="B3" s="789"/>
      <c r="C3" s="790"/>
      <c r="D3" s="1561" t="s">
        <v>582</v>
      </c>
      <c r="E3" s="1562"/>
      <c r="F3" s="1563"/>
      <c r="G3" s="791" t="s">
        <v>583</v>
      </c>
      <c r="H3" s="792"/>
      <c r="I3" s="793"/>
      <c r="J3" s="469"/>
      <c r="K3" s="469"/>
      <c r="L3" s="469"/>
      <c r="M3" s="469"/>
      <c r="N3" s="469"/>
    </row>
    <row r="4" spans="1:14" x14ac:dyDescent="0.2">
      <c r="A4" s="794"/>
      <c r="B4" s="795"/>
      <c r="D4" s="796" t="s">
        <v>584</v>
      </c>
      <c r="E4" s="797" t="s">
        <v>585</v>
      </c>
      <c r="F4" s="798" t="s">
        <v>586</v>
      </c>
      <c r="G4" s="799" t="s">
        <v>584</v>
      </c>
      <c r="H4" s="800" t="s">
        <v>585</v>
      </c>
      <c r="I4" s="801" t="s">
        <v>586</v>
      </c>
      <c r="J4" s="469"/>
      <c r="K4" s="469"/>
      <c r="L4" s="469"/>
      <c r="M4" s="469"/>
      <c r="N4" s="469"/>
    </row>
    <row r="5" spans="1:14" x14ac:dyDescent="0.2">
      <c r="A5" s="794"/>
      <c r="B5" s="1557" t="s">
        <v>562</v>
      </c>
      <c r="C5" s="1558"/>
      <c r="D5" s="802" t="s">
        <v>587</v>
      </c>
      <c r="E5" s="803" t="s">
        <v>588</v>
      </c>
      <c r="F5" s="568" t="s">
        <v>588</v>
      </c>
      <c r="G5" s="804" t="s">
        <v>589</v>
      </c>
      <c r="H5" s="805" t="s">
        <v>588</v>
      </c>
      <c r="I5" s="806" t="s">
        <v>588</v>
      </c>
      <c r="J5" s="469"/>
      <c r="K5" s="469"/>
      <c r="L5" s="469"/>
      <c r="M5" s="469"/>
      <c r="N5" s="469"/>
    </row>
    <row r="6" spans="1:14" s="551" customFormat="1" ht="13.5" customHeight="1" thickBot="1" x14ac:dyDescent="0.25">
      <c r="A6" s="807" t="s">
        <v>469</v>
      </c>
      <c r="B6" s="1559" t="s">
        <v>566</v>
      </c>
      <c r="C6" s="1560"/>
      <c r="D6" s="808" t="s">
        <v>590</v>
      </c>
      <c r="E6" s="809" t="s">
        <v>590</v>
      </c>
      <c r="F6" s="810" t="s">
        <v>590</v>
      </c>
      <c r="G6" s="808" t="s">
        <v>590</v>
      </c>
      <c r="H6" s="809" t="s">
        <v>590</v>
      </c>
      <c r="I6" s="811" t="s">
        <v>590</v>
      </c>
      <c r="J6" s="469"/>
      <c r="K6" s="469"/>
      <c r="L6" s="469"/>
      <c r="M6" s="469"/>
      <c r="N6" s="469"/>
    </row>
    <row r="7" spans="1:14" s="551" customFormat="1" ht="12" customHeight="1" x14ac:dyDescent="0.2">
      <c r="A7" s="490" t="s">
        <v>472</v>
      </c>
      <c r="B7" s="763" t="s">
        <v>895</v>
      </c>
      <c r="C7" s="812" t="s">
        <v>875</v>
      </c>
      <c r="D7" s="813" t="s">
        <v>550</v>
      </c>
      <c r="E7" s="542"/>
      <c r="F7" s="745"/>
      <c r="G7" s="813" t="s">
        <v>550</v>
      </c>
      <c r="H7" s="542"/>
      <c r="I7" s="545"/>
      <c r="J7" s="469"/>
      <c r="K7" s="469"/>
      <c r="L7" s="469"/>
      <c r="M7" s="469"/>
      <c r="N7" s="469"/>
    </row>
    <row r="8" spans="1:14" s="551" customFormat="1" ht="12" customHeight="1" x14ac:dyDescent="0.2">
      <c r="A8" s="497" t="s">
        <v>473</v>
      </c>
      <c r="B8" s="765" t="s">
        <v>895</v>
      </c>
      <c r="C8" s="814" t="s">
        <v>875</v>
      </c>
      <c r="D8" s="815" t="s">
        <v>550</v>
      </c>
      <c r="E8" s="547"/>
      <c r="F8" s="748"/>
      <c r="G8" s="815" t="s">
        <v>550</v>
      </c>
      <c r="H8" s="547"/>
      <c r="I8" s="550"/>
      <c r="J8" s="469"/>
      <c r="K8" s="469"/>
      <c r="L8" s="469"/>
      <c r="M8" s="469"/>
      <c r="N8" s="469"/>
    </row>
    <row r="9" spans="1:14" s="551" customFormat="1" ht="12" customHeight="1" x14ac:dyDescent="0.2">
      <c r="A9" s="497" t="s">
        <v>474</v>
      </c>
      <c r="B9" s="765" t="s">
        <v>895</v>
      </c>
      <c r="C9" s="814" t="s">
        <v>875</v>
      </c>
      <c r="D9" s="815" t="s">
        <v>550</v>
      </c>
      <c r="E9" s="547"/>
      <c r="F9" s="748"/>
      <c r="G9" s="815" t="s">
        <v>550</v>
      </c>
      <c r="H9" s="547"/>
      <c r="I9" s="550"/>
      <c r="J9" s="469"/>
      <c r="K9" s="469"/>
      <c r="L9" s="469"/>
      <c r="M9" s="469"/>
      <c r="N9" s="469"/>
    </row>
    <row r="10" spans="1:14" s="551" customFormat="1" ht="12" customHeight="1" x14ac:dyDescent="0.2">
      <c r="A10" s="497" t="s">
        <v>475</v>
      </c>
      <c r="B10" s="765" t="s">
        <v>895</v>
      </c>
      <c r="C10" s="814" t="s">
        <v>875</v>
      </c>
      <c r="D10" s="815" t="s">
        <v>550</v>
      </c>
      <c r="E10" s="547"/>
      <c r="F10" s="748"/>
      <c r="G10" s="815" t="s">
        <v>550</v>
      </c>
      <c r="H10" s="547"/>
      <c r="I10" s="550"/>
      <c r="J10" s="469"/>
      <c r="K10" s="469"/>
      <c r="L10" s="469"/>
      <c r="M10" s="469"/>
      <c r="N10" s="469"/>
    </row>
    <row r="11" spans="1:14" s="551" customFormat="1" ht="12" customHeight="1" x14ac:dyDescent="0.2">
      <c r="A11" s="497" t="s">
        <v>476</v>
      </c>
      <c r="B11" s="765" t="s">
        <v>895</v>
      </c>
      <c r="C11" s="814" t="s">
        <v>875</v>
      </c>
      <c r="D11" s="815" t="s">
        <v>550</v>
      </c>
      <c r="E11" s="547"/>
      <c r="F11" s="748"/>
      <c r="G11" s="815" t="s">
        <v>550</v>
      </c>
      <c r="H11" s="547"/>
      <c r="I11" s="550"/>
      <c r="J11" s="469"/>
      <c r="K11" s="469"/>
      <c r="L11" s="469"/>
      <c r="M11" s="469"/>
      <c r="N11" s="469"/>
    </row>
    <row r="12" spans="1:14" s="551" customFormat="1" ht="12" customHeight="1" x14ac:dyDescent="0.2">
      <c r="A12" s="497" t="s">
        <v>477</v>
      </c>
      <c r="B12" s="765" t="s">
        <v>895</v>
      </c>
      <c r="C12" s="814" t="s">
        <v>875</v>
      </c>
      <c r="D12" s="815" t="s">
        <v>550</v>
      </c>
      <c r="E12" s="547"/>
      <c r="F12" s="748"/>
      <c r="G12" s="815" t="s">
        <v>550</v>
      </c>
      <c r="H12" s="547"/>
      <c r="I12" s="550"/>
      <c r="J12" s="469"/>
      <c r="K12" s="469"/>
      <c r="L12" s="469"/>
      <c r="M12" s="469"/>
      <c r="N12" s="469"/>
    </row>
    <row r="13" spans="1:14" s="551" customFormat="1" ht="12" customHeight="1" x14ac:dyDescent="0.2">
      <c r="A13" s="497" t="s">
        <v>200</v>
      </c>
      <c r="B13" s="765" t="s">
        <v>902</v>
      </c>
      <c r="C13" s="814" t="s">
        <v>903</v>
      </c>
      <c r="D13" s="815">
        <v>131400</v>
      </c>
      <c r="E13" s="547"/>
      <c r="F13" s="748">
        <v>131400</v>
      </c>
      <c r="G13" s="815">
        <v>1103760.0000000002</v>
      </c>
      <c r="H13" s="547"/>
      <c r="I13" s="550">
        <v>1103760.0000000002</v>
      </c>
      <c r="J13" s="469"/>
      <c r="K13" s="469"/>
      <c r="L13" s="469"/>
      <c r="M13" s="469"/>
      <c r="N13" s="469"/>
    </row>
    <row r="14" spans="1:14" s="551" customFormat="1" ht="12" customHeight="1" x14ac:dyDescent="0.2">
      <c r="A14" s="497" t="s">
        <v>478</v>
      </c>
      <c r="B14" s="765" t="s">
        <v>902</v>
      </c>
      <c r="C14" s="814" t="s">
        <v>903</v>
      </c>
      <c r="D14" s="815">
        <v>3650</v>
      </c>
      <c r="E14" s="547"/>
      <c r="F14" s="748">
        <v>3650</v>
      </c>
      <c r="G14" s="815">
        <v>30660.000000000007</v>
      </c>
      <c r="H14" s="547"/>
      <c r="I14" s="550">
        <v>30660.000000000007</v>
      </c>
      <c r="J14" s="469"/>
      <c r="K14" s="469"/>
      <c r="L14" s="469"/>
      <c r="M14" s="469"/>
      <c r="N14" s="469"/>
    </row>
    <row r="15" spans="1:14" s="551" customFormat="1" ht="12" customHeight="1" x14ac:dyDescent="0.2">
      <c r="A15" s="497" t="s">
        <v>479</v>
      </c>
      <c r="B15" s="765" t="s">
        <v>906</v>
      </c>
      <c r="C15" s="814" t="s">
        <v>903</v>
      </c>
      <c r="D15" s="815" t="s">
        <v>550</v>
      </c>
      <c r="E15" s="547"/>
      <c r="F15" s="748"/>
      <c r="G15" s="815" t="s">
        <v>550</v>
      </c>
      <c r="H15" s="547"/>
      <c r="I15" s="550"/>
      <c r="J15" s="469"/>
      <c r="K15" s="469"/>
      <c r="L15" s="469"/>
      <c r="M15" s="469"/>
      <c r="N15" s="469"/>
    </row>
    <row r="16" spans="1:14" s="551" customFormat="1" ht="12" customHeight="1" x14ac:dyDescent="0.2">
      <c r="A16" s="497" t="s">
        <v>480</v>
      </c>
      <c r="B16" s="765" t="s">
        <v>906</v>
      </c>
      <c r="C16" s="814" t="s">
        <v>903</v>
      </c>
      <c r="D16" s="815" t="s">
        <v>550</v>
      </c>
      <c r="E16" s="547"/>
      <c r="F16" s="748"/>
      <c r="G16" s="815" t="s">
        <v>550</v>
      </c>
      <c r="H16" s="547"/>
      <c r="I16" s="550"/>
      <c r="J16" s="469"/>
      <c r="K16" s="469"/>
      <c r="L16" s="469"/>
      <c r="M16" s="469"/>
      <c r="N16" s="469"/>
    </row>
    <row r="17" spans="1:14" s="551" customFormat="1" ht="12" customHeight="1" x14ac:dyDescent="0.2">
      <c r="A17" s="497" t="s">
        <v>481</v>
      </c>
      <c r="B17" s="765" t="s">
        <v>906</v>
      </c>
      <c r="C17" s="814" t="s">
        <v>903</v>
      </c>
      <c r="D17" s="815" t="s">
        <v>550</v>
      </c>
      <c r="E17" s="547"/>
      <c r="F17" s="748"/>
      <c r="G17" s="815" t="s">
        <v>550</v>
      </c>
      <c r="H17" s="547"/>
      <c r="I17" s="550"/>
      <c r="J17" s="469"/>
      <c r="K17" s="469"/>
      <c r="L17" s="469"/>
      <c r="M17" s="469"/>
      <c r="N17" s="469"/>
    </row>
    <row r="18" spans="1:14" s="551" customFormat="1" ht="12" customHeight="1" x14ac:dyDescent="0.2">
      <c r="A18" s="497" t="s">
        <v>482</v>
      </c>
      <c r="B18" s="765" t="s">
        <v>895</v>
      </c>
      <c r="C18" s="814" t="s">
        <v>875</v>
      </c>
      <c r="D18" s="815" t="s">
        <v>550</v>
      </c>
      <c r="E18" s="547"/>
      <c r="F18" s="748"/>
      <c r="G18" s="815" t="s">
        <v>550</v>
      </c>
      <c r="H18" s="547"/>
      <c r="I18" s="550"/>
      <c r="J18" s="469"/>
      <c r="K18" s="469"/>
      <c r="L18" s="469"/>
      <c r="M18" s="469"/>
      <c r="N18" s="469"/>
    </row>
    <row r="19" spans="1:14" s="551" customFormat="1" ht="12" customHeight="1" x14ac:dyDescent="0.2">
      <c r="A19" s="497" t="s">
        <v>483</v>
      </c>
      <c r="B19" s="765" t="s">
        <v>895</v>
      </c>
      <c r="C19" s="814" t="s">
        <v>875</v>
      </c>
      <c r="D19" s="815" t="s">
        <v>550</v>
      </c>
      <c r="E19" s="547"/>
      <c r="F19" s="748"/>
      <c r="G19" s="815" t="s">
        <v>550</v>
      </c>
      <c r="H19" s="547"/>
      <c r="I19" s="550"/>
      <c r="J19" s="469"/>
      <c r="K19" s="469"/>
      <c r="L19" s="469"/>
      <c r="M19" s="469"/>
      <c r="N19" s="469"/>
    </row>
    <row r="20" spans="1:14" s="551" customFormat="1" ht="12" customHeight="1" x14ac:dyDescent="0.2">
      <c r="A20" s="497" t="s">
        <v>484</v>
      </c>
      <c r="B20" s="765" t="s">
        <v>895</v>
      </c>
      <c r="C20" s="814" t="s">
        <v>875</v>
      </c>
      <c r="D20" s="815" t="s">
        <v>550</v>
      </c>
      <c r="E20" s="547"/>
      <c r="F20" s="748"/>
      <c r="G20" s="815" t="s">
        <v>550</v>
      </c>
      <c r="H20" s="547"/>
      <c r="I20" s="550"/>
      <c r="J20" s="469"/>
      <c r="K20" s="469"/>
      <c r="L20" s="469"/>
      <c r="M20" s="469"/>
      <c r="N20" s="469"/>
    </row>
    <row r="21" spans="1:14" s="551" customFormat="1" ht="12" customHeight="1" x14ac:dyDescent="0.2">
      <c r="A21" s="497" t="s">
        <v>485</v>
      </c>
      <c r="B21" s="765" t="s">
        <v>895</v>
      </c>
      <c r="C21" s="814" t="s">
        <v>875</v>
      </c>
      <c r="D21" s="815" t="s">
        <v>550</v>
      </c>
      <c r="E21" s="547"/>
      <c r="F21" s="748"/>
      <c r="G21" s="815" t="s">
        <v>550</v>
      </c>
      <c r="H21" s="547"/>
      <c r="I21" s="550"/>
      <c r="J21" s="469"/>
      <c r="K21" s="469"/>
      <c r="L21" s="469"/>
      <c r="M21" s="469"/>
      <c r="N21" s="469"/>
    </row>
    <row r="22" spans="1:14" s="551" customFormat="1" ht="12" customHeight="1" x14ac:dyDescent="0.2">
      <c r="A22" s="497" t="s">
        <v>486</v>
      </c>
      <c r="B22" s="765" t="s">
        <v>895</v>
      </c>
      <c r="C22" s="814" t="s">
        <v>875</v>
      </c>
      <c r="D22" s="815" t="s">
        <v>550</v>
      </c>
      <c r="E22" s="547"/>
      <c r="F22" s="748"/>
      <c r="G22" s="815" t="s">
        <v>550</v>
      </c>
      <c r="H22" s="547"/>
      <c r="I22" s="550"/>
      <c r="J22" s="469"/>
      <c r="K22" s="469"/>
      <c r="L22" s="469"/>
      <c r="M22" s="469"/>
      <c r="N22" s="469"/>
    </row>
    <row r="23" spans="1:14" s="551" customFormat="1" ht="12" customHeight="1" x14ac:dyDescent="0.2">
      <c r="A23" s="497" t="s">
        <v>487</v>
      </c>
      <c r="B23" s="765" t="s">
        <v>895</v>
      </c>
      <c r="C23" s="814" t="s">
        <v>875</v>
      </c>
      <c r="D23" s="815" t="s">
        <v>550</v>
      </c>
      <c r="E23" s="547"/>
      <c r="F23" s="748"/>
      <c r="G23" s="815" t="s">
        <v>550</v>
      </c>
      <c r="H23" s="547"/>
      <c r="I23" s="550"/>
      <c r="J23" s="469"/>
      <c r="K23" s="469"/>
      <c r="L23" s="469"/>
      <c r="M23" s="469"/>
      <c r="N23" s="469"/>
    </row>
    <row r="24" spans="1:14" s="551" customFormat="1" ht="12" customHeight="1" x14ac:dyDescent="0.2">
      <c r="A24" s="497" t="s">
        <v>488</v>
      </c>
      <c r="B24" s="765" t="s">
        <v>895</v>
      </c>
      <c r="C24" s="814" t="s">
        <v>875</v>
      </c>
      <c r="D24" s="815" t="s">
        <v>550</v>
      </c>
      <c r="E24" s="547"/>
      <c r="F24" s="748"/>
      <c r="G24" s="815" t="s">
        <v>550</v>
      </c>
      <c r="H24" s="547"/>
      <c r="I24" s="550"/>
      <c r="J24" s="469"/>
      <c r="K24" s="469"/>
      <c r="L24" s="469"/>
      <c r="M24" s="469"/>
      <c r="N24" s="469"/>
    </row>
    <row r="25" spans="1:14" s="551" customFormat="1" ht="12" customHeight="1" x14ac:dyDescent="0.2">
      <c r="A25" s="497" t="s">
        <v>489</v>
      </c>
      <c r="B25" s="765" t="s">
        <v>895</v>
      </c>
      <c r="C25" s="814" t="s">
        <v>875</v>
      </c>
      <c r="D25" s="815" t="s">
        <v>550</v>
      </c>
      <c r="E25" s="547"/>
      <c r="F25" s="748"/>
      <c r="G25" s="815" t="s">
        <v>550</v>
      </c>
      <c r="H25" s="547"/>
      <c r="I25" s="550"/>
      <c r="J25" s="469"/>
      <c r="K25" s="469"/>
      <c r="L25" s="469"/>
      <c r="M25" s="469"/>
      <c r="N25" s="469"/>
    </row>
    <row r="26" spans="1:14" s="551" customFormat="1" ht="12" customHeight="1" x14ac:dyDescent="0.2">
      <c r="A26" s="497" t="s">
        <v>490</v>
      </c>
      <c r="B26" s="765" t="s">
        <v>895</v>
      </c>
      <c r="C26" s="814" t="s">
        <v>875</v>
      </c>
      <c r="D26" s="815" t="s">
        <v>550</v>
      </c>
      <c r="E26" s="547"/>
      <c r="F26" s="748"/>
      <c r="G26" s="815" t="s">
        <v>550</v>
      </c>
      <c r="H26" s="547"/>
      <c r="I26" s="550"/>
      <c r="J26" s="469"/>
      <c r="K26" s="469"/>
      <c r="L26" s="469"/>
      <c r="M26" s="469"/>
      <c r="N26" s="469"/>
    </row>
    <row r="27" spans="1:14" s="551" customFormat="1" ht="12" customHeight="1" x14ac:dyDescent="0.2">
      <c r="A27" s="497" t="s">
        <v>491</v>
      </c>
      <c r="B27" s="765" t="s">
        <v>895</v>
      </c>
      <c r="C27" s="814" t="s">
        <v>875</v>
      </c>
      <c r="D27" s="815" t="s">
        <v>550</v>
      </c>
      <c r="E27" s="547"/>
      <c r="F27" s="748"/>
      <c r="G27" s="815" t="s">
        <v>550</v>
      </c>
      <c r="H27" s="547"/>
      <c r="I27" s="550"/>
      <c r="J27" s="469"/>
      <c r="K27" s="469"/>
      <c r="L27" s="469"/>
      <c r="M27" s="469"/>
      <c r="N27" s="469"/>
    </row>
    <row r="28" spans="1:14" s="551" customFormat="1" ht="12" customHeight="1" x14ac:dyDescent="0.2">
      <c r="A28" s="497" t="s">
        <v>492</v>
      </c>
      <c r="B28" s="765" t="s">
        <v>895</v>
      </c>
      <c r="C28" s="814" t="s">
        <v>875</v>
      </c>
      <c r="D28" s="815" t="s">
        <v>550</v>
      </c>
      <c r="E28" s="547"/>
      <c r="F28" s="748"/>
      <c r="G28" s="815" t="s">
        <v>550</v>
      </c>
      <c r="H28" s="547"/>
      <c r="I28" s="550"/>
      <c r="J28" s="469"/>
      <c r="K28" s="469"/>
      <c r="L28" s="469"/>
      <c r="M28" s="469"/>
      <c r="N28" s="469"/>
    </row>
    <row r="29" spans="1:14" s="551" customFormat="1" ht="12" customHeight="1" x14ac:dyDescent="0.2">
      <c r="A29" s="497" t="s">
        <v>493</v>
      </c>
      <c r="B29" s="765" t="s">
        <v>895</v>
      </c>
      <c r="C29" s="814" t="s">
        <v>875</v>
      </c>
      <c r="D29" s="815" t="s">
        <v>550</v>
      </c>
      <c r="E29" s="547"/>
      <c r="F29" s="748"/>
      <c r="G29" s="815" t="s">
        <v>550</v>
      </c>
      <c r="H29" s="547"/>
      <c r="I29" s="550"/>
      <c r="J29" s="469"/>
      <c r="K29" s="469"/>
      <c r="L29" s="469"/>
      <c r="M29" s="469"/>
      <c r="N29" s="469"/>
    </row>
    <row r="30" spans="1:14" s="551" customFormat="1" ht="12" customHeight="1" x14ac:dyDescent="0.2">
      <c r="A30" s="497" t="s">
        <v>494</v>
      </c>
      <c r="B30" s="765" t="s">
        <v>906</v>
      </c>
      <c r="C30" s="814" t="s">
        <v>903</v>
      </c>
      <c r="D30" s="815" t="s">
        <v>550</v>
      </c>
      <c r="E30" s="547"/>
      <c r="F30" s="748"/>
      <c r="G30" s="815" t="s">
        <v>550</v>
      </c>
      <c r="H30" s="547"/>
      <c r="I30" s="550"/>
      <c r="J30" s="469"/>
      <c r="K30" s="469"/>
      <c r="L30" s="469"/>
      <c r="M30" s="469"/>
      <c r="N30" s="469"/>
    </row>
    <row r="31" spans="1:14" s="551" customFormat="1" ht="12" customHeight="1" x14ac:dyDescent="0.2">
      <c r="A31" s="497" t="s">
        <v>495</v>
      </c>
      <c r="B31" s="765" t="s">
        <v>895</v>
      </c>
      <c r="C31" s="814" t="s">
        <v>875</v>
      </c>
      <c r="D31" s="815" t="s">
        <v>550</v>
      </c>
      <c r="E31" s="547"/>
      <c r="F31" s="748"/>
      <c r="G31" s="815" t="s">
        <v>550</v>
      </c>
      <c r="H31" s="547"/>
      <c r="I31" s="550"/>
      <c r="J31" s="469"/>
      <c r="K31" s="469"/>
      <c r="L31" s="469"/>
      <c r="M31" s="469"/>
      <c r="N31" s="469"/>
    </row>
    <row r="32" spans="1:14" s="551" customFormat="1" ht="12" customHeight="1" thickBot="1" x14ac:dyDescent="0.25">
      <c r="A32" s="507" t="s">
        <v>496</v>
      </c>
      <c r="B32" s="767" t="s">
        <v>895</v>
      </c>
      <c r="C32" s="816" t="s">
        <v>875</v>
      </c>
      <c r="D32" s="817" t="s">
        <v>550</v>
      </c>
      <c r="E32" s="553"/>
      <c r="F32" s="752"/>
      <c r="G32" s="817" t="s">
        <v>550</v>
      </c>
      <c r="H32" s="553"/>
      <c r="I32" s="556"/>
      <c r="J32" s="469"/>
      <c r="K32" s="469"/>
      <c r="L32" s="469"/>
      <c r="M32" s="469"/>
      <c r="N32" s="469"/>
    </row>
    <row r="33" spans="1:14" ht="11.25" customHeight="1" thickTop="1" x14ac:dyDescent="0.2">
      <c r="A33" s="514" t="s">
        <v>238</v>
      </c>
      <c r="I33" s="522"/>
      <c r="J33" s="469"/>
      <c r="K33" s="469"/>
      <c r="L33" s="469"/>
      <c r="M33" s="469"/>
      <c r="N33" s="469"/>
    </row>
    <row r="34" spans="1:14" ht="32.25" customHeight="1" x14ac:dyDescent="0.2">
      <c r="A34" s="1526" t="s">
        <v>591</v>
      </c>
      <c r="B34" s="1523"/>
      <c r="C34" s="1523"/>
      <c r="D34" s="1523"/>
      <c r="E34" s="1523"/>
      <c r="F34" s="1523"/>
      <c r="G34" s="1523"/>
      <c r="H34" s="1523"/>
      <c r="I34" s="1524"/>
      <c r="J34" s="469"/>
      <c r="K34" s="469"/>
      <c r="L34" s="469"/>
      <c r="M34" s="469"/>
      <c r="N34" s="469"/>
    </row>
    <row r="35" spans="1:14" ht="11.25" customHeight="1" x14ac:dyDescent="0.2">
      <c r="A35" s="518" t="s">
        <v>592</v>
      </c>
      <c r="B35" s="519"/>
      <c r="C35" s="519"/>
      <c r="D35" s="519"/>
      <c r="E35" s="520"/>
      <c r="F35" s="626"/>
      <c r="G35" s="626"/>
      <c r="I35" s="522"/>
      <c r="J35" s="469"/>
      <c r="K35" s="469"/>
      <c r="L35" s="469"/>
      <c r="M35" s="469"/>
      <c r="N35" s="469"/>
    </row>
    <row r="36" spans="1:14" ht="11.25" customHeight="1" x14ac:dyDescent="0.2">
      <c r="A36" s="514"/>
      <c r="B36" s="706"/>
      <c r="C36" s="565"/>
      <c r="D36" s="626"/>
      <c r="E36" s="626"/>
      <c r="F36" s="626"/>
      <c r="G36" s="626"/>
      <c r="I36" s="522"/>
      <c r="J36" s="469"/>
      <c r="K36" s="469"/>
      <c r="L36" s="469"/>
      <c r="M36" s="469"/>
      <c r="N36" s="469"/>
    </row>
    <row r="37" spans="1:14" ht="11.25" customHeight="1" x14ac:dyDescent="0.2">
      <c r="A37" s="625" t="s">
        <v>593</v>
      </c>
      <c r="B37" s="706"/>
      <c r="C37" s="565"/>
      <c r="D37" s="626"/>
      <c r="E37" s="626"/>
      <c r="F37" s="626"/>
      <c r="G37" s="626"/>
      <c r="I37" s="522"/>
      <c r="J37" s="469"/>
      <c r="K37" s="469"/>
      <c r="L37" s="469"/>
      <c r="M37" s="469"/>
      <c r="N37" s="469"/>
    </row>
    <row r="38" spans="1:14" ht="11.25" customHeight="1" x14ac:dyDescent="0.2">
      <c r="A38" s="521" t="s">
        <v>594</v>
      </c>
      <c r="B38" s="517"/>
      <c r="C38" s="565"/>
      <c r="D38" s="626"/>
      <c r="E38" s="626"/>
      <c r="F38" s="626"/>
      <c r="G38" s="626"/>
      <c r="I38" s="522"/>
      <c r="J38" s="469"/>
      <c r="K38" s="469"/>
      <c r="L38" s="469"/>
      <c r="M38" s="469"/>
      <c r="N38" s="469"/>
    </row>
    <row r="39" spans="1:14" ht="11.25" customHeight="1" x14ac:dyDescent="0.2">
      <c r="A39" s="521" t="s">
        <v>574</v>
      </c>
      <c r="B39" s="517"/>
      <c r="C39" s="565"/>
      <c r="D39" s="626"/>
      <c r="E39" s="626"/>
      <c r="F39" s="626"/>
      <c r="G39" s="626"/>
      <c r="I39" s="522"/>
      <c r="J39" s="469"/>
      <c r="K39" s="469"/>
      <c r="L39" s="469"/>
      <c r="M39" s="469"/>
      <c r="N39" s="469"/>
    </row>
    <row r="40" spans="1:14" ht="11.25" customHeight="1" x14ac:dyDescent="0.2">
      <c r="A40" s="521"/>
      <c r="B40" s="517"/>
      <c r="C40" s="565"/>
      <c r="D40" s="626"/>
      <c r="E40" s="626"/>
      <c r="F40" s="626"/>
      <c r="G40" s="626"/>
      <c r="I40" s="522"/>
      <c r="J40" s="469"/>
      <c r="K40" s="469"/>
      <c r="L40" s="469"/>
      <c r="M40" s="469"/>
      <c r="N40" s="469"/>
    </row>
    <row r="41" spans="1:14" ht="11.25" customHeight="1" x14ac:dyDescent="0.2">
      <c r="A41" s="769" t="s">
        <v>595</v>
      </c>
      <c r="B41" s="770"/>
      <c r="C41" s="565"/>
      <c r="D41" s="626"/>
      <c r="E41" s="626"/>
      <c r="F41" s="626"/>
      <c r="G41" s="626"/>
      <c r="I41" s="522"/>
      <c r="J41" s="469"/>
      <c r="K41" s="469"/>
      <c r="L41" s="469"/>
      <c r="M41" s="469"/>
      <c r="N41" s="469"/>
    </row>
    <row r="42" spans="1:14" ht="11.25" customHeight="1" x14ac:dyDescent="0.2">
      <c r="A42" s="769"/>
      <c r="B42" s="770"/>
      <c r="C42" s="565"/>
      <c r="D42" s="626"/>
      <c r="E42" s="626"/>
      <c r="F42" s="626"/>
      <c r="G42" s="626"/>
      <c r="I42" s="522"/>
      <c r="J42" s="469"/>
      <c r="K42" s="469"/>
      <c r="L42" s="469"/>
      <c r="M42" s="469"/>
      <c r="N42" s="469"/>
    </row>
    <row r="43" spans="1:14" ht="11.25" customHeight="1" x14ac:dyDescent="0.2">
      <c r="A43" s="769" t="s">
        <v>596</v>
      </c>
      <c r="B43" s="770"/>
      <c r="C43" s="565"/>
      <c r="D43" s="626"/>
      <c r="E43" s="626"/>
      <c r="F43" s="626"/>
      <c r="G43" s="626"/>
      <c r="I43" s="522"/>
      <c r="J43" s="469"/>
      <c r="K43" s="469"/>
      <c r="L43" s="469"/>
      <c r="M43" s="469"/>
      <c r="N43" s="469"/>
    </row>
    <row r="44" spans="1:14" ht="11.25" customHeight="1" x14ac:dyDescent="0.2">
      <c r="A44" s="521" t="s">
        <v>597</v>
      </c>
      <c r="B44" s="770"/>
      <c r="C44" s="565"/>
      <c r="D44" s="626"/>
      <c r="E44" s="626"/>
      <c r="F44" s="626"/>
      <c r="G44" s="626"/>
      <c r="I44" s="522"/>
      <c r="J44" s="469"/>
      <c r="K44" s="469"/>
      <c r="L44" s="469"/>
      <c r="M44" s="469"/>
      <c r="N44" s="469"/>
    </row>
    <row r="45" spans="1:14" ht="11.25" customHeight="1" x14ac:dyDescent="0.2">
      <c r="A45" s="769" t="s">
        <v>598</v>
      </c>
      <c r="B45" s="770"/>
      <c r="C45" s="565"/>
      <c r="D45" s="626"/>
      <c r="E45" s="626"/>
      <c r="F45" s="626"/>
      <c r="G45" s="626"/>
      <c r="I45" s="522"/>
      <c r="J45" s="469"/>
      <c r="K45" s="469"/>
      <c r="L45" s="469"/>
      <c r="M45" s="469"/>
      <c r="N45" s="469"/>
    </row>
    <row r="46" spans="1:14" ht="11.25" customHeight="1" x14ac:dyDescent="0.2">
      <c r="A46" s="769" t="s">
        <v>599</v>
      </c>
      <c r="B46" s="770"/>
      <c r="C46" s="565"/>
      <c r="D46" s="626"/>
      <c r="E46" s="626"/>
      <c r="F46" s="626"/>
      <c r="G46" s="626"/>
      <c r="I46" s="522"/>
      <c r="J46" s="469"/>
      <c r="K46" s="469"/>
      <c r="L46" s="469"/>
      <c r="M46" s="469"/>
      <c r="N46" s="469"/>
    </row>
    <row r="47" spans="1:14" ht="11.25" customHeight="1" x14ac:dyDescent="0.2">
      <c r="A47" s="818" t="s">
        <v>600</v>
      </c>
      <c r="B47" s="770"/>
      <c r="C47" s="565"/>
      <c r="D47" s="626"/>
      <c r="E47" s="626"/>
      <c r="F47" s="626"/>
      <c r="G47" s="626"/>
      <c r="I47" s="522"/>
      <c r="J47" s="469"/>
      <c r="K47" s="469"/>
      <c r="L47" s="469"/>
      <c r="M47" s="469"/>
      <c r="N47" s="469"/>
    </row>
    <row r="48" spans="1:14" ht="11.25" customHeight="1" thickBot="1" x14ac:dyDescent="0.25">
      <c r="A48" s="818" t="s">
        <v>601</v>
      </c>
      <c r="B48" s="770"/>
      <c r="C48" s="565"/>
      <c r="D48" s="626"/>
      <c r="E48" s="626"/>
      <c r="F48" s="626"/>
      <c r="G48" s="626"/>
      <c r="H48" s="819"/>
      <c r="I48" s="820"/>
      <c r="J48" s="469"/>
      <c r="K48" s="469"/>
      <c r="L48" s="469"/>
      <c r="M48" s="469"/>
      <c r="N48" s="469"/>
    </row>
    <row r="49" spans="1:7" ht="11.25" customHeight="1" thickTop="1" x14ac:dyDescent="0.2">
      <c r="A49" s="821"/>
      <c r="B49" s="790"/>
      <c r="C49" s="699"/>
      <c r="D49" s="822"/>
      <c r="E49" s="822"/>
      <c r="F49" s="822"/>
      <c r="G49" s="822"/>
    </row>
    <row r="50" spans="1:7" x14ac:dyDescent="0.2">
      <c r="A50" s="470"/>
      <c r="B50" s="470"/>
      <c r="C50" s="469"/>
      <c r="D50" s="626"/>
      <c r="E50" s="626"/>
      <c r="F50" s="626"/>
      <c r="G50" s="626"/>
    </row>
    <row r="51" spans="1:7" x14ac:dyDescent="0.2">
      <c r="A51" s="469"/>
      <c r="B51" s="469"/>
      <c r="C51" s="469"/>
      <c r="D51" s="626"/>
      <c r="E51" s="626"/>
      <c r="F51" s="626"/>
      <c r="G51" s="626"/>
    </row>
    <row r="52" spans="1:7" x14ac:dyDescent="0.2">
      <c r="A52" s="469"/>
      <c r="B52" s="469"/>
      <c r="C52" s="469"/>
      <c r="D52" s="626"/>
      <c r="E52" s="626"/>
      <c r="F52" s="626"/>
      <c r="G52" s="626"/>
    </row>
    <row r="53" spans="1:7" x14ac:dyDescent="0.2">
      <c r="A53" s="469"/>
      <c r="B53" s="469"/>
      <c r="C53" s="469"/>
      <c r="D53" s="626"/>
      <c r="E53" s="626"/>
      <c r="F53" s="626"/>
      <c r="G53" s="626"/>
    </row>
    <row r="54" spans="1:7" x14ac:dyDescent="0.2">
      <c r="A54" s="469"/>
      <c r="B54" s="469"/>
      <c r="C54" s="469"/>
      <c r="D54" s="626"/>
      <c r="E54" s="626"/>
      <c r="F54" s="626"/>
      <c r="G54" s="626"/>
    </row>
    <row r="55" spans="1:7" x14ac:dyDescent="0.2">
      <c r="A55" s="469"/>
      <c r="B55" s="469"/>
      <c r="C55" s="469"/>
      <c r="D55" s="626"/>
      <c r="E55" s="626"/>
      <c r="F55" s="626"/>
      <c r="G55" s="626"/>
    </row>
    <row r="56" spans="1:7" x14ac:dyDescent="0.2">
      <c r="A56" s="469"/>
      <c r="B56" s="469"/>
      <c r="C56" s="469"/>
      <c r="D56" s="626"/>
      <c r="E56" s="626"/>
      <c r="F56" s="626"/>
      <c r="G56" s="626"/>
    </row>
    <row r="57" spans="1:7" x14ac:dyDescent="0.2">
      <c r="A57" s="469"/>
      <c r="B57" s="469"/>
      <c r="C57" s="469"/>
      <c r="D57" s="626"/>
      <c r="E57" s="626"/>
      <c r="F57" s="626"/>
      <c r="G57" s="626"/>
    </row>
    <row r="58" spans="1:7" x14ac:dyDescent="0.2">
      <c r="A58" s="469"/>
      <c r="B58" s="469"/>
      <c r="C58" s="469"/>
      <c r="D58" s="626"/>
      <c r="E58" s="626"/>
      <c r="F58" s="626"/>
      <c r="G58" s="626"/>
    </row>
    <row r="59" spans="1:7" x14ac:dyDescent="0.2">
      <c r="A59" s="469"/>
      <c r="B59" s="469"/>
      <c r="C59" s="469"/>
      <c r="D59" s="626"/>
      <c r="E59" s="626"/>
      <c r="F59" s="626"/>
      <c r="G59" s="626"/>
    </row>
    <row r="60" spans="1:7" x14ac:dyDescent="0.2">
      <c r="A60" s="469"/>
      <c r="B60" s="469"/>
      <c r="C60" s="469"/>
      <c r="D60" s="626"/>
      <c r="E60" s="626"/>
      <c r="F60" s="626"/>
      <c r="G60" s="626"/>
    </row>
    <row r="61" spans="1:7" x14ac:dyDescent="0.2">
      <c r="A61" s="469"/>
      <c r="B61" s="469"/>
      <c r="C61" s="469"/>
      <c r="D61" s="626"/>
      <c r="E61" s="626"/>
      <c r="F61" s="626"/>
      <c r="G61" s="626"/>
    </row>
    <row r="62" spans="1:7" x14ac:dyDescent="0.2">
      <c r="A62" s="469"/>
      <c r="B62" s="469"/>
      <c r="C62" s="469"/>
      <c r="D62" s="626"/>
      <c r="E62" s="626"/>
      <c r="F62" s="626"/>
      <c r="G62" s="626"/>
    </row>
    <row r="63" spans="1:7" x14ac:dyDescent="0.2">
      <c r="A63" s="469"/>
      <c r="B63" s="469"/>
      <c r="C63" s="469"/>
      <c r="D63" s="626"/>
      <c r="E63" s="626"/>
      <c r="F63" s="626"/>
      <c r="G63" s="626"/>
    </row>
    <row r="64" spans="1:7" x14ac:dyDescent="0.2">
      <c r="A64" s="469"/>
      <c r="B64" s="469"/>
      <c r="C64" s="469"/>
      <c r="D64" s="626"/>
      <c r="E64" s="626"/>
      <c r="F64" s="626"/>
      <c r="G64" s="626"/>
    </row>
    <row r="65" spans="1:7" x14ac:dyDescent="0.2">
      <c r="A65" s="469"/>
      <c r="B65" s="469"/>
      <c r="C65" s="469"/>
      <c r="D65" s="626"/>
      <c r="E65" s="626"/>
      <c r="F65" s="626"/>
      <c r="G65" s="626"/>
    </row>
    <row r="66" spans="1:7" x14ac:dyDescent="0.2">
      <c r="A66" s="469"/>
      <c r="B66" s="469"/>
      <c r="C66" s="469"/>
      <c r="D66" s="626"/>
      <c r="E66" s="626"/>
      <c r="F66" s="626"/>
      <c r="G66" s="626"/>
    </row>
    <row r="67" spans="1:7" x14ac:dyDescent="0.2">
      <c r="A67" s="469"/>
      <c r="B67" s="469"/>
      <c r="C67" s="469"/>
      <c r="D67" s="626"/>
      <c r="E67" s="626"/>
      <c r="F67" s="626"/>
      <c r="G67" s="626"/>
    </row>
    <row r="68" spans="1:7" x14ac:dyDescent="0.2">
      <c r="A68" s="469"/>
      <c r="B68" s="469"/>
      <c r="C68" s="469"/>
      <c r="D68" s="626"/>
      <c r="E68" s="626"/>
      <c r="F68" s="626"/>
      <c r="G68" s="626"/>
    </row>
    <row r="69" spans="1:7" x14ac:dyDescent="0.2">
      <c r="A69" s="469"/>
      <c r="B69" s="469"/>
      <c r="C69" s="469"/>
      <c r="D69" s="626"/>
      <c r="E69" s="626"/>
      <c r="F69" s="626"/>
      <c r="G69" s="626"/>
    </row>
    <row r="70" spans="1:7" x14ac:dyDescent="0.2">
      <c r="A70" s="469"/>
      <c r="B70" s="469"/>
      <c r="C70" s="469"/>
      <c r="D70" s="626"/>
      <c r="E70" s="626"/>
      <c r="F70" s="626"/>
      <c r="G70" s="626"/>
    </row>
    <row r="71" spans="1:7" x14ac:dyDescent="0.2">
      <c r="A71" s="469"/>
      <c r="B71" s="469"/>
      <c r="C71" s="469"/>
      <c r="D71" s="626"/>
      <c r="E71" s="626"/>
      <c r="F71" s="626"/>
      <c r="G71" s="626"/>
    </row>
    <row r="72" spans="1:7" x14ac:dyDescent="0.2">
      <c r="A72" s="469"/>
      <c r="B72" s="469"/>
      <c r="C72" s="469"/>
      <c r="D72" s="626"/>
      <c r="E72" s="626"/>
      <c r="F72" s="626"/>
      <c r="G72" s="626"/>
    </row>
    <row r="73" spans="1:7" x14ac:dyDescent="0.2">
      <c r="A73" s="469"/>
      <c r="B73" s="469"/>
      <c r="C73" s="469"/>
      <c r="D73" s="626"/>
      <c r="E73" s="626"/>
      <c r="F73" s="626"/>
      <c r="G73" s="626"/>
    </row>
    <row r="74" spans="1:7" x14ac:dyDescent="0.2">
      <c r="A74" s="469"/>
      <c r="B74" s="469"/>
      <c r="C74" s="469"/>
      <c r="D74" s="626"/>
      <c r="E74" s="626"/>
      <c r="F74" s="626"/>
      <c r="G74" s="626"/>
    </row>
    <row r="75" spans="1:7" x14ac:dyDescent="0.2">
      <c r="A75" s="469"/>
      <c r="B75" s="469"/>
      <c r="C75" s="469"/>
      <c r="D75" s="626"/>
      <c r="E75" s="626"/>
      <c r="F75" s="626"/>
      <c r="G75" s="626"/>
    </row>
    <row r="76" spans="1:7" x14ac:dyDescent="0.2">
      <c r="A76" s="469"/>
      <c r="B76" s="469"/>
      <c r="C76" s="469"/>
      <c r="D76" s="626"/>
      <c r="E76" s="626"/>
      <c r="F76" s="626"/>
      <c r="G76" s="626"/>
    </row>
    <row r="77" spans="1:7" x14ac:dyDescent="0.2">
      <c r="A77" s="469"/>
      <c r="B77" s="469"/>
      <c r="C77" s="469"/>
      <c r="D77" s="626"/>
      <c r="E77" s="626"/>
      <c r="F77" s="626"/>
      <c r="G77" s="626"/>
    </row>
    <row r="78" spans="1:7" x14ac:dyDescent="0.2">
      <c r="A78" s="469"/>
      <c r="B78" s="469"/>
      <c r="C78" s="469"/>
      <c r="D78" s="626"/>
      <c r="E78" s="626"/>
      <c r="F78" s="626"/>
      <c r="G78" s="626"/>
    </row>
    <row r="79" spans="1:7" x14ac:dyDescent="0.2">
      <c r="A79" s="469"/>
      <c r="B79" s="469"/>
      <c r="C79" s="469"/>
      <c r="D79" s="626"/>
      <c r="E79" s="626"/>
      <c r="F79" s="626"/>
      <c r="G79" s="626"/>
    </row>
    <row r="80" spans="1:7" x14ac:dyDescent="0.2">
      <c r="A80" s="469"/>
      <c r="B80" s="469"/>
      <c r="C80" s="469"/>
      <c r="D80" s="626"/>
      <c r="E80" s="626"/>
      <c r="F80" s="626"/>
      <c r="G80" s="626"/>
    </row>
    <row r="81" spans="1:7" x14ac:dyDescent="0.2">
      <c r="A81" s="469"/>
      <c r="B81" s="469"/>
      <c r="C81" s="469"/>
      <c r="D81" s="626"/>
      <c r="E81" s="626"/>
      <c r="F81" s="626"/>
      <c r="G81" s="626"/>
    </row>
    <row r="82" spans="1:7" x14ac:dyDescent="0.2">
      <c r="A82" s="469"/>
      <c r="B82" s="469"/>
      <c r="C82" s="469"/>
      <c r="D82" s="626"/>
      <c r="E82" s="626"/>
      <c r="F82" s="626"/>
      <c r="G82" s="626"/>
    </row>
    <row r="83" spans="1:7" x14ac:dyDescent="0.2">
      <c r="A83" s="469"/>
      <c r="B83" s="469"/>
      <c r="C83" s="469"/>
      <c r="D83" s="626"/>
      <c r="E83" s="626"/>
      <c r="F83" s="626"/>
      <c r="G83" s="626"/>
    </row>
    <row r="84" spans="1:7" x14ac:dyDescent="0.2">
      <c r="A84" s="469"/>
      <c r="B84" s="469"/>
      <c r="C84" s="469"/>
      <c r="D84" s="626"/>
      <c r="E84" s="626"/>
      <c r="F84" s="626"/>
      <c r="G84" s="626"/>
    </row>
    <row r="85" spans="1:7" x14ac:dyDescent="0.2">
      <c r="A85" s="469"/>
      <c r="B85" s="469"/>
      <c r="C85" s="469"/>
      <c r="D85" s="626"/>
      <c r="E85" s="626"/>
      <c r="F85" s="626"/>
      <c r="G85" s="626"/>
    </row>
    <row r="86" spans="1:7" x14ac:dyDescent="0.2">
      <c r="A86" s="469"/>
      <c r="B86" s="469"/>
      <c r="C86" s="469"/>
      <c r="D86" s="626"/>
      <c r="E86" s="626"/>
      <c r="F86" s="626"/>
      <c r="G86" s="626"/>
    </row>
    <row r="87" spans="1:7" x14ac:dyDescent="0.2">
      <c r="A87" s="469"/>
      <c r="B87" s="469"/>
      <c r="C87" s="469"/>
      <c r="D87" s="626"/>
      <c r="E87" s="626"/>
      <c r="F87" s="626"/>
      <c r="G87" s="626"/>
    </row>
    <row r="88" spans="1:7" x14ac:dyDescent="0.2">
      <c r="A88" s="469"/>
      <c r="B88" s="469"/>
      <c r="C88" s="469"/>
      <c r="D88" s="626"/>
      <c r="E88" s="626"/>
      <c r="F88" s="626"/>
      <c r="G88" s="626"/>
    </row>
    <row r="89" spans="1:7" x14ac:dyDescent="0.2">
      <c r="A89" s="469"/>
      <c r="B89" s="469"/>
      <c r="C89" s="469"/>
      <c r="D89" s="626"/>
      <c r="E89" s="626"/>
      <c r="F89" s="626"/>
      <c r="G89" s="626"/>
    </row>
    <row r="90" spans="1:7" x14ac:dyDescent="0.2">
      <c r="A90" s="469"/>
      <c r="B90" s="469"/>
      <c r="C90" s="469"/>
      <c r="D90" s="626"/>
      <c r="E90" s="626"/>
      <c r="F90" s="626"/>
      <c r="G90" s="626"/>
    </row>
    <row r="91" spans="1:7" x14ac:dyDescent="0.2">
      <c r="A91" s="469"/>
      <c r="B91" s="469"/>
      <c r="C91" s="469"/>
      <c r="D91" s="626"/>
      <c r="E91" s="626"/>
      <c r="F91" s="626"/>
      <c r="G91" s="626"/>
    </row>
    <row r="92" spans="1:7" x14ac:dyDescent="0.2">
      <c r="A92" s="469"/>
      <c r="B92" s="469"/>
      <c r="C92" s="469"/>
      <c r="D92" s="626"/>
      <c r="E92" s="626"/>
      <c r="F92" s="626"/>
      <c r="G92" s="626"/>
    </row>
    <row r="93" spans="1:7" x14ac:dyDescent="0.2">
      <c r="A93" s="469"/>
      <c r="B93" s="469"/>
      <c r="C93" s="469"/>
      <c r="D93" s="626"/>
      <c r="E93" s="626"/>
      <c r="F93" s="626"/>
      <c r="G93" s="626"/>
    </row>
    <row r="94" spans="1:7" x14ac:dyDescent="0.2">
      <c r="A94" s="469"/>
      <c r="B94" s="469"/>
      <c r="C94" s="469"/>
      <c r="D94" s="626"/>
      <c r="E94" s="626"/>
      <c r="F94" s="626"/>
      <c r="G94" s="626"/>
    </row>
    <row r="95" spans="1:7" x14ac:dyDescent="0.2">
      <c r="A95" s="469"/>
      <c r="B95" s="469"/>
      <c r="C95" s="469"/>
      <c r="D95" s="626"/>
      <c r="E95" s="626"/>
      <c r="F95" s="626"/>
      <c r="G95" s="626"/>
    </row>
    <row r="96" spans="1:7" x14ac:dyDescent="0.2">
      <c r="A96" s="469"/>
      <c r="B96" s="469"/>
      <c r="C96" s="469"/>
      <c r="D96" s="626"/>
      <c r="E96" s="626"/>
      <c r="F96" s="626"/>
      <c r="G96" s="626"/>
    </row>
    <row r="97" spans="1:7" x14ac:dyDescent="0.2">
      <c r="A97" s="469"/>
      <c r="B97" s="469"/>
      <c r="C97" s="469"/>
      <c r="D97" s="626"/>
      <c r="E97" s="626"/>
      <c r="F97" s="626"/>
      <c r="G97" s="626"/>
    </row>
    <row r="98" spans="1:7" x14ac:dyDescent="0.2">
      <c r="A98" s="469"/>
      <c r="B98" s="469"/>
      <c r="C98" s="469"/>
      <c r="D98" s="626"/>
      <c r="E98" s="626"/>
      <c r="F98" s="626"/>
      <c r="G98" s="626"/>
    </row>
    <row r="99" spans="1:7" x14ac:dyDescent="0.2">
      <c r="A99" s="469"/>
      <c r="B99" s="469"/>
      <c r="C99" s="469"/>
      <c r="D99" s="626"/>
      <c r="E99" s="626"/>
      <c r="F99" s="626"/>
      <c r="G99" s="626"/>
    </row>
    <row r="100" spans="1:7" x14ac:dyDescent="0.2">
      <c r="A100" s="469"/>
      <c r="B100" s="469"/>
      <c r="C100" s="469"/>
      <c r="D100" s="626"/>
      <c r="E100" s="626"/>
      <c r="F100" s="626"/>
      <c r="G100" s="626"/>
    </row>
    <row r="101" spans="1:7" x14ac:dyDescent="0.2">
      <c r="A101" s="469"/>
      <c r="B101" s="469"/>
      <c r="C101" s="469"/>
      <c r="D101" s="626"/>
      <c r="E101" s="626"/>
      <c r="F101" s="626"/>
      <c r="G101" s="626"/>
    </row>
    <row r="102" spans="1:7" x14ac:dyDescent="0.2">
      <c r="A102" s="469"/>
      <c r="B102" s="469"/>
      <c r="C102" s="469"/>
      <c r="D102" s="626"/>
      <c r="E102" s="626"/>
      <c r="F102" s="626"/>
      <c r="G102" s="626"/>
    </row>
    <row r="103" spans="1:7" x14ac:dyDescent="0.2">
      <c r="A103" s="469"/>
      <c r="B103" s="469"/>
      <c r="C103" s="469"/>
      <c r="D103" s="626"/>
      <c r="E103" s="626"/>
      <c r="F103" s="626"/>
      <c r="G103" s="626"/>
    </row>
    <row r="104" spans="1:7" x14ac:dyDescent="0.2">
      <c r="A104" s="469"/>
      <c r="B104" s="469"/>
      <c r="C104" s="469"/>
      <c r="D104" s="626"/>
      <c r="E104" s="626"/>
      <c r="F104" s="626"/>
      <c r="G104" s="626"/>
    </row>
    <row r="105" spans="1:7" x14ac:dyDescent="0.2">
      <c r="A105" s="469"/>
      <c r="B105" s="469"/>
      <c r="C105" s="469"/>
      <c r="D105" s="626"/>
      <c r="E105" s="626"/>
      <c r="F105" s="626"/>
      <c r="G105" s="626"/>
    </row>
    <row r="106" spans="1:7" x14ac:dyDescent="0.2">
      <c r="A106" s="469"/>
      <c r="B106" s="469"/>
      <c r="C106" s="469"/>
      <c r="D106" s="626"/>
      <c r="E106" s="626"/>
      <c r="F106" s="626"/>
      <c r="G106" s="626"/>
    </row>
    <row r="107" spans="1:7" x14ac:dyDescent="0.2">
      <c r="A107" s="469"/>
      <c r="B107" s="469"/>
      <c r="C107" s="469"/>
      <c r="D107" s="626"/>
      <c r="E107" s="626"/>
      <c r="F107" s="626"/>
      <c r="G107" s="626"/>
    </row>
    <row r="108" spans="1:7" x14ac:dyDescent="0.2">
      <c r="A108" s="469"/>
      <c r="B108" s="469"/>
      <c r="C108" s="469"/>
      <c r="D108" s="626"/>
      <c r="E108" s="626"/>
      <c r="F108" s="626"/>
      <c r="G108" s="626"/>
    </row>
    <row r="109" spans="1:7" x14ac:dyDescent="0.2">
      <c r="A109" s="469"/>
      <c r="B109" s="469"/>
      <c r="C109" s="469"/>
      <c r="D109" s="626"/>
      <c r="E109" s="626"/>
      <c r="F109" s="626"/>
      <c r="G109" s="626"/>
    </row>
    <row r="110" spans="1:7" x14ac:dyDescent="0.2">
      <c r="A110" s="469"/>
      <c r="B110" s="469"/>
      <c r="C110" s="469"/>
      <c r="D110" s="626"/>
      <c r="E110" s="626"/>
      <c r="F110" s="626"/>
      <c r="G110" s="626"/>
    </row>
    <row r="111" spans="1:7" x14ac:dyDescent="0.2">
      <c r="A111" s="469"/>
      <c r="B111" s="469"/>
      <c r="C111" s="469"/>
      <c r="D111" s="626"/>
      <c r="E111" s="626"/>
      <c r="F111" s="626"/>
      <c r="G111" s="626"/>
    </row>
    <row r="112" spans="1:7" x14ac:dyDescent="0.2">
      <c r="A112" s="469"/>
      <c r="B112" s="469"/>
      <c r="C112" s="469"/>
      <c r="D112" s="626"/>
      <c r="E112" s="626"/>
      <c r="F112" s="626"/>
      <c r="G112" s="626"/>
    </row>
    <row r="113" spans="1:7" x14ac:dyDescent="0.2">
      <c r="A113" s="469"/>
      <c r="B113" s="469"/>
      <c r="C113" s="469"/>
      <c r="D113" s="626"/>
      <c r="E113" s="626"/>
      <c r="F113" s="626"/>
      <c r="G113" s="626"/>
    </row>
    <row r="114" spans="1:7" x14ac:dyDescent="0.2">
      <c r="A114" s="469"/>
      <c r="B114" s="469"/>
      <c r="C114" s="469"/>
      <c r="D114" s="626"/>
      <c r="E114" s="626"/>
      <c r="F114" s="626"/>
      <c r="G114" s="626"/>
    </row>
    <row r="115" spans="1:7" x14ac:dyDescent="0.2">
      <c r="A115" s="469"/>
      <c r="B115" s="469"/>
      <c r="C115" s="469"/>
      <c r="D115" s="626"/>
      <c r="E115" s="626"/>
      <c r="F115" s="626"/>
      <c r="G115" s="626"/>
    </row>
    <row r="116" spans="1:7" x14ac:dyDescent="0.2">
      <c r="A116" s="469"/>
      <c r="B116" s="469"/>
      <c r="C116" s="469"/>
      <c r="D116" s="626"/>
      <c r="E116" s="626"/>
      <c r="F116" s="626"/>
      <c r="G116" s="626"/>
    </row>
    <row r="117" spans="1:7" x14ac:dyDescent="0.2">
      <c r="A117" s="469"/>
      <c r="B117" s="469"/>
      <c r="C117" s="469"/>
      <c r="D117" s="626"/>
      <c r="E117" s="626"/>
      <c r="F117" s="626"/>
      <c r="G117" s="626"/>
    </row>
    <row r="118" spans="1:7" x14ac:dyDescent="0.2">
      <c r="A118" s="469"/>
      <c r="B118" s="469"/>
      <c r="C118" s="469"/>
      <c r="D118" s="626"/>
      <c r="E118" s="626"/>
      <c r="F118" s="626"/>
      <c r="G118" s="626"/>
    </row>
    <row r="119" spans="1:7" x14ac:dyDescent="0.2">
      <c r="A119" s="469"/>
      <c r="B119" s="469"/>
      <c r="C119" s="469"/>
      <c r="D119" s="626"/>
      <c r="E119" s="626"/>
      <c r="F119" s="626"/>
      <c r="G119" s="626"/>
    </row>
    <row r="120" spans="1:7" x14ac:dyDescent="0.2">
      <c r="A120" s="469"/>
      <c r="B120" s="469"/>
      <c r="C120" s="469"/>
      <c r="D120" s="626"/>
      <c r="E120" s="626"/>
      <c r="F120" s="626"/>
      <c r="G120" s="626"/>
    </row>
    <row r="121" spans="1:7" x14ac:dyDescent="0.2">
      <c r="A121" s="469"/>
      <c r="B121" s="469"/>
      <c r="C121" s="469"/>
      <c r="D121" s="626"/>
      <c r="E121" s="626"/>
      <c r="F121" s="626"/>
      <c r="G121" s="626"/>
    </row>
    <row r="122" spans="1:7" x14ac:dyDescent="0.2">
      <c r="A122" s="469"/>
      <c r="B122" s="469"/>
      <c r="C122" s="469"/>
      <c r="D122" s="626"/>
      <c r="E122" s="626"/>
      <c r="F122" s="626"/>
      <c r="G122" s="626"/>
    </row>
    <row r="123" spans="1:7" x14ac:dyDescent="0.2">
      <c r="A123" s="469"/>
      <c r="B123" s="469"/>
      <c r="C123" s="469"/>
      <c r="D123" s="626"/>
      <c r="E123" s="626"/>
      <c r="F123" s="626"/>
      <c r="G123" s="626"/>
    </row>
    <row r="124" spans="1:7" x14ac:dyDescent="0.2">
      <c r="A124" s="469"/>
      <c r="B124" s="469"/>
      <c r="C124" s="469"/>
      <c r="D124" s="626"/>
      <c r="E124" s="626"/>
      <c r="F124" s="626"/>
      <c r="G124" s="626"/>
    </row>
    <row r="125" spans="1:7" x14ac:dyDescent="0.2">
      <c r="A125" s="469"/>
      <c r="B125" s="469"/>
      <c r="C125" s="469"/>
      <c r="D125" s="626"/>
      <c r="E125" s="626"/>
      <c r="F125" s="626"/>
      <c r="G125" s="626"/>
    </row>
    <row r="126" spans="1:7" x14ac:dyDescent="0.2">
      <c r="A126" s="469"/>
      <c r="B126" s="469"/>
      <c r="C126" s="469"/>
      <c r="D126" s="626"/>
      <c r="E126" s="626"/>
      <c r="F126" s="626"/>
      <c r="G126" s="626"/>
    </row>
    <row r="127" spans="1:7" x14ac:dyDescent="0.2">
      <c r="G127" s="505"/>
    </row>
    <row r="128" spans="1:7" x14ac:dyDescent="0.2">
      <c r="G128" s="505"/>
    </row>
    <row r="129" spans="7:7" x14ac:dyDescent="0.2">
      <c r="G129" s="505"/>
    </row>
    <row r="130" spans="7:7" x14ac:dyDescent="0.2">
      <c r="G130" s="505"/>
    </row>
    <row r="131" spans="7:7" x14ac:dyDescent="0.2">
      <c r="G131" s="505"/>
    </row>
    <row r="132" spans="7:7" x14ac:dyDescent="0.2">
      <c r="G132" s="505"/>
    </row>
    <row r="133" spans="7:7" x14ac:dyDescent="0.2">
      <c r="G133" s="505"/>
    </row>
    <row r="134" spans="7:7" x14ac:dyDescent="0.2">
      <c r="G134" s="505"/>
    </row>
    <row r="135" spans="7:7" x14ac:dyDescent="0.2">
      <c r="G135" s="505"/>
    </row>
    <row r="136" spans="7:7" x14ac:dyDescent="0.2">
      <c r="G136" s="505"/>
    </row>
    <row r="137" spans="7:7" x14ac:dyDescent="0.2">
      <c r="G137" s="505"/>
    </row>
    <row r="138" spans="7:7" x14ac:dyDescent="0.2">
      <c r="G138" s="505"/>
    </row>
    <row r="139" spans="7:7" x14ac:dyDescent="0.2">
      <c r="G139" s="505"/>
    </row>
    <row r="140" spans="7:7" x14ac:dyDescent="0.2">
      <c r="G140" s="505"/>
    </row>
    <row r="141" spans="7:7" x14ac:dyDescent="0.2">
      <c r="G141" s="505"/>
    </row>
    <row r="142" spans="7:7" x14ac:dyDescent="0.2">
      <c r="G142" s="505"/>
    </row>
    <row r="143" spans="7:7" x14ac:dyDescent="0.2">
      <c r="G143" s="505"/>
    </row>
    <row r="144" spans="7:7" x14ac:dyDescent="0.2">
      <c r="G144" s="505"/>
    </row>
    <row r="145" spans="7:7" x14ac:dyDescent="0.2">
      <c r="G145" s="505"/>
    </row>
    <row r="146" spans="7:7" x14ac:dyDescent="0.2">
      <c r="G146" s="505"/>
    </row>
    <row r="147" spans="7:7" x14ac:dyDescent="0.2">
      <c r="G147" s="505"/>
    </row>
    <row r="148" spans="7:7" x14ac:dyDescent="0.2">
      <c r="G148" s="505"/>
    </row>
    <row r="149" spans="7:7" x14ac:dyDescent="0.2">
      <c r="G149" s="505"/>
    </row>
    <row r="150" spans="7:7" x14ac:dyDescent="0.2">
      <c r="G150" s="505"/>
    </row>
    <row r="151" spans="7:7" x14ac:dyDescent="0.2">
      <c r="G151" s="505"/>
    </row>
    <row r="152" spans="7:7" x14ac:dyDescent="0.2">
      <c r="G152" s="505"/>
    </row>
    <row r="153" spans="7:7" x14ac:dyDescent="0.2">
      <c r="G153" s="505"/>
    </row>
    <row r="154" spans="7:7" x14ac:dyDescent="0.2">
      <c r="G154" s="505"/>
    </row>
    <row r="155" spans="7:7" x14ac:dyDescent="0.2">
      <c r="G155" s="505"/>
    </row>
    <row r="156" spans="7:7" x14ac:dyDescent="0.2">
      <c r="G156" s="505"/>
    </row>
    <row r="157" spans="7:7" x14ac:dyDescent="0.2">
      <c r="G157" s="505"/>
    </row>
    <row r="158" spans="7:7" x14ac:dyDescent="0.2">
      <c r="G158" s="505"/>
    </row>
    <row r="159" spans="7:7" x14ac:dyDescent="0.2">
      <c r="G159" s="505"/>
    </row>
    <row r="160" spans="7:7" x14ac:dyDescent="0.2">
      <c r="G160" s="505"/>
    </row>
    <row r="161" spans="7:7" x14ac:dyDescent="0.2">
      <c r="G161" s="505"/>
    </row>
    <row r="162" spans="7:7" x14ac:dyDescent="0.2">
      <c r="G162" s="505"/>
    </row>
    <row r="163" spans="7:7" x14ac:dyDescent="0.2">
      <c r="G163" s="505"/>
    </row>
    <row r="164" spans="7:7" x14ac:dyDescent="0.2">
      <c r="G164" s="505"/>
    </row>
    <row r="165" spans="7:7" x14ac:dyDescent="0.2">
      <c r="G165" s="505"/>
    </row>
    <row r="166" spans="7:7" x14ac:dyDescent="0.2">
      <c r="G166" s="505"/>
    </row>
    <row r="167" spans="7:7" x14ac:dyDescent="0.2">
      <c r="G167" s="505"/>
    </row>
    <row r="168" spans="7:7" x14ac:dyDescent="0.2">
      <c r="G168" s="505"/>
    </row>
    <row r="169" spans="7:7" x14ac:dyDescent="0.2">
      <c r="G169" s="505"/>
    </row>
    <row r="170" spans="7:7" x14ac:dyDescent="0.2">
      <c r="G170" s="505"/>
    </row>
    <row r="171" spans="7:7" x14ac:dyDescent="0.2">
      <c r="G171" s="505"/>
    </row>
    <row r="172" spans="7:7" x14ac:dyDescent="0.2">
      <c r="G172" s="505"/>
    </row>
    <row r="173" spans="7:7" x14ac:dyDescent="0.2">
      <c r="G173" s="505"/>
    </row>
    <row r="174" spans="7:7" x14ac:dyDescent="0.2">
      <c r="G174" s="505"/>
    </row>
    <row r="175" spans="7:7" x14ac:dyDescent="0.2">
      <c r="G175" s="505"/>
    </row>
    <row r="176" spans="7:7" x14ac:dyDescent="0.2">
      <c r="G176" s="505"/>
    </row>
    <row r="177" spans="7:7" x14ac:dyDescent="0.2">
      <c r="G177" s="505"/>
    </row>
    <row r="178" spans="7:7" x14ac:dyDescent="0.2">
      <c r="G178" s="505"/>
    </row>
    <row r="179" spans="7:7" x14ac:dyDescent="0.2">
      <c r="G179" s="505"/>
    </row>
    <row r="180" spans="7:7" x14ac:dyDescent="0.2">
      <c r="G180" s="505"/>
    </row>
    <row r="181" spans="7:7" x14ac:dyDescent="0.2">
      <c r="G181" s="505"/>
    </row>
    <row r="182" spans="7:7" x14ac:dyDescent="0.2">
      <c r="G182" s="505"/>
    </row>
    <row r="183" spans="7:7" x14ac:dyDescent="0.2">
      <c r="G183" s="505"/>
    </row>
    <row r="184" spans="7:7" x14ac:dyDescent="0.2">
      <c r="G184" s="505"/>
    </row>
    <row r="185" spans="7:7" x14ac:dyDescent="0.2">
      <c r="G185" s="505"/>
    </row>
    <row r="186" spans="7:7" x14ac:dyDescent="0.2">
      <c r="G186" s="505"/>
    </row>
    <row r="187" spans="7:7" x14ac:dyDescent="0.2">
      <c r="G187" s="505"/>
    </row>
    <row r="188" spans="7:7" x14ac:dyDescent="0.2">
      <c r="G188" s="505"/>
    </row>
    <row r="189" spans="7:7" x14ac:dyDescent="0.2">
      <c r="G189" s="505"/>
    </row>
    <row r="190" spans="7:7" x14ac:dyDescent="0.2">
      <c r="G190" s="505"/>
    </row>
    <row r="191" spans="7:7" x14ac:dyDescent="0.2">
      <c r="G191" s="505"/>
    </row>
    <row r="192" spans="7:7" x14ac:dyDescent="0.2">
      <c r="G192" s="505"/>
    </row>
    <row r="193" spans="7:7" x14ac:dyDescent="0.2">
      <c r="G193" s="505"/>
    </row>
    <row r="194" spans="7:7" x14ac:dyDescent="0.2">
      <c r="G194" s="505"/>
    </row>
    <row r="195" spans="7:7" x14ac:dyDescent="0.2">
      <c r="G195" s="505"/>
    </row>
    <row r="196" spans="7:7" x14ac:dyDescent="0.2">
      <c r="G196" s="505"/>
    </row>
    <row r="197" spans="7:7" x14ac:dyDescent="0.2">
      <c r="G197" s="505"/>
    </row>
    <row r="198" spans="7:7" x14ac:dyDescent="0.2">
      <c r="G198" s="505"/>
    </row>
    <row r="199" spans="7:7" x14ac:dyDescent="0.2">
      <c r="G199" s="505"/>
    </row>
    <row r="200" spans="7:7" x14ac:dyDescent="0.2">
      <c r="G200" s="505"/>
    </row>
    <row r="201" spans="7:7" x14ac:dyDescent="0.2">
      <c r="G201" s="505"/>
    </row>
    <row r="202" spans="7:7" x14ac:dyDescent="0.2">
      <c r="G202" s="505"/>
    </row>
    <row r="203" spans="7:7" x14ac:dyDescent="0.2">
      <c r="G203" s="505"/>
    </row>
    <row r="204" spans="7:7" x14ac:dyDescent="0.2">
      <c r="G204" s="505"/>
    </row>
    <row r="205" spans="7:7" x14ac:dyDescent="0.2">
      <c r="G205" s="505"/>
    </row>
    <row r="206" spans="7:7" x14ac:dyDescent="0.2">
      <c r="G206" s="505"/>
    </row>
    <row r="207" spans="7:7" x14ac:dyDescent="0.2">
      <c r="G207" s="505"/>
    </row>
    <row r="208" spans="7:7" x14ac:dyDescent="0.2">
      <c r="G208" s="505"/>
    </row>
    <row r="209" spans="7:7" x14ac:dyDescent="0.2">
      <c r="G209" s="505"/>
    </row>
    <row r="210" spans="7:7" x14ac:dyDescent="0.2">
      <c r="G210" s="505"/>
    </row>
    <row r="211" spans="7:7" x14ac:dyDescent="0.2">
      <c r="G211" s="505"/>
    </row>
    <row r="212" spans="7:7" x14ac:dyDescent="0.2">
      <c r="G212" s="505"/>
    </row>
    <row r="213" spans="7:7" x14ac:dyDescent="0.2">
      <c r="G213" s="505"/>
    </row>
    <row r="214" spans="7:7" x14ac:dyDescent="0.2">
      <c r="G214" s="505"/>
    </row>
    <row r="215" spans="7:7" x14ac:dyDescent="0.2">
      <c r="G215" s="505"/>
    </row>
    <row r="216" spans="7:7" x14ac:dyDescent="0.2">
      <c r="G216" s="505"/>
    </row>
    <row r="217" spans="7:7" x14ac:dyDescent="0.2">
      <c r="G217" s="505"/>
    </row>
    <row r="218" spans="7:7" x14ac:dyDescent="0.2">
      <c r="G218" s="505"/>
    </row>
    <row r="219" spans="7:7" x14ac:dyDescent="0.2">
      <c r="G219" s="505"/>
    </row>
    <row r="220" spans="7:7" x14ac:dyDescent="0.2">
      <c r="G220" s="505"/>
    </row>
    <row r="221" spans="7:7" x14ac:dyDescent="0.2">
      <c r="G221" s="505"/>
    </row>
    <row r="222" spans="7:7" x14ac:dyDescent="0.2">
      <c r="G222" s="505"/>
    </row>
    <row r="223" spans="7:7" x14ac:dyDescent="0.2">
      <c r="G223" s="505"/>
    </row>
    <row r="224" spans="7:7" x14ac:dyDescent="0.2">
      <c r="G224" s="505"/>
    </row>
    <row r="225" spans="7:7" x14ac:dyDescent="0.2">
      <c r="G225" s="505"/>
    </row>
    <row r="226" spans="7:7" x14ac:dyDescent="0.2">
      <c r="G226" s="505"/>
    </row>
    <row r="227" spans="7:7" x14ac:dyDescent="0.2">
      <c r="G227" s="505"/>
    </row>
    <row r="228" spans="7:7" x14ac:dyDescent="0.2">
      <c r="G228" s="505"/>
    </row>
    <row r="229" spans="7:7" x14ac:dyDescent="0.2">
      <c r="G229" s="505"/>
    </row>
    <row r="230" spans="7:7" x14ac:dyDescent="0.2">
      <c r="G230" s="505"/>
    </row>
    <row r="231" spans="7:7" x14ac:dyDescent="0.2">
      <c r="G231" s="505"/>
    </row>
    <row r="232" spans="7:7" x14ac:dyDescent="0.2">
      <c r="G232" s="505"/>
    </row>
    <row r="233" spans="7:7" x14ac:dyDescent="0.2">
      <c r="G233" s="505"/>
    </row>
    <row r="234" spans="7:7" x14ac:dyDescent="0.2">
      <c r="G234" s="505"/>
    </row>
    <row r="235" spans="7:7" x14ac:dyDescent="0.2">
      <c r="G235" s="505"/>
    </row>
    <row r="236" spans="7:7" x14ac:dyDescent="0.2">
      <c r="G236" s="505"/>
    </row>
    <row r="237" spans="7:7" x14ac:dyDescent="0.2">
      <c r="G237" s="505"/>
    </row>
    <row r="238" spans="7:7" x14ac:dyDescent="0.2">
      <c r="G238" s="505"/>
    </row>
    <row r="239" spans="7:7" x14ac:dyDescent="0.2">
      <c r="G239" s="505"/>
    </row>
    <row r="240" spans="7:7" x14ac:dyDescent="0.2">
      <c r="G240" s="505"/>
    </row>
    <row r="241" spans="7:7" x14ac:dyDescent="0.2">
      <c r="G241" s="505"/>
    </row>
    <row r="242" spans="7:7" x14ac:dyDescent="0.2">
      <c r="G242" s="505"/>
    </row>
    <row r="243" spans="7:7" x14ac:dyDescent="0.2">
      <c r="G243" s="505"/>
    </row>
    <row r="244" spans="7:7" x14ac:dyDescent="0.2">
      <c r="G244" s="505"/>
    </row>
    <row r="245" spans="7:7" x14ac:dyDescent="0.2">
      <c r="G245" s="505"/>
    </row>
    <row r="246" spans="7:7" x14ac:dyDescent="0.2">
      <c r="G246" s="505"/>
    </row>
    <row r="247" spans="7:7" x14ac:dyDescent="0.2">
      <c r="G247" s="505"/>
    </row>
    <row r="248" spans="7:7" x14ac:dyDescent="0.2">
      <c r="G248" s="505"/>
    </row>
    <row r="249" spans="7:7" x14ac:dyDescent="0.2">
      <c r="G249" s="505"/>
    </row>
    <row r="250" spans="7:7" x14ac:dyDescent="0.2">
      <c r="G250" s="505"/>
    </row>
    <row r="251" spans="7:7" x14ac:dyDescent="0.2">
      <c r="G251" s="505"/>
    </row>
    <row r="252" spans="7:7" x14ac:dyDescent="0.2">
      <c r="G252" s="505"/>
    </row>
    <row r="253" spans="7:7" x14ac:dyDescent="0.2">
      <c r="G253" s="505"/>
    </row>
    <row r="254" spans="7:7" x14ac:dyDescent="0.2">
      <c r="G254" s="505"/>
    </row>
    <row r="255" spans="7:7" x14ac:dyDescent="0.2">
      <c r="G255" s="505"/>
    </row>
    <row r="256" spans="7:7" x14ac:dyDescent="0.2">
      <c r="G256" s="505"/>
    </row>
    <row r="257" spans="7:7" x14ac:dyDescent="0.2">
      <c r="G257" s="505"/>
    </row>
    <row r="258" spans="7:7" x14ac:dyDescent="0.2">
      <c r="G258" s="505"/>
    </row>
    <row r="259" spans="7:7" x14ac:dyDescent="0.2">
      <c r="G259" s="505"/>
    </row>
    <row r="260" spans="7:7" x14ac:dyDescent="0.2">
      <c r="G260" s="505"/>
    </row>
    <row r="261" spans="7:7" x14ac:dyDescent="0.2">
      <c r="G261" s="505"/>
    </row>
    <row r="262" spans="7:7" x14ac:dyDescent="0.2">
      <c r="G262" s="505"/>
    </row>
    <row r="263" spans="7:7" x14ac:dyDescent="0.2">
      <c r="G263" s="505"/>
    </row>
    <row r="264" spans="7:7" x14ac:dyDescent="0.2">
      <c r="G264" s="505"/>
    </row>
    <row r="265" spans="7:7" x14ac:dyDescent="0.2">
      <c r="G265" s="505"/>
    </row>
    <row r="266" spans="7:7" x14ac:dyDescent="0.2">
      <c r="G266" s="505"/>
    </row>
    <row r="267" spans="7:7" x14ac:dyDescent="0.2">
      <c r="G267" s="505"/>
    </row>
    <row r="268" spans="7:7" x14ac:dyDescent="0.2">
      <c r="G268" s="505"/>
    </row>
    <row r="269" spans="7:7" x14ac:dyDescent="0.2">
      <c r="G269" s="505"/>
    </row>
    <row r="270" spans="7:7" x14ac:dyDescent="0.2">
      <c r="G270" s="505"/>
    </row>
    <row r="271" spans="7:7" x14ac:dyDescent="0.2">
      <c r="G271" s="505"/>
    </row>
    <row r="272" spans="7:7" x14ac:dyDescent="0.2">
      <c r="G272" s="505"/>
    </row>
    <row r="273" spans="7:7" x14ac:dyDescent="0.2">
      <c r="G273" s="505"/>
    </row>
    <row r="274" spans="7:7" x14ac:dyDescent="0.2">
      <c r="G274" s="505"/>
    </row>
    <row r="275" spans="7:7" x14ac:dyDescent="0.2">
      <c r="G275" s="505"/>
    </row>
    <row r="276" spans="7:7" x14ac:dyDescent="0.2">
      <c r="G276" s="505"/>
    </row>
    <row r="277" spans="7:7" x14ac:dyDescent="0.2">
      <c r="G277" s="505"/>
    </row>
    <row r="278" spans="7:7" x14ac:dyDescent="0.2">
      <c r="G278" s="505"/>
    </row>
    <row r="279" spans="7:7" x14ac:dyDescent="0.2">
      <c r="G279" s="505"/>
    </row>
    <row r="280" spans="7:7" x14ac:dyDescent="0.2">
      <c r="G280" s="505"/>
    </row>
    <row r="281" spans="7:7" x14ac:dyDescent="0.2">
      <c r="G281" s="505"/>
    </row>
    <row r="282" spans="7:7" x14ac:dyDescent="0.2">
      <c r="G282" s="505"/>
    </row>
    <row r="283" spans="7:7" x14ac:dyDescent="0.2">
      <c r="G283" s="505"/>
    </row>
    <row r="284" spans="7:7" x14ac:dyDescent="0.2">
      <c r="G284" s="505"/>
    </row>
    <row r="285" spans="7:7" x14ac:dyDescent="0.2">
      <c r="G285" s="505"/>
    </row>
    <row r="286" spans="7:7" x14ac:dyDescent="0.2">
      <c r="G286" s="505"/>
    </row>
    <row r="287" spans="7:7" x14ac:dyDescent="0.2">
      <c r="G287" s="505"/>
    </row>
    <row r="288" spans="7:7" x14ac:dyDescent="0.2">
      <c r="G288" s="505"/>
    </row>
    <row r="289" spans="7:7" x14ac:dyDescent="0.2">
      <c r="G289" s="505"/>
    </row>
    <row r="290" spans="7:7" x14ac:dyDescent="0.2">
      <c r="G290" s="505"/>
    </row>
    <row r="291" spans="7:7" x14ac:dyDescent="0.2">
      <c r="G291" s="505"/>
    </row>
    <row r="292" spans="7:7" x14ac:dyDescent="0.2">
      <c r="G292" s="505"/>
    </row>
    <row r="293" spans="7:7" x14ac:dyDescent="0.2">
      <c r="G293" s="505"/>
    </row>
    <row r="294" spans="7:7" x14ac:dyDescent="0.2">
      <c r="G294" s="505"/>
    </row>
    <row r="295" spans="7:7" x14ac:dyDescent="0.2">
      <c r="G295" s="505"/>
    </row>
    <row r="296" spans="7:7" x14ac:dyDescent="0.2">
      <c r="G296" s="505"/>
    </row>
    <row r="297" spans="7:7" x14ac:dyDescent="0.2">
      <c r="G297" s="505"/>
    </row>
    <row r="298" spans="7:7" x14ac:dyDescent="0.2">
      <c r="G298" s="505"/>
    </row>
  </sheetData>
  <sheetProtection algorithmName="SHA-512" hashValue="zlVlgBCC7OZdQdpzlMiB4iZ1ARJ82PmkTw4HunbkG/t9qHZge0MD5Vu6NJviugydu7/4GV3nNeYrRjR/zz4dyA==" saltValue="5PCJ7zLE1id1oHjz/1Lf9g==" spinCount="100000" sheet="1" objects="1" scenarios="1"/>
  <mergeCells count="4">
    <mergeCell ref="B5:C5"/>
    <mergeCell ref="B6:C6"/>
    <mergeCell ref="D3:F3"/>
    <mergeCell ref="A34:I34"/>
  </mergeCells>
  <phoneticPr fontId="0" type="noConversion"/>
  <printOptions horizontalCentered="1"/>
  <pageMargins left="0.15748031496063" right="0.15748031496063" top="0.511811023622047" bottom="0.98425196850393704" header="0.511811023622047" footer="0.511811023622047"/>
  <pageSetup scale="67" orientation="landscape" r:id="rId1"/>
  <headerFooter alignWithMargins="0">
    <oddFooter>&amp;LHawai'i DOH
PFASs November 2024&amp;C&amp;8Page &amp;P of &amp;N&amp;R&amp;A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29"/>
    <pageSetUpPr fitToPage="1"/>
  </sheetPr>
  <dimension ref="A1:O120"/>
  <sheetViews>
    <sheetView zoomScaleNormal="100" workbookViewId="0">
      <selection activeCell="I15" sqref="I15"/>
    </sheetView>
  </sheetViews>
  <sheetFormatPr defaultColWidth="9.140625" defaultRowHeight="12.75" x14ac:dyDescent="0.2"/>
  <cols>
    <col min="1" max="1" width="50.5703125" style="504" customWidth="1"/>
    <col min="2" max="3" width="3.7109375" style="504" customWidth="1"/>
    <col min="4" max="4" width="9.7109375" style="515" customWidth="1"/>
    <col min="5" max="5" width="11.85546875" style="515" customWidth="1"/>
    <col min="6" max="6" width="10.7109375" style="515" customWidth="1"/>
    <col min="7" max="7" width="11.7109375" style="515" customWidth="1"/>
    <col min="8" max="8" width="15.28515625" style="515" customWidth="1"/>
    <col min="9" max="9" width="10.7109375" style="515" customWidth="1"/>
    <col min="10" max="10" width="11.7109375" style="515" customWidth="1"/>
    <col min="11" max="11" width="15.28515625" style="515" customWidth="1"/>
    <col min="12" max="12" width="11.7109375" style="504" customWidth="1"/>
    <col min="13" max="14" width="9.140625" style="627"/>
    <col min="15" max="16384" width="9.140625" style="470"/>
  </cols>
  <sheetData>
    <row r="1" spans="1:15" ht="31.5" x14ac:dyDescent="0.25">
      <c r="A1" s="471" t="s">
        <v>602</v>
      </c>
      <c r="B1" s="780"/>
      <c r="C1" s="473"/>
      <c r="D1" s="788"/>
      <c r="E1" s="472"/>
      <c r="F1" s="472"/>
      <c r="G1" s="472"/>
      <c r="H1" s="472"/>
      <c r="I1" s="472"/>
      <c r="J1" s="472"/>
      <c r="K1" s="472"/>
      <c r="L1" s="531"/>
      <c r="M1" s="469"/>
      <c r="N1" s="469"/>
    </row>
    <row r="2" spans="1:15" ht="13.5" thickBot="1" x14ac:dyDescent="0.25">
      <c r="M2" s="469"/>
      <c r="N2" s="469"/>
    </row>
    <row r="3" spans="1:15" ht="14.25" thickTop="1" thickBot="1" x14ac:dyDescent="0.25">
      <c r="A3" s="774"/>
      <c r="B3" s="790"/>
      <c r="C3" s="790"/>
      <c r="D3" s="1244" t="s">
        <v>603</v>
      </c>
      <c r="E3" s="1245"/>
      <c r="F3" s="1245"/>
      <c r="G3" s="1245"/>
      <c r="H3" s="1245"/>
      <c r="I3" s="1245"/>
      <c r="J3" s="1245"/>
      <c r="K3" s="1245"/>
      <c r="L3" s="1564" t="s">
        <v>604</v>
      </c>
      <c r="M3" s="469"/>
      <c r="N3" s="469"/>
    </row>
    <row r="4" spans="1:15" ht="13.5" thickBot="1" x14ac:dyDescent="0.25">
      <c r="A4" s="1246"/>
      <c r="B4" s="1247"/>
      <c r="C4" s="1248"/>
      <c r="D4" s="1249" t="s">
        <v>605</v>
      </c>
      <c r="E4" s="1250" t="s">
        <v>606</v>
      </c>
      <c r="F4" s="1251" t="s">
        <v>607</v>
      </c>
      <c r="G4" s="1252"/>
      <c r="H4" s="1253"/>
      <c r="I4" s="1254" t="s">
        <v>608</v>
      </c>
      <c r="J4" s="1252"/>
      <c r="K4" s="1255"/>
      <c r="L4" s="1565"/>
      <c r="M4" s="469"/>
      <c r="N4" s="469"/>
    </row>
    <row r="5" spans="1:15" ht="11.25" customHeight="1" thickBot="1" x14ac:dyDescent="0.25">
      <c r="A5" s="794"/>
      <c r="D5" s="975" t="s">
        <v>609</v>
      </c>
      <c r="E5" s="1256" t="s">
        <v>610</v>
      </c>
      <c r="F5" s="733" t="s">
        <v>584</v>
      </c>
      <c r="G5" s="568" t="s">
        <v>460</v>
      </c>
      <c r="H5" s="1250" t="s">
        <v>460</v>
      </c>
      <c r="I5" s="733" t="s">
        <v>584</v>
      </c>
      <c r="J5" s="1249" t="s">
        <v>460</v>
      </c>
      <c r="K5" s="568" t="s">
        <v>460</v>
      </c>
      <c r="L5" s="1565"/>
      <c r="M5" s="469"/>
      <c r="N5" s="469"/>
    </row>
    <row r="6" spans="1:15" x14ac:dyDescent="0.2">
      <c r="A6" s="794"/>
      <c r="B6" s="1566" t="s">
        <v>562</v>
      </c>
      <c r="C6" s="1567"/>
      <c r="D6" s="975" t="s">
        <v>611</v>
      </c>
      <c r="E6" s="1256" t="s">
        <v>612</v>
      </c>
      <c r="F6" s="1257" t="s">
        <v>587</v>
      </c>
      <c r="G6" s="568" t="s">
        <v>613</v>
      </c>
      <c r="H6" s="1256" t="s">
        <v>614</v>
      </c>
      <c r="I6" s="1257" t="s">
        <v>589</v>
      </c>
      <c r="J6" s="975" t="s">
        <v>613</v>
      </c>
      <c r="K6" s="568" t="s">
        <v>614</v>
      </c>
      <c r="L6" s="1565"/>
      <c r="M6" s="469"/>
      <c r="N6" s="469"/>
    </row>
    <row r="7" spans="1:15" ht="14.25" customHeight="1" thickBot="1" x14ac:dyDescent="0.25">
      <c r="A7" s="807" t="s">
        <v>469</v>
      </c>
      <c r="B7" s="1559" t="s">
        <v>566</v>
      </c>
      <c r="C7" s="1568"/>
      <c r="D7" s="1258" t="s">
        <v>615</v>
      </c>
      <c r="E7" s="1259" t="s">
        <v>590</v>
      </c>
      <c r="F7" s="1260" t="s">
        <v>590</v>
      </c>
      <c r="G7" s="1261" t="s">
        <v>590</v>
      </c>
      <c r="H7" s="1259" t="s">
        <v>590</v>
      </c>
      <c r="I7" s="1260" t="s">
        <v>590</v>
      </c>
      <c r="J7" s="1258" t="s">
        <v>590</v>
      </c>
      <c r="K7" s="1261" t="s">
        <v>590</v>
      </c>
      <c r="L7" s="1262" t="s">
        <v>590</v>
      </c>
      <c r="M7" s="469"/>
      <c r="N7" s="469"/>
    </row>
    <row r="8" spans="1:15" ht="12" customHeight="1" x14ac:dyDescent="0.2">
      <c r="A8" s="490" t="s">
        <v>472</v>
      </c>
      <c r="B8" s="763" t="s">
        <v>895</v>
      </c>
      <c r="C8" s="776" t="s">
        <v>875</v>
      </c>
      <c r="D8" s="542" t="s">
        <v>551</v>
      </c>
      <c r="E8" s="495" t="s">
        <v>551</v>
      </c>
      <c r="F8" s="491" t="s">
        <v>550</v>
      </c>
      <c r="G8" s="1263" t="s">
        <v>240</v>
      </c>
      <c r="H8" s="1263" t="s">
        <v>240</v>
      </c>
      <c r="I8" s="491" t="s">
        <v>550</v>
      </c>
      <c r="J8" s="1263" t="s">
        <v>240</v>
      </c>
      <c r="K8" s="1263" t="s">
        <v>240</v>
      </c>
      <c r="L8" s="1264" t="s">
        <v>240</v>
      </c>
      <c r="M8" s="469"/>
      <c r="N8" s="626"/>
      <c r="O8" s="505"/>
    </row>
    <row r="9" spans="1:15" ht="12" customHeight="1" x14ac:dyDescent="0.2">
      <c r="A9" s="497" t="s">
        <v>473</v>
      </c>
      <c r="B9" s="765" t="s">
        <v>895</v>
      </c>
      <c r="C9" s="777" t="s">
        <v>875</v>
      </c>
      <c r="D9" s="547" t="s">
        <v>551</v>
      </c>
      <c r="E9" s="502" t="s">
        <v>551</v>
      </c>
      <c r="F9" s="498" t="s">
        <v>550</v>
      </c>
      <c r="G9" s="1079" t="s">
        <v>240</v>
      </c>
      <c r="H9" s="1079" t="s">
        <v>240</v>
      </c>
      <c r="I9" s="498" t="s">
        <v>550</v>
      </c>
      <c r="J9" s="1079" t="s">
        <v>240</v>
      </c>
      <c r="K9" s="1079" t="s">
        <v>240</v>
      </c>
      <c r="L9" s="1265" t="s">
        <v>240</v>
      </c>
      <c r="M9" s="469"/>
      <c r="N9" s="626"/>
      <c r="O9" s="505"/>
    </row>
    <row r="10" spans="1:15" ht="12" customHeight="1" x14ac:dyDescent="0.2">
      <c r="A10" s="497" t="s">
        <v>474</v>
      </c>
      <c r="B10" s="765" t="s">
        <v>895</v>
      </c>
      <c r="C10" s="777" t="s">
        <v>875</v>
      </c>
      <c r="D10" s="547" t="s">
        <v>551</v>
      </c>
      <c r="E10" s="502" t="s">
        <v>551</v>
      </c>
      <c r="F10" s="498" t="s">
        <v>550</v>
      </c>
      <c r="G10" s="1079" t="s">
        <v>240</v>
      </c>
      <c r="H10" s="1079" t="s">
        <v>240</v>
      </c>
      <c r="I10" s="498" t="s">
        <v>550</v>
      </c>
      <c r="J10" s="1079" t="s">
        <v>240</v>
      </c>
      <c r="K10" s="1079" t="s">
        <v>240</v>
      </c>
      <c r="L10" s="1265" t="s">
        <v>240</v>
      </c>
      <c r="M10" s="469"/>
      <c r="N10" s="626"/>
      <c r="O10" s="505"/>
    </row>
    <row r="11" spans="1:15" ht="12" customHeight="1" x14ac:dyDescent="0.2">
      <c r="A11" s="497" t="s">
        <v>475</v>
      </c>
      <c r="B11" s="765" t="s">
        <v>895</v>
      </c>
      <c r="C11" s="777" t="s">
        <v>875</v>
      </c>
      <c r="D11" s="547" t="s">
        <v>551</v>
      </c>
      <c r="E11" s="502" t="s">
        <v>551</v>
      </c>
      <c r="F11" s="498" t="s">
        <v>550</v>
      </c>
      <c r="G11" s="1079" t="s">
        <v>240</v>
      </c>
      <c r="H11" s="1079" t="s">
        <v>240</v>
      </c>
      <c r="I11" s="498" t="s">
        <v>550</v>
      </c>
      <c r="J11" s="1079" t="s">
        <v>240</v>
      </c>
      <c r="K11" s="1079" t="s">
        <v>240</v>
      </c>
      <c r="L11" s="1265" t="s">
        <v>240</v>
      </c>
      <c r="M11" s="469"/>
      <c r="N11" s="626"/>
      <c r="O11" s="505"/>
    </row>
    <row r="12" spans="1:15" ht="12" customHeight="1" x14ac:dyDescent="0.2">
      <c r="A12" s="497" t="s">
        <v>476</v>
      </c>
      <c r="B12" s="765" t="s">
        <v>895</v>
      </c>
      <c r="C12" s="777" t="s">
        <v>875</v>
      </c>
      <c r="D12" s="547" t="s">
        <v>551</v>
      </c>
      <c r="E12" s="502" t="s">
        <v>551</v>
      </c>
      <c r="F12" s="498" t="s">
        <v>550</v>
      </c>
      <c r="G12" s="1079" t="s">
        <v>240</v>
      </c>
      <c r="H12" s="1079" t="s">
        <v>240</v>
      </c>
      <c r="I12" s="498" t="s">
        <v>550</v>
      </c>
      <c r="J12" s="1079" t="s">
        <v>240</v>
      </c>
      <c r="K12" s="1079" t="s">
        <v>240</v>
      </c>
      <c r="L12" s="1265" t="s">
        <v>240</v>
      </c>
      <c r="M12" s="469"/>
      <c r="N12" s="626"/>
      <c r="O12" s="505"/>
    </row>
    <row r="13" spans="1:15" ht="12" customHeight="1" x14ac:dyDescent="0.2">
      <c r="A13" s="497" t="s">
        <v>477</v>
      </c>
      <c r="B13" s="765" t="s">
        <v>895</v>
      </c>
      <c r="C13" s="777" t="s">
        <v>875</v>
      </c>
      <c r="D13" s="547" t="s">
        <v>551</v>
      </c>
      <c r="E13" s="502" t="s">
        <v>551</v>
      </c>
      <c r="F13" s="498" t="s">
        <v>550</v>
      </c>
      <c r="G13" s="1079" t="s">
        <v>240</v>
      </c>
      <c r="H13" s="1079" t="s">
        <v>240</v>
      </c>
      <c r="I13" s="498" t="s">
        <v>550</v>
      </c>
      <c r="J13" s="1079" t="s">
        <v>240</v>
      </c>
      <c r="K13" s="1079" t="s">
        <v>240</v>
      </c>
      <c r="L13" s="1265" t="s">
        <v>240</v>
      </c>
      <c r="M13" s="469"/>
      <c r="N13" s="626"/>
      <c r="O13" s="505"/>
    </row>
    <row r="14" spans="1:15" ht="12" customHeight="1" x14ac:dyDescent="0.2">
      <c r="A14" s="497" t="s">
        <v>200</v>
      </c>
      <c r="B14" s="765" t="s">
        <v>902</v>
      </c>
      <c r="C14" s="777" t="s">
        <v>903</v>
      </c>
      <c r="D14" s="547">
        <v>0</v>
      </c>
      <c r="E14" s="502">
        <v>63</v>
      </c>
      <c r="F14" s="498">
        <v>65.7</v>
      </c>
      <c r="G14" s="1079" t="s">
        <v>240</v>
      </c>
      <c r="H14" s="1079">
        <v>65.7</v>
      </c>
      <c r="I14" s="498">
        <v>275.94000000000005</v>
      </c>
      <c r="J14" s="1079" t="s">
        <v>240</v>
      </c>
      <c r="K14" s="1079">
        <v>275.94000000000005</v>
      </c>
      <c r="L14" s="1265" t="s">
        <v>240</v>
      </c>
      <c r="M14" s="469"/>
      <c r="N14" s="626"/>
      <c r="O14" s="505"/>
    </row>
    <row r="15" spans="1:15" ht="12" customHeight="1" x14ac:dyDescent="0.2">
      <c r="A15" s="497" t="s">
        <v>478</v>
      </c>
      <c r="B15" s="765" t="s">
        <v>902</v>
      </c>
      <c r="C15" s="777" t="s">
        <v>903</v>
      </c>
      <c r="D15" s="547">
        <v>0</v>
      </c>
      <c r="E15" s="502">
        <v>1.75</v>
      </c>
      <c r="F15" s="498">
        <v>1.825</v>
      </c>
      <c r="G15" s="1079" t="s">
        <v>240</v>
      </c>
      <c r="H15" s="1079">
        <v>1.825</v>
      </c>
      <c r="I15" s="498">
        <v>7.6650000000000018</v>
      </c>
      <c r="J15" s="1079" t="s">
        <v>240</v>
      </c>
      <c r="K15" s="1079">
        <v>7.6650000000000018</v>
      </c>
      <c r="L15" s="1265" t="s">
        <v>240</v>
      </c>
      <c r="M15" s="469"/>
      <c r="N15" s="626"/>
      <c r="O15" s="505"/>
    </row>
    <row r="16" spans="1:15" ht="12" customHeight="1" x14ac:dyDescent="0.2">
      <c r="A16" s="497" t="s">
        <v>479</v>
      </c>
      <c r="B16" s="765" t="s">
        <v>906</v>
      </c>
      <c r="C16" s="777" t="s">
        <v>903</v>
      </c>
      <c r="D16" s="547">
        <v>0</v>
      </c>
      <c r="E16" s="502">
        <v>10</v>
      </c>
      <c r="F16" s="498">
        <v>10.428571428571429</v>
      </c>
      <c r="G16" s="1079" t="s">
        <v>240</v>
      </c>
      <c r="H16" s="1079">
        <v>10.428571428571429</v>
      </c>
      <c r="I16" s="498">
        <v>43.800000000000004</v>
      </c>
      <c r="J16" s="1079" t="s">
        <v>240</v>
      </c>
      <c r="K16" s="1079">
        <v>43.800000000000004</v>
      </c>
      <c r="L16" s="1265" t="s">
        <v>240</v>
      </c>
      <c r="M16" s="469"/>
      <c r="N16" s="626"/>
      <c r="O16" s="505"/>
    </row>
    <row r="17" spans="1:15" ht="12" customHeight="1" x14ac:dyDescent="0.2">
      <c r="A17" s="497" t="s">
        <v>480</v>
      </c>
      <c r="B17" s="765" t="s">
        <v>906</v>
      </c>
      <c r="C17" s="777" t="s">
        <v>903</v>
      </c>
      <c r="D17" s="547">
        <v>0</v>
      </c>
      <c r="E17" s="502">
        <v>1.4</v>
      </c>
      <c r="F17" s="498">
        <v>1.46</v>
      </c>
      <c r="G17" s="1079" t="s">
        <v>240</v>
      </c>
      <c r="H17" s="1079">
        <v>1.46</v>
      </c>
      <c r="I17" s="498">
        <v>6.1320000000000014</v>
      </c>
      <c r="J17" s="1079" t="s">
        <v>240</v>
      </c>
      <c r="K17" s="1079">
        <v>6.1320000000000014</v>
      </c>
      <c r="L17" s="1265" t="s">
        <v>240</v>
      </c>
      <c r="M17" s="469"/>
      <c r="N17" s="626"/>
      <c r="O17" s="505"/>
    </row>
    <row r="18" spans="1:15" ht="12" customHeight="1" x14ac:dyDescent="0.2">
      <c r="A18" s="497" t="s">
        <v>481</v>
      </c>
      <c r="B18" s="765" t="s">
        <v>906</v>
      </c>
      <c r="C18" s="777" t="s">
        <v>903</v>
      </c>
      <c r="D18" s="547">
        <v>0</v>
      </c>
      <c r="E18" s="502">
        <v>1.75</v>
      </c>
      <c r="F18" s="498">
        <v>1.825</v>
      </c>
      <c r="G18" s="1079" t="s">
        <v>240</v>
      </c>
      <c r="H18" s="1079">
        <v>1.825</v>
      </c>
      <c r="I18" s="498">
        <v>7.6650000000000018</v>
      </c>
      <c r="J18" s="1079" t="s">
        <v>240</v>
      </c>
      <c r="K18" s="1079">
        <v>7.6650000000000018</v>
      </c>
      <c r="L18" s="1265" t="s">
        <v>240</v>
      </c>
      <c r="M18" s="469"/>
      <c r="N18" s="626"/>
      <c r="O18" s="505"/>
    </row>
    <row r="19" spans="1:15" ht="12" customHeight="1" x14ac:dyDescent="0.2">
      <c r="A19" s="497" t="s">
        <v>482</v>
      </c>
      <c r="B19" s="765" t="s">
        <v>895</v>
      </c>
      <c r="C19" s="777" t="s">
        <v>875</v>
      </c>
      <c r="D19" s="547" t="s">
        <v>551</v>
      </c>
      <c r="E19" s="502" t="s">
        <v>551</v>
      </c>
      <c r="F19" s="498" t="s">
        <v>550</v>
      </c>
      <c r="G19" s="1079" t="s">
        <v>240</v>
      </c>
      <c r="H19" s="1079" t="s">
        <v>240</v>
      </c>
      <c r="I19" s="498" t="s">
        <v>550</v>
      </c>
      <c r="J19" s="1079" t="s">
        <v>240</v>
      </c>
      <c r="K19" s="1079" t="s">
        <v>240</v>
      </c>
      <c r="L19" s="1265" t="s">
        <v>240</v>
      </c>
      <c r="M19" s="469"/>
      <c r="N19" s="626"/>
      <c r="O19" s="505"/>
    </row>
    <row r="20" spans="1:15" ht="12" customHeight="1" x14ac:dyDescent="0.2">
      <c r="A20" s="497" t="s">
        <v>483</v>
      </c>
      <c r="B20" s="765" t="s">
        <v>895</v>
      </c>
      <c r="C20" s="777" t="s">
        <v>875</v>
      </c>
      <c r="D20" s="547" t="s">
        <v>551</v>
      </c>
      <c r="E20" s="502" t="s">
        <v>551</v>
      </c>
      <c r="F20" s="498" t="s">
        <v>550</v>
      </c>
      <c r="G20" s="1079" t="s">
        <v>240</v>
      </c>
      <c r="H20" s="1079" t="s">
        <v>240</v>
      </c>
      <c r="I20" s="498" t="s">
        <v>550</v>
      </c>
      <c r="J20" s="1079" t="s">
        <v>240</v>
      </c>
      <c r="K20" s="1079" t="s">
        <v>240</v>
      </c>
      <c r="L20" s="1265" t="s">
        <v>240</v>
      </c>
      <c r="M20" s="469"/>
      <c r="N20" s="626"/>
      <c r="O20" s="505"/>
    </row>
    <row r="21" spans="1:15" ht="12" customHeight="1" x14ac:dyDescent="0.2">
      <c r="A21" s="497" t="s">
        <v>484</v>
      </c>
      <c r="B21" s="765" t="s">
        <v>895</v>
      </c>
      <c r="C21" s="777" t="s">
        <v>875</v>
      </c>
      <c r="D21" s="547" t="s">
        <v>551</v>
      </c>
      <c r="E21" s="502" t="s">
        <v>551</v>
      </c>
      <c r="F21" s="498" t="s">
        <v>550</v>
      </c>
      <c r="G21" s="1079" t="s">
        <v>240</v>
      </c>
      <c r="H21" s="1079" t="s">
        <v>240</v>
      </c>
      <c r="I21" s="498" t="s">
        <v>550</v>
      </c>
      <c r="J21" s="1079" t="s">
        <v>240</v>
      </c>
      <c r="K21" s="1079" t="s">
        <v>240</v>
      </c>
      <c r="L21" s="1265" t="s">
        <v>240</v>
      </c>
      <c r="M21" s="469"/>
      <c r="N21" s="626"/>
      <c r="O21" s="505"/>
    </row>
    <row r="22" spans="1:15" ht="12" customHeight="1" x14ac:dyDescent="0.2">
      <c r="A22" s="497" t="s">
        <v>485</v>
      </c>
      <c r="B22" s="765" t="s">
        <v>895</v>
      </c>
      <c r="C22" s="777" t="s">
        <v>875</v>
      </c>
      <c r="D22" s="547" t="s">
        <v>551</v>
      </c>
      <c r="E22" s="502" t="s">
        <v>551</v>
      </c>
      <c r="F22" s="498" t="s">
        <v>550</v>
      </c>
      <c r="G22" s="1079" t="s">
        <v>240</v>
      </c>
      <c r="H22" s="1079" t="s">
        <v>240</v>
      </c>
      <c r="I22" s="498" t="s">
        <v>550</v>
      </c>
      <c r="J22" s="1079" t="s">
        <v>240</v>
      </c>
      <c r="K22" s="1079" t="s">
        <v>240</v>
      </c>
      <c r="L22" s="1265" t="s">
        <v>240</v>
      </c>
      <c r="M22" s="469"/>
      <c r="N22" s="626"/>
      <c r="O22" s="505"/>
    </row>
    <row r="23" spans="1:15" ht="12" customHeight="1" x14ac:dyDescent="0.2">
      <c r="A23" s="497" t="s">
        <v>486</v>
      </c>
      <c r="B23" s="765" t="s">
        <v>895</v>
      </c>
      <c r="C23" s="777" t="s">
        <v>875</v>
      </c>
      <c r="D23" s="547" t="s">
        <v>551</v>
      </c>
      <c r="E23" s="502" t="s">
        <v>551</v>
      </c>
      <c r="F23" s="498" t="s">
        <v>550</v>
      </c>
      <c r="G23" s="1079" t="s">
        <v>240</v>
      </c>
      <c r="H23" s="1079" t="s">
        <v>240</v>
      </c>
      <c r="I23" s="498" t="s">
        <v>550</v>
      </c>
      <c r="J23" s="1079" t="s">
        <v>240</v>
      </c>
      <c r="K23" s="1079" t="s">
        <v>240</v>
      </c>
      <c r="L23" s="1265" t="s">
        <v>240</v>
      </c>
      <c r="M23" s="469"/>
      <c r="N23" s="626"/>
      <c r="O23" s="505"/>
    </row>
    <row r="24" spans="1:15" ht="12" customHeight="1" x14ac:dyDescent="0.2">
      <c r="A24" s="497" t="s">
        <v>487</v>
      </c>
      <c r="B24" s="765" t="s">
        <v>895</v>
      </c>
      <c r="C24" s="777" t="s">
        <v>875</v>
      </c>
      <c r="D24" s="547" t="s">
        <v>551</v>
      </c>
      <c r="E24" s="502" t="s">
        <v>551</v>
      </c>
      <c r="F24" s="498" t="s">
        <v>550</v>
      </c>
      <c r="G24" s="1079" t="s">
        <v>240</v>
      </c>
      <c r="H24" s="1079" t="s">
        <v>240</v>
      </c>
      <c r="I24" s="498" t="s">
        <v>550</v>
      </c>
      <c r="J24" s="1079" t="s">
        <v>240</v>
      </c>
      <c r="K24" s="1079" t="s">
        <v>240</v>
      </c>
      <c r="L24" s="1265" t="s">
        <v>240</v>
      </c>
      <c r="M24" s="469"/>
      <c r="N24" s="626"/>
      <c r="O24" s="505"/>
    </row>
    <row r="25" spans="1:15" ht="12" customHeight="1" x14ac:dyDescent="0.2">
      <c r="A25" s="497" t="s">
        <v>488</v>
      </c>
      <c r="B25" s="765" t="s">
        <v>895</v>
      </c>
      <c r="C25" s="777" t="s">
        <v>875</v>
      </c>
      <c r="D25" s="547" t="s">
        <v>551</v>
      </c>
      <c r="E25" s="502" t="s">
        <v>551</v>
      </c>
      <c r="F25" s="498" t="s">
        <v>550</v>
      </c>
      <c r="G25" s="1079" t="s">
        <v>240</v>
      </c>
      <c r="H25" s="1079" t="s">
        <v>240</v>
      </c>
      <c r="I25" s="498" t="s">
        <v>550</v>
      </c>
      <c r="J25" s="1079" t="s">
        <v>240</v>
      </c>
      <c r="K25" s="1079" t="s">
        <v>240</v>
      </c>
      <c r="L25" s="1265" t="s">
        <v>240</v>
      </c>
      <c r="M25" s="469"/>
      <c r="N25" s="626"/>
      <c r="O25" s="505"/>
    </row>
    <row r="26" spans="1:15" ht="12" customHeight="1" x14ac:dyDescent="0.2">
      <c r="A26" s="497" t="s">
        <v>489</v>
      </c>
      <c r="B26" s="765" t="s">
        <v>895</v>
      </c>
      <c r="C26" s="777" t="s">
        <v>875</v>
      </c>
      <c r="D26" s="547" t="s">
        <v>551</v>
      </c>
      <c r="E26" s="502" t="s">
        <v>551</v>
      </c>
      <c r="F26" s="498" t="s">
        <v>550</v>
      </c>
      <c r="G26" s="1079" t="s">
        <v>240</v>
      </c>
      <c r="H26" s="1079" t="s">
        <v>240</v>
      </c>
      <c r="I26" s="498" t="s">
        <v>550</v>
      </c>
      <c r="J26" s="1079" t="s">
        <v>240</v>
      </c>
      <c r="K26" s="1079" t="s">
        <v>240</v>
      </c>
      <c r="L26" s="1265" t="s">
        <v>240</v>
      </c>
      <c r="M26" s="469"/>
      <c r="N26" s="626"/>
      <c r="O26" s="505"/>
    </row>
    <row r="27" spans="1:15" ht="12" customHeight="1" x14ac:dyDescent="0.2">
      <c r="A27" s="497" t="s">
        <v>490</v>
      </c>
      <c r="B27" s="765" t="s">
        <v>895</v>
      </c>
      <c r="C27" s="777" t="s">
        <v>875</v>
      </c>
      <c r="D27" s="547" t="s">
        <v>551</v>
      </c>
      <c r="E27" s="502" t="s">
        <v>551</v>
      </c>
      <c r="F27" s="498" t="s">
        <v>550</v>
      </c>
      <c r="G27" s="1079" t="s">
        <v>240</v>
      </c>
      <c r="H27" s="1079" t="s">
        <v>240</v>
      </c>
      <c r="I27" s="498" t="s">
        <v>550</v>
      </c>
      <c r="J27" s="1079" t="s">
        <v>240</v>
      </c>
      <c r="K27" s="1079" t="s">
        <v>240</v>
      </c>
      <c r="L27" s="1265" t="s">
        <v>240</v>
      </c>
      <c r="M27" s="469"/>
      <c r="N27" s="626"/>
      <c r="O27" s="505"/>
    </row>
    <row r="28" spans="1:15" ht="12" customHeight="1" x14ac:dyDescent="0.2">
      <c r="A28" s="497" t="s">
        <v>491</v>
      </c>
      <c r="B28" s="765" t="s">
        <v>895</v>
      </c>
      <c r="C28" s="777" t="s">
        <v>875</v>
      </c>
      <c r="D28" s="547" t="s">
        <v>551</v>
      </c>
      <c r="E28" s="502" t="s">
        <v>551</v>
      </c>
      <c r="F28" s="498" t="s">
        <v>550</v>
      </c>
      <c r="G28" s="1079" t="s">
        <v>240</v>
      </c>
      <c r="H28" s="1079" t="s">
        <v>240</v>
      </c>
      <c r="I28" s="498" t="s">
        <v>550</v>
      </c>
      <c r="J28" s="1079" t="s">
        <v>240</v>
      </c>
      <c r="K28" s="1079" t="s">
        <v>240</v>
      </c>
      <c r="L28" s="1265" t="s">
        <v>240</v>
      </c>
      <c r="M28" s="469"/>
      <c r="N28" s="626"/>
      <c r="O28" s="505"/>
    </row>
    <row r="29" spans="1:15" ht="12" customHeight="1" x14ac:dyDescent="0.2">
      <c r="A29" s="497" t="s">
        <v>492</v>
      </c>
      <c r="B29" s="765" t="s">
        <v>895</v>
      </c>
      <c r="C29" s="777" t="s">
        <v>875</v>
      </c>
      <c r="D29" s="547" t="s">
        <v>551</v>
      </c>
      <c r="E29" s="502" t="s">
        <v>551</v>
      </c>
      <c r="F29" s="498" t="s">
        <v>550</v>
      </c>
      <c r="G29" s="1079" t="s">
        <v>240</v>
      </c>
      <c r="H29" s="1079" t="s">
        <v>240</v>
      </c>
      <c r="I29" s="498" t="s">
        <v>550</v>
      </c>
      <c r="J29" s="1079" t="s">
        <v>240</v>
      </c>
      <c r="K29" s="1079" t="s">
        <v>240</v>
      </c>
      <c r="L29" s="1265" t="s">
        <v>240</v>
      </c>
      <c r="M29" s="469"/>
      <c r="N29" s="626"/>
      <c r="O29" s="505"/>
    </row>
    <row r="30" spans="1:15" ht="12" customHeight="1" x14ac:dyDescent="0.2">
      <c r="A30" s="497" t="s">
        <v>493</v>
      </c>
      <c r="B30" s="765" t="s">
        <v>895</v>
      </c>
      <c r="C30" s="777" t="s">
        <v>875</v>
      </c>
      <c r="D30" s="547" t="s">
        <v>551</v>
      </c>
      <c r="E30" s="502" t="s">
        <v>551</v>
      </c>
      <c r="F30" s="498" t="s">
        <v>550</v>
      </c>
      <c r="G30" s="1079" t="s">
        <v>240</v>
      </c>
      <c r="H30" s="1079" t="s">
        <v>240</v>
      </c>
      <c r="I30" s="498" t="s">
        <v>550</v>
      </c>
      <c r="J30" s="1079" t="s">
        <v>240</v>
      </c>
      <c r="K30" s="1079" t="s">
        <v>240</v>
      </c>
      <c r="L30" s="1265" t="s">
        <v>240</v>
      </c>
      <c r="M30" s="469"/>
      <c r="N30" s="626"/>
      <c r="O30" s="505"/>
    </row>
    <row r="31" spans="1:15" ht="12" customHeight="1" x14ac:dyDescent="0.2">
      <c r="A31" s="497" t="s">
        <v>494</v>
      </c>
      <c r="B31" s="765" t="s">
        <v>906</v>
      </c>
      <c r="C31" s="777" t="s">
        <v>903</v>
      </c>
      <c r="D31" s="547">
        <v>0</v>
      </c>
      <c r="E31" s="502">
        <v>4.55</v>
      </c>
      <c r="F31" s="498">
        <v>4.7450000000000001</v>
      </c>
      <c r="G31" s="1079" t="s">
        <v>240</v>
      </c>
      <c r="H31" s="1079">
        <v>4.7450000000000001</v>
      </c>
      <c r="I31" s="498">
        <v>19.929000000000002</v>
      </c>
      <c r="J31" s="1079" t="s">
        <v>240</v>
      </c>
      <c r="K31" s="1079">
        <v>19.929000000000002</v>
      </c>
      <c r="L31" s="1265" t="s">
        <v>240</v>
      </c>
      <c r="M31" s="469"/>
      <c r="N31" s="626"/>
      <c r="O31" s="505"/>
    </row>
    <row r="32" spans="1:15" ht="12" customHeight="1" x14ac:dyDescent="0.2">
      <c r="A32" s="497" t="s">
        <v>495</v>
      </c>
      <c r="B32" s="765" t="s">
        <v>895</v>
      </c>
      <c r="C32" s="777" t="s">
        <v>875</v>
      </c>
      <c r="D32" s="547" t="s">
        <v>551</v>
      </c>
      <c r="E32" s="502" t="s">
        <v>551</v>
      </c>
      <c r="F32" s="498" t="s">
        <v>550</v>
      </c>
      <c r="G32" s="1079" t="s">
        <v>240</v>
      </c>
      <c r="H32" s="1079" t="s">
        <v>240</v>
      </c>
      <c r="I32" s="498" t="s">
        <v>550</v>
      </c>
      <c r="J32" s="1079" t="s">
        <v>240</v>
      </c>
      <c r="K32" s="1079" t="s">
        <v>240</v>
      </c>
      <c r="L32" s="1265" t="s">
        <v>240</v>
      </c>
      <c r="M32" s="469"/>
      <c r="N32" s="626"/>
      <c r="O32" s="505"/>
    </row>
    <row r="33" spans="1:15" ht="12" customHeight="1" thickBot="1" x14ac:dyDescent="0.25">
      <c r="A33" s="507" t="s">
        <v>496</v>
      </c>
      <c r="B33" s="767" t="s">
        <v>895</v>
      </c>
      <c r="C33" s="779" t="s">
        <v>875</v>
      </c>
      <c r="D33" s="553" t="s">
        <v>551</v>
      </c>
      <c r="E33" s="512" t="s">
        <v>551</v>
      </c>
      <c r="F33" s="508" t="s">
        <v>550</v>
      </c>
      <c r="G33" s="1084" t="s">
        <v>240</v>
      </c>
      <c r="H33" s="1084" t="s">
        <v>240</v>
      </c>
      <c r="I33" s="508" t="s">
        <v>550</v>
      </c>
      <c r="J33" s="1084" t="s">
        <v>240</v>
      </c>
      <c r="K33" s="1084" t="s">
        <v>240</v>
      </c>
      <c r="L33" s="1266" t="s">
        <v>240</v>
      </c>
      <c r="M33" s="469"/>
      <c r="N33" s="626"/>
      <c r="O33" s="505"/>
    </row>
    <row r="34" spans="1:15" ht="11.25" customHeight="1" thickTop="1" x14ac:dyDescent="0.2">
      <c r="A34" s="514" t="s">
        <v>238</v>
      </c>
      <c r="B34" s="706"/>
      <c r="C34" s="565"/>
      <c r="L34" s="1267"/>
      <c r="M34" s="469"/>
      <c r="N34" s="469"/>
    </row>
    <row r="35" spans="1:15" ht="11.25" customHeight="1" x14ac:dyDescent="0.2">
      <c r="A35" s="518" t="s">
        <v>568</v>
      </c>
      <c r="B35" s="706"/>
      <c r="C35" s="565"/>
      <c r="L35" s="1267"/>
      <c r="M35" s="469"/>
      <c r="N35" s="469"/>
    </row>
    <row r="36" spans="1:15" ht="11.25" customHeight="1" x14ac:dyDescent="0.2">
      <c r="A36" s="521" t="s">
        <v>616</v>
      </c>
      <c r="B36" s="706"/>
      <c r="C36" s="565"/>
      <c r="L36" s="1267"/>
      <c r="M36" s="469"/>
      <c r="N36" s="469"/>
    </row>
    <row r="37" spans="1:15" ht="24" customHeight="1" x14ac:dyDescent="0.2">
      <c r="A37" s="1569" t="s">
        <v>617</v>
      </c>
      <c r="B37" s="1523"/>
      <c r="C37" s="1523"/>
      <c r="D37" s="1523"/>
      <c r="E37" s="1523"/>
      <c r="F37" s="1523"/>
      <c r="G37" s="1523"/>
      <c r="H37" s="1523"/>
      <c r="I37" s="1523"/>
      <c r="J37" s="1523"/>
      <c r="K37" s="1523"/>
      <c r="L37" s="1524"/>
      <c r="M37" s="469"/>
      <c r="N37" s="469"/>
    </row>
    <row r="38" spans="1:15" ht="11.25" customHeight="1" x14ac:dyDescent="0.2">
      <c r="A38" s="769" t="s">
        <v>618</v>
      </c>
      <c r="B38" s="770"/>
      <c r="C38" s="565"/>
      <c r="L38" s="1267"/>
      <c r="M38" s="469"/>
      <c r="N38" s="469"/>
    </row>
    <row r="39" spans="1:15" ht="11.25" customHeight="1" x14ac:dyDescent="0.2">
      <c r="A39" s="521" t="s">
        <v>594</v>
      </c>
      <c r="B39" s="517"/>
      <c r="C39" s="565"/>
      <c r="L39" s="1267"/>
      <c r="M39" s="469"/>
      <c r="N39" s="469"/>
    </row>
    <row r="40" spans="1:15" ht="11.25" customHeight="1" x14ac:dyDescent="0.2">
      <c r="A40" s="521" t="s">
        <v>574</v>
      </c>
      <c r="B40" s="517"/>
      <c r="C40" s="565"/>
      <c r="L40" s="1267"/>
      <c r="M40" s="469"/>
      <c r="N40" s="469"/>
    </row>
    <row r="41" spans="1:15" ht="11.25" customHeight="1" x14ac:dyDescent="0.2">
      <c r="A41" s="625" t="s">
        <v>619</v>
      </c>
      <c r="B41" s="517"/>
      <c r="C41" s="565"/>
      <c r="L41" s="1267"/>
      <c r="M41" s="469"/>
      <c r="N41" s="469"/>
    </row>
    <row r="42" spans="1:15" ht="11.25" customHeight="1" x14ac:dyDescent="0.2">
      <c r="A42" s="521" t="s">
        <v>620</v>
      </c>
      <c r="B42" s="710"/>
      <c r="C42" s="565"/>
      <c r="L42" s="1267"/>
      <c r="M42" s="469"/>
      <c r="N42" s="469"/>
    </row>
    <row r="43" spans="1:15" ht="11.25" customHeight="1" x14ac:dyDescent="0.2">
      <c r="A43" s="521" t="s">
        <v>621</v>
      </c>
      <c r="B43" s="517"/>
      <c r="C43" s="565"/>
      <c r="L43" s="1267"/>
      <c r="M43" s="469"/>
      <c r="N43" s="469"/>
    </row>
    <row r="44" spans="1:15" ht="11.25" customHeight="1" thickBot="1" x14ac:dyDescent="0.25">
      <c r="A44" s="523"/>
      <c r="B44" s="720"/>
      <c r="C44" s="720"/>
      <c r="D44" s="819"/>
      <c r="E44" s="819"/>
      <c r="F44" s="819"/>
      <c r="G44" s="819"/>
      <c r="H44" s="819"/>
      <c r="I44" s="819"/>
      <c r="J44" s="819"/>
      <c r="K44" s="819"/>
      <c r="L44" s="1268"/>
      <c r="M44" s="469"/>
      <c r="N44" s="469"/>
    </row>
    <row r="45" spans="1:15" ht="13.5" thickTop="1" x14ac:dyDescent="0.2">
      <c r="A45" s="470"/>
      <c r="B45" s="470"/>
      <c r="C45" s="470"/>
      <c r="M45" s="469"/>
      <c r="N45" s="469"/>
    </row>
    <row r="46" spans="1:15" x14ac:dyDescent="0.2">
      <c r="A46" s="470"/>
      <c r="B46" s="470"/>
      <c r="C46" s="470"/>
      <c r="M46" s="469"/>
      <c r="N46" s="469"/>
    </row>
    <row r="47" spans="1:15" x14ac:dyDescent="0.2">
      <c r="A47" s="470"/>
      <c r="B47" s="470"/>
      <c r="C47" s="470"/>
      <c r="M47" s="469"/>
      <c r="N47" s="469"/>
    </row>
    <row r="48" spans="1:15" x14ac:dyDescent="0.2">
      <c r="A48" s="470"/>
      <c r="B48" s="470"/>
      <c r="C48" s="470"/>
      <c r="M48" s="469"/>
      <c r="N48" s="469"/>
    </row>
    <row r="49" spans="1:3" x14ac:dyDescent="0.2">
      <c r="A49" s="470"/>
      <c r="B49" s="470"/>
      <c r="C49" s="470"/>
    </row>
    <row r="50" spans="1:3" x14ac:dyDescent="0.2">
      <c r="A50" s="470"/>
      <c r="B50" s="470"/>
      <c r="C50" s="470"/>
    </row>
    <row r="51" spans="1:3" x14ac:dyDescent="0.2">
      <c r="A51" s="470"/>
      <c r="B51" s="470"/>
      <c r="C51" s="470"/>
    </row>
    <row r="52" spans="1:3" x14ac:dyDescent="0.2">
      <c r="A52" s="470"/>
      <c r="B52" s="470"/>
      <c r="C52" s="470"/>
    </row>
    <row r="53" spans="1:3" x14ac:dyDescent="0.2">
      <c r="A53" s="470"/>
      <c r="B53" s="470"/>
      <c r="C53" s="470"/>
    </row>
    <row r="54" spans="1:3" x14ac:dyDescent="0.2">
      <c r="A54" s="470"/>
      <c r="B54" s="470"/>
      <c r="C54" s="470"/>
    </row>
    <row r="55" spans="1:3" x14ac:dyDescent="0.2">
      <c r="A55" s="470"/>
      <c r="B55" s="470"/>
      <c r="C55" s="470"/>
    </row>
    <row r="56" spans="1:3" x14ac:dyDescent="0.2">
      <c r="A56" s="470"/>
      <c r="B56" s="470"/>
      <c r="C56" s="470"/>
    </row>
    <row r="57" spans="1:3" x14ac:dyDescent="0.2">
      <c r="A57" s="470"/>
      <c r="B57" s="470"/>
      <c r="C57" s="470"/>
    </row>
    <row r="58" spans="1:3" x14ac:dyDescent="0.2">
      <c r="A58" s="470"/>
      <c r="B58" s="470"/>
      <c r="C58" s="470"/>
    </row>
    <row r="59" spans="1:3" x14ac:dyDescent="0.2">
      <c r="A59" s="470"/>
      <c r="B59" s="470"/>
      <c r="C59" s="470"/>
    </row>
    <row r="60" spans="1:3" x14ac:dyDescent="0.2">
      <c r="A60" s="470"/>
      <c r="B60" s="470"/>
      <c r="C60" s="470"/>
    </row>
    <row r="61" spans="1:3" x14ac:dyDescent="0.2">
      <c r="A61" s="470"/>
      <c r="B61" s="470"/>
      <c r="C61" s="470"/>
    </row>
    <row r="62" spans="1:3" x14ac:dyDescent="0.2">
      <c r="A62" s="470"/>
      <c r="B62" s="470"/>
      <c r="C62" s="470"/>
    </row>
    <row r="63" spans="1:3" x14ac:dyDescent="0.2">
      <c r="A63" s="470"/>
      <c r="B63" s="470"/>
      <c r="C63" s="470"/>
    </row>
    <row r="64" spans="1:3" x14ac:dyDescent="0.2">
      <c r="A64" s="470"/>
      <c r="B64" s="470"/>
      <c r="C64" s="470"/>
    </row>
    <row r="65" spans="1:3" x14ac:dyDescent="0.2">
      <c r="A65" s="470"/>
      <c r="B65" s="470"/>
      <c r="C65" s="470"/>
    </row>
    <row r="66" spans="1:3" x14ac:dyDescent="0.2">
      <c r="A66" s="470"/>
      <c r="B66" s="470"/>
      <c r="C66" s="470"/>
    </row>
    <row r="67" spans="1:3" x14ac:dyDescent="0.2">
      <c r="A67" s="470"/>
      <c r="B67" s="470"/>
      <c r="C67" s="470"/>
    </row>
    <row r="68" spans="1:3" x14ac:dyDescent="0.2">
      <c r="A68" s="470"/>
      <c r="B68" s="470"/>
      <c r="C68" s="470"/>
    </row>
    <row r="69" spans="1:3" x14ac:dyDescent="0.2">
      <c r="A69" s="470"/>
      <c r="B69" s="470"/>
      <c r="C69" s="470"/>
    </row>
    <row r="70" spans="1:3" x14ac:dyDescent="0.2">
      <c r="A70" s="470"/>
      <c r="B70" s="470"/>
      <c r="C70" s="470"/>
    </row>
    <row r="71" spans="1:3" x14ac:dyDescent="0.2">
      <c r="A71" s="470"/>
      <c r="B71" s="470"/>
      <c r="C71" s="470"/>
    </row>
    <row r="72" spans="1:3" x14ac:dyDescent="0.2">
      <c r="A72" s="470"/>
      <c r="B72" s="470"/>
      <c r="C72" s="470"/>
    </row>
    <row r="73" spans="1:3" x14ac:dyDescent="0.2">
      <c r="A73" s="470"/>
      <c r="B73" s="470"/>
      <c r="C73" s="470"/>
    </row>
    <row r="74" spans="1:3" x14ac:dyDescent="0.2">
      <c r="A74" s="470"/>
      <c r="B74" s="470"/>
      <c r="C74" s="470"/>
    </row>
    <row r="75" spans="1:3" x14ac:dyDescent="0.2">
      <c r="A75" s="470"/>
      <c r="B75" s="470"/>
      <c r="C75" s="470"/>
    </row>
    <row r="76" spans="1:3" x14ac:dyDescent="0.2">
      <c r="A76" s="470"/>
      <c r="B76" s="470"/>
      <c r="C76" s="470"/>
    </row>
    <row r="77" spans="1:3" x14ac:dyDescent="0.2">
      <c r="A77" s="470"/>
      <c r="B77" s="470"/>
      <c r="C77" s="470"/>
    </row>
    <row r="78" spans="1:3" x14ac:dyDescent="0.2">
      <c r="A78" s="470"/>
      <c r="B78" s="470"/>
      <c r="C78" s="470"/>
    </row>
    <row r="79" spans="1:3" x14ac:dyDescent="0.2">
      <c r="A79" s="470"/>
      <c r="B79" s="470"/>
      <c r="C79" s="470"/>
    </row>
    <row r="80" spans="1:3" x14ac:dyDescent="0.2">
      <c r="A80" s="470"/>
      <c r="B80" s="470"/>
      <c r="C80" s="470"/>
    </row>
    <row r="81" spans="1:3" x14ac:dyDescent="0.2">
      <c r="A81" s="470"/>
      <c r="B81" s="470"/>
      <c r="C81" s="470"/>
    </row>
    <row r="82" spans="1:3" x14ac:dyDescent="0.2">
      <c r="A82" s="470"/>
      <c r="B82" s="470"/>
      <c r="C82" s="470"/>
    </row>
    <row r="83" spans="1:3" x14ac:dyDescent="0.2">
      <c r="A83" s="470"/>
      <c r="B83" s="470"/>
      <c r="C83" s="470"/>
    </row>
    <row r="84" spans="1:3" x14ac:dyDescent="0.2">
      <c r="A84" s="470"/>
      <c r="B84" s="470"/>
      <c r="C84" s="470"/>
    </row>
    <row r="85" spans="1:3" x14ac:dyDescent="0.2">
      <c r="A85" s="470"/>
      <c r="B85" s="470"/>
      <c r="C85" s="470"/>
    </row>
    <row r="86" spans="1:3" x14ac:dyDescent="0.2">
      <c r="A86" s="470"/>
      <c r="B86" s="470"/>
      <c r="C86" s="470"/>
    </row>
    <row r="87" spans="1:3" x14ac:dyDescent="0.2">
      <c r="A87" s="470"/>
      <c r="B87" s="470"/>
      <c r="C87" s="470"/>
    </row>
    <row r="88" spans="1:3" x14ac:dyDescent="0.2">
      <c r="A88" s="470"/>
      <c r="B88" s="470"/>
      <c r="C88" s="470"/>
    </row>
    <row r="89" spans="1:3" x14ac:dyDescent="0.2">
      <c r="A89" s="470"/>
      <c r="B89" s="470"/>
      <c r="C89" s="470"/>
    </row>
    <row r="90" spans="1:3" x14ac:dyDescent="0.2">
      <c r="A90" s="470"/>
      <c r="B90" s="470"/>
      <c r="C90" s="470"/>
    </row>
    <row r="91" spans="1:3" x14ac:dyDescent="0.2">
      <c r="A91" s="470"/>
      <c r="B91" s="470"/>
      <c r="C91" s="470"/>
    </row>
    <row r="92" spans="1:3" x14ac:dyDescent="0.2">
      <c r="A92" s="470"/>
      <c r="B92" s="470"/>
      <c r="C92" s="470"/>
    </row>
    <row r="93" spans="1:3" x14ac:dyDescent="0.2">
      <c r="A93" s="470"/>
      <c r="B93" s="470"/>
      <c r="C93" s="470"/>
    </row>
    <row r="94" spans="1:3" x14ac:dyDescent="0.2">
      <c r="A94" s="470"/>
      <c r="B94" s="470"/>
      <c r="C94" s="470"/>
    </row>
    <row r="95" spans="1:3" x14ac:dyDescent="0.2">
      <c r="A95" s="470"/>
      <c r="B95" s="470"/>
      <c r="C95" s="470"/>
    </row>
    <row r="96" spans="1:3" x14ac:dyDescent="0.2">
      <c r="A96" s="470"/>
      <c r="B96" s="470"/>
      <c r="C96" s="470"/>
    </row>
    <row r="97" spans="1:3" x14ac:dyDescent="0.2">
      <c r="A97" s="470"/>
      <c r="B97" s="470"/>
      <c r="C97" s="470"/>
    </row>
    <row r="98" spans="1:3" x14ac:dyDescent="0.2">
      <c r="A98" s="470"/>
      <c r="B98" s="470"/>
      <c r="C98" s="470"/>
    </row>
    <row r="99" spans="1:3" x14ac:dyDescent="0.2">
      <c r="A99" s="470"/>
      <c r="B99" s="470"/>
      <c r="C99" s="470"/>
    </row>
    <row r="100" spans="1:3" x14ac:dyDescent="0.2">
      <c r="A100" s="470"/>
      <c r="B100" s="470"/>
      <c r="C100" s="470"/>
    </row>
    <row r="101" spans="1:3" x14ac:dyDescent="0.2">
      <c r="A101" s="470"/>
      <c r="B101" s="470"/>
      <c r="C101" s="470"/>
    </row>
    <row r="102" spans="1:3" x14ac:dyDescent="0.2">
      <c r="A102" s="470"/>
      <c r="B102" s="470"/>
      <c r="C102" s="470"/>
    </row>
    <row r="103" spans="1:3" x14ac:dyDescent="0.2">
      <c r="A103" s="470"/>
      <c r="B103" s="470"/>
      <c r="C103" s="470"/>
    </row>
    <row r="104" spans="1:3" x14ac:dyDescent="0.2">
      <c r="A104" s="470"/>
      <c r="B104" s="470"/>
      <c r="C104" s="470"/>
    </row>
    <row r="105" spans="1:3" x14ac:dyDescent="0.2">
      <c r="A105" s="470"/>
      <c r="B105" s="470"/>
      <c r="C105" s="470"/>
    </row>
    <row r="106" spans="1:3" x14ac:dyDescent="0.2">
      <c r="A106" s="470"/>
      <c r="B106" s="470"/>
      <c r="C106" s="470"/>
    </row>
    <row r="107" spans="1:3" x14ac:dyDescent="0.2">
      <c r="A107" s="470"/>
      <c r="B107" s="470"/>
      <c r="C107" s="470"/>
    </row>
    <row r="108" spans="1:3" x14ac:dyDescent="0.2">
      <c r="A108" s="470"/>
      <c r="B108" s="470"/>
      <c r="C108" s="470"/>
    </row>
    <row r="109" spans="1:3" x14ac:dyDescent="0.2">
      <c r="A109" s="470"/>
      <c r="B109" s="470"/>
      <c r="C109" s="470"/>
    </row>
    <row r="110" spans="1:3" x14ac:dyDescent="0.2">
      <c r="A110" s="470"/>
      <c r="B110" s="470"/>
      <c r="C110" s="470"/>
    </row>
    <row r="111" spans="1:3" x14ac:dyDescent="0.2">
      <c r="A111" s="470"/>
      <c r="B111" s="470"/>
      <c r="C111" s="470"/>
    </row>
    <row r="112" spans="1:3" x14ac:dyDescent="0.2">
      <c r="A112" s="470"/>
      <c r="B112" s="470"/>
      <c r="C112" s="470"/>
    </row>
    <row r="113" spans="1:3" x14ac:dyDescent="0.2">
      <c r="A113" s="470"/>
      <c r="B113" s="470"/>
      <c r="C113" s="470"/>
    </row>
    <row r="114" spans="1:3" x14ac:dyDescent="0.2">
      <c r="A114" s="470"/>
      <c r="B114" s="470"/>
      <c r="C114" s="470"/>
    </row>
    <row r="115" spans="1:3" x14ac:dyDescent="0.2">
      <c r="A115" s="470"/>
      <c r="B115" s="470"/>
      <c r="C115" s="470"/>
    </row>
    <row r="116" spans="1:3" x14ac:dyDescent="0.2">
      <c r="A116" s="470"/>
      <c r="B116" s="470"/>
      <c r="C116" s="470"/>
    </row>
    <row r="117" spans="1:3" x14ac:dyDescent="0.2">
      <c r="A117" s="470"/>
      <c r="B117" s="470"/>
      <c r="C117" s="470"/>
    </row>
    <row r="118" spans="1:3" x14ac:dyDescent="0.2">
      <c r="A118" s="470"/>
      <c r="B118" s="470"/>
      <c r="C118" s="470"/>
    </row>
    <row r="119" spans="1:3" x14ac:dyDescent="0.2">
      <c r="A119" s="470"/>
      <c r="B119" s="470"/>
      <c r="C119" s="470"/>
    </row>
    <row r="120" spans="1:3" x14ac:dyDescent="0.2">
      <c r="A120" s="470"/>
      <c r="B120" s="470"/>
      <c r="C120" s="470"/>
    </row>
  </sheetData>
  <sheetProtection algorithmName="SHA-512" hashValue="yBiYtk/P4r2KnPJYD7T9OF7UUuzkno/O2+ASUdZtqtQRIpMdm+apibjFfxPMPlqBOw7Z7oXmrqy6FPT78gq5pw==" saltValue="Gt2N6K+S3F9NJvE/tXsspQ==" spinCount="100000" sheet="1" objects="1" scenarios="1"/>
  <mergeCells count="4">
    <mergeCell ref="L3:L6"/>
    <mergeCell ref="B6:C6"/>
    <mergeCell ref="B7:C7"/>
    <mergeCell ref="A37:L37"/>
  </mergeCells>
  <phoneticPr fontId="0" type="noConversion"/>
  <printOptions horizontalCentered="1"/>
  <pageMargins left="0.15748031496063" right="0.15748031496063" top="0.511811023622047" bottom="0.98425196850393704" header="0.511811023622047" footer="0.511811023622047"/>
  <pageSetup scale="83" fitToHeight="2" orientation="landscape" r:id="rId1"/>
  <headerFooter alignWithMargins="0">
    <oddFooter>&amp;LHawai'i DOH
PFASs November 2024&amp;C&amp;8Page &amp;P of &amp;N&amp;R&amp;A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29"/>
    <pageSetUpPr fitToPage="1"/>
  </sheetPr>
  <dimension ref="A1:H43"/>
  <sheetViews>
    <sheetView zoomScaleNormal="100" workbookViewId="0">
      <selection activeCell="B6" sqref="B6"/>
    </sheetView>
  </sheetViews>
  <sheetFormatPr defaultColWidth="9.140625" defaultRowHeight="11.25" x14ac:dyDescent="0.2"/>
  <cols>
    <col min="1" max="1" width="50.5703125" style="517" customWidth="1"/>
    <col min="2" max="2" width="12.5703125" style="515" customWidth="1"/>
    <col min="3" max="3" width="20.7109375" style="784" customWidth="1"/>
    <col min="4" max="4" width="12.28515625" style="515" customWidth="1"/>
    <col min="5" max="5" width="8.85546875" style="515" customWidth="1"/>
    <col min="6" max="6" width="15.7109375" style="515" customWidth="1"/>
    <col min="7" max="7" width="13.7109375" style="515" customWidth="1"/>
    <col min="8" max="16384" width="9.140625" style="517"/>
  </cols>
  <sheetData>
    <row r="1" spans="1:8" s="706" customFormat="1" ht="50.1" customHeight="1" x14ac:dyDescent="0.25">
      <c r="A1" s="1572" t="s">
        <v>622</v>
      </c>
      <c r="B1" s="1573"/>
      <c r="C1" s="1573"/>
      <c r="D1" s="1573"/>
      <c r="E1" s="1573"/>
      <c r="F1" s="1573"/>
      <c r="G1" s="1573"/>
      <c r="H1" s="469"/>
    </row>
    <row r="2" spans="1:8" s="706" customFormat="1" ht="15" x14ac:dyDescent="0.25">
      <c r="A2" s="1056" t="s">
        <v>623</v>
      </c>
      <c r="B2" s="468"/>
      <c r="C2" s="468"/>
      <c r="D2" s="468"/>
      <c r="E2" s="468"/>
      <c r="F2" s="468"/>
      <c r="G2" s="468"/>
      <c r="H2" s="469"/>
    </row>
    <row r="3" spans="1:8" s="706" customFormat="1" ht="13.5" thickBot="1" x14ac:dyDescent="0.25">
      <c r="A3" s="989"/>
      <c r="B3" s="468"/>
      <c r="C3" s="990"/>
      <c r="D3" s="468"/>
      <c r="E3" s="468"/>
      <c r="F3" s="468"/>
      <c r="G3" s="468"/>
      <c r="H3" s="469"/>
    </row>
    <row r="4" spans="1:8" s="706" customFormat="1" ht="48.75" customHeight="1" thickTop="1" x14ac:dyDescent="0.2">
      <c r="A4" s="1574" t="s">
        <v>624</v>
      </c>
      <c r="B4" s="1570" t="s">
        <v>625</v>
      </c>
      <c r="C4" s="1228"/>
      <c r="D4" s="1229" t="s">
        <v>626</v>
      </c>
      <c r="E4" s="1149" t="s">
        <v>627</v>
      </c>
      <c r="F4" s="1230" t="s">
        <v>546</v>
      </c>
      <c r="G4" s="1231" t="s">
        <v>628</v>
      </c>
      <c r="H4" s="469"/>
    </row>
    <row r="5" spans="1:8" s="706" customFormat="1" ht="15.75" customHeight="1" thickBot="1" x14ac:dyDescent="0.25">
      <c r="A5" s="1575"/>
      <c r="B5" s="1571"/>
      <c r="C5" s="1232" t="s">
        <v>405</v>
      </c>
      <c r="D5" s="1154" t="s">
        <v>454</v>
      </c>
      <c r="E5" s="487" t="s">
        <v>448</v>
      </c>
      <c r="F5" s="1155" t="s">
        <v>449</v>
      </c>
      <c r="G5" s="1156" t="s">
        <v>334</v>
      </c>
      <c r="H5" s="469"/>
    </row>
    <row r="6" spans="1:8" s="706" customFormat="1" ht="12" customHeight="1" x14ac:dyDescent="0.2">
      <c r="A6" s="490" t="s">
        <v>472</v>
      </c>
      <c r="B6" s="743">
        <v>2</v>
      </c>
      <c r="C6" s="492" t="s">
        <v>447</v>
      </c>
      <c r="D6" s="542">
        <v>50000</v>
      </c>
      <c r="E6" s="494">
        <v>2</v>
      </c>
      <c r="F6" s="543" t="s">
        <v>550</v>
      </c>
      <c r="G6" s="545">
        <v>127000</v>
      </c>
    </row>
    <row r="7" spans="1:8" s="706" customFormat="1" ht="12" customHeight="1" x14ac:dyDescent="0.2">
      <c r="A7" s="497" t="s">
        <v>473</v>
      </c>
      <c r="B7" s="746">
        <v>0.58076923076923059</v>
      </c>
      <c r="C7" s="499" t="s">
        <v>447</v>
      </c>
      <c r="D7" s="547">
        <v>50000</v>
      </c>
      <c r="E7" s="501">
        <v>0.58076923076923059</v>
      </c>
      <c r="F7" s="548" t="s">
        <v>550</v>
      </c>
      <c r="G7" s="550">
        <v>0.58076923076923059</v>
      </c>
    </row>
    <row r="8" spans="1:8" s="706" customFormat="1" ht="12" customHeight="1" x14ac:dyDescent="0.2">
      <c r="A8" s="497" t="s">
        <v>474</v>
      </c>
      <c r="B8" s="746">
        <v>0.01</v>
      </c>
      <c r="C8" s="499" t="s">
        <v>447</v>
      </c>
      <c r="D8" s="547">
        <v>50000</v>
      </c>
      <c r="E8" s="501">
        <v>0.01</v>
      </c>
      <c r="F8" s="548" t="s">
        <v>550</v>
      </c>
      <c r="G8" s="550">
        <v>10</v>
      </c>
    </row>
    <row r="9" spans="1:8" s="706" customFormat="1" ht="12" customHeight="1" x14ac:dyDescent="0.2">
      <c r="A9" s="497" t="s">
        <v>475</v>
      </c>
      <c r="B9" s="746">
        <v>3.8461538461538471E-2</v>
      </c>
      <c r="C9" s="499" t="s">
        <v>447</v>
      </c>
      <c r="D9" s="547">
        <v>50000</v>
      </c>
      <c r="E9" s="501">
        <v>3.8461538461538471E-2</v>
      </c>
      <c r="F9" s="548" t="s">
        <v>550</v>
      </c>
      <c r="G9" s="550">
        <v>3.8461538461538471E-2</v>
      </c>
    </row>
    <row r="10" spans="1:8" s="706" customFormat="1" ht="12" customHeight="1" x14ac:dyDescent="0.2">
      <c r="A10" s="497" t="s">
        <v>476</v>
      </c>
      <c r="B10" s="746">
        <v>4.0000000000000001E-3</v>
      </c>
      <c r="C10" s="499" t="s">
        <v>447</v>
      </c>
      <c r="D10" s="547">
        <v>50000</v>
      </c>
      <c r="E10" s="501">
        <v>4.0000000000000001E-3</v>
      </c>
      <c r="F10" s="548" t="s">
        <v>550</v>
      </c>
      <c r="G10" s="550">
        <v>1.1000000000000001</v>
      </c>
    </row>
    <row r="11" spans="1:8" s="706" customFormat="1" ht="12" customHeight="1" x14ac:dyDescent="0.2">
      <c r="A11" s="497" t="s">
        <v>477</v>
      </c>
      <c r="B11" s="746">
        <v>3.8461538461538471E-2</v>
      </c>
      <c r="C11" s="499" t="s">
        <v>447</v>
      </c>
      <c r="D11" s="547">
        <v>50000</v>
      </c>
      <c r="E11" s="501">
        <v>3.8461538461538471E-2</v>
      </c>
      <c r="F11" s="548" t="s">
        <v>550</v>
      </c>
      <c r="G11" s="550">
        <v>3.8461538461538471E-2</v>
      </c>
    </row>
    <row r="12" spans="1:8" s="706" customFormat="1" ht="12" customHeight="1" x14ac:dyDescent="0.2">
      <c r="A12" s="497" t="s">
        <v>200</v>
      </c>
      <c r="B12" s="746">
        <v>18.475073313782989</v>
      </c>
      <c r="C12" s="499" t="s">
        <v>447</v>
      </c>
      <c r="D12" s="547">
        <v>50000</v>
      </c>
      <c r="E12" s="501">
        <v>18.475073313782989</v>
      </c>
      <c r="F12" s="548" t="s">
        <v>551</v>
      </c>
      <c r="G12" s="550">
        <v>100</v>
      </c>
    </row>
    <row r="13" spans="1:8" s="706" customFormat="1" ht="12" customHeight="1" x14ac:dyDescent="0.2">
      <c r="A13" s="497" t="s">
        <v>478</v>
      </c>
      <c r="B13" s="746">
        <v>0.51319648093841652</v>
      </c>
      <c r="C13" s="499" t="s">
        <v>447</v>
      </c>
      <c r="D13" s="547">
        <v>50000</v>
      </c>
      <c r="E13" s="501">
        <v>0.51319648093841652</v>
      </c>
      <c r="F13" s="548" t="s">
        <v>551</v>
      </c>
      <c r="G13" s="550">
        <v>0.51319648093841652</v>
      </c>
    </row>
    <row r="14" spans="1:8" s="706" customFormat="1" ht="12" customHeight="1" x14ac:dyDescent="0.2">
      <c r="A14" s="497" t="s">
        <v>479</v>
      </c>
      <c r="B14" s="746">
        <v>14.615384615384617</v>
      </c>
      <c r="C14" s="499" t="s">
        <v>447</v>
      </c>
      <c r="D14" s="547">
        <v>50000</v>
      </c>
      <c r="E14" s="501">
        <v>14.615384615384617</v>
      </c>
      <c r="F14" s="548" t="s">
        <v>550</v>
      </c>
      <c r="G14" s="550">
        <v>830</v>
      </c>
    </row>
    <row r="15" spans="1:8" s="706" customFormat="1" ht="12" customHeight="1" x14ac:dyDescent="0.2">
      <c r="A15" s="497" t="s">
        <v>480</v>
      </c>
      <c r="B15" s="746">
        <v>1.5384615384615383</v>
      </c>
      <c r="C15" s="499" t="s">
        <v>447</v>
      </c>
      <c r="D15" s="547">
        <v>50000</v>
      </c>
      <c r="E15" s="501">
        <v>1.5384615384615383</v>
      </c>
      <c r="F15" s="548" t="s">
        <v>550</v>
      </c>
      <c r="G15" s="550">
        <v>1.5384615384615383</v>
      </c>
    </row>
    <row r="16" spans="1:8" s="706" customFormat="1" ht="12" customHeight="1" x14ac:dyDescent="0.2">
      <c r="A16" s="497" t="s">
        <v>481</v>
      </c>
      <c r="B16" s="746">
        <v>1.9230769230769231</v>
      </c>
      <c r="C16" s="499" t="s">
        <v>447</v>
      </c>
      <c r="D16" s="547">
        <v>50000</v>
      </c>
      <c r="E16" s="501">
        <v>1.9230769230769231</v>
      </c>
      <c r="F16" s="548" t="s">
        <v>550</v>
      </c>
      <c r="G16" s="550">
        <v>6300</v>
      </c>
    </row>
    <row r="17" spans="1:7" s="706" customFormat="1" ht="12" customHeight="1" x14ac:dyDescent="0.2">
      <c r="A17" s="497" t="s">
        <v>482</v>
      </c>
      <c r="B17" s="746">
        <v>7.6923076923076941E-2</v>
      </c>
      <c r="C17" s="499" t="s">
        <v>447</v>
      </c>
      <c r="D17" s="547">
        <v>50000</v>
      </c>
      <c r="E17" s="501">
        <v>7.6923076923076941E-2</v>
      </c>
      <c r="F17" s="548" t="s">
        <v>550</v>
      </c>
      <c r="G17" s="550">
        <v>7.6923076923076941E-2</v>
      </c>
    </row>
    <row r="18" spans="1:7" s="706" customFormat="1" ht="12" customHeight="1" x14ac:dyDescent="0.2">
      <c r="A18" s="497" t="s">
        <v>483</v>
      </c>
      <c r="B18" s="746">
        <v>4.0000000000000001E-3</v>
      </c>
      <c r="C18" s="499" t="s">
        <v>447</v>
      </c>
      <c r="D18" s="547">
        <v>50000</v>
      </c>
      <c r="E18" s="501">
        <v>4.0000000000000001E-3</v>
      </c>
      <c r="F18" s="548" t="s">
        <v>550</v>
      </c>
      <c r="G18" s="550">
        <v>8.3000000000000007</v>
      </c>
    </row>
    <row r="19" spans="1:7" s="706" customFormat="1" ht="12" customHeight="1" x14ac:dyDescent="0.2">
      <c r="A19" s="497" t="s">
        <v>484</v>
      </c>
      <c r="B19" s="746">
        <v>0.01</v>
      </c>
      <c r="C19" s="499" t="s">
        <v>447</v>
      </c>
      <c r="D19" s="547">
        <v>50000</v>
      </c>
      <c r="E19" s="501">
        <v>0.01</v>
      </c>
      <c r="F19" s="548" t="s">
        <v>550</v>
      </c>
      <c r="G19" s="550">
        <v>8</v>
      </c>
    </row>
    <row r="20" spans="1:7" s="706" customFormat="1" ht="12" customHeight="1" x14ac:dyDescent="0.2">
      <c r="A20" s="497" t="s">
        <v>485</v>
      </c>
      <c r="B20" s="746">
        <v>7.6923076923076927E-3</v>
      </c>
      <c r="C20" s="499" t="s">
        <v>447</v>
      </c>
      <c r="D20" s="547">
        <v>50000</v>
      </c>
      <c r="E20" s="501">
        <v>7.6923076923076927E-3</v>
      </c>
      <c r="F20" s="548" t="s">
        <v>550</v>
      </c>
      <c r="G20" s="550">
        <v>10</v>
      </c>
    </row>
    <row r="21" spans="1:7" s="706" customFormat="1" ht="12" customHeight="1" x14ac:dyDescent="0.2">
      <c r="A21" s="497" t="s">
        <v>486</v>
      </c>
      <c r="B21" s="746">
        <v>1.9230769230769235E-2</v>
      </c>
      <c r="C21" s="499" t="s">
        <v>447</v>
      </c>
      <c r="D21" s="547">
        <v>50000</v>
      </c>
      <c r="E21" s="501">
        <v>1.9230769230769235E-2</v>
      </c>
      <c r="F21" s="548" t="s">
        <v>550</v>
      </c>
      <c r="G21" s="550">
        <v>10</v>
      </c>
    </row>
    <row r="22" spans="1:7" s="706" customFormat="1" ht="12" customHeight="1" x14ac:dyDescent="0.2">
      <c r="A22" s="497" t="s">
        <v>487</v>
      </c>
      <c r="B22" s="746">
        <v>2.5769230769230766E-2</v>
      </c>
      <c r="C22" s="499" t="s">
        <v>447</v>
      </c>
      <c r="D22" s="547">
        <v>50000</v>
      </c>
      <c r="E22" s="501">
        <v>2.5769230769230766E-2</v>
      </c>
      <c r="F22" s="548" t="s">
        <v>550</v>
      </c>
      <c r="G22" s="550">
        <v>20</v>
      </c>
    </row>
    <row r="23" spans="1:7" s="706" customFormat="1" ht="12" customHeight="1" x14ac:dyDescent="0.2">
      <c r="A23" s="497" t="s">
        <v>488</v>
      </c>
      <c r="B23" s="746">
        <v>2.5769230769230766E-2</v>
      </c>
      <c r="C23" s="499" t="s">
        <v>447</v>
      </c>
      <c r="D23" s="547">
        <v>50000</v>
      </c>
      <c r="E23" s="501">
        <v>2.5769230769230766E-2</v>
      </c>
      <c r="F23" s="548" t="s">
        <v>550</v>
      </c>
      <c r="G23" s="550">
        <v>2.5769230769230766E-2</v>
      </c>
    </row>
    <row r="24" spans="1:7" s="706" customFormat="1" ht="12" customHeight="1" x14ac:dyDescent="0.2">
      <c r="A24" s="497" t="s">
        <v>489</v>
      </c>
      <c r="B24" s="746">
        <v>0.25769230769230772</v>
      </c>
      <c r="C24" s="499" t="s">
        <v>447</v>
      </c>
      <c r="D24" s="547">
        <v>50000</v>
      </c>
      <c r="E24" s="501">
        <v>0.25769230769230772</v>
      </c>
      <c r="F24" s="548" t="s">
        <v>550</v>
      </c>
      <c r="G24" s="550">
        <v>0.25769230769230772</v>
      </c>
    </row>
    <row r="25" spans="1:7" s="706" customFormat="1" ht="12" customHeight="1" x14ac:dyDescent="0.2">
      <c r="A25" s="497" t="s">
        <v>490</v>
      </c>
      <c r="B25" s="746">
        <v>4.6153846153846156E-2</v>
      </c>
      <c r="C25" s="499" t="s">
        <v>447</v>
      </c>
      <c r="D25" s="547">
        <v>50000</v>
      </c>
      <c r="E25" s="501">
        <v>4.6153846153846156E-2</v>
      </c>
      <c r="F25" s="548" t="s">
        <v>550</v>
      </c>
      <c r="G25" s="550">
        <v>4.6153846153846156E-2</v>
      </c>
    </row>
    <row r="26" spans="1:7" s="706" customFormat="1" ht="12" customHeight="1" x14ac:dyDescent="0.2">
      <c r="A26" s="497" t="s">
        <v>491</v>
      </c>
      <c r="B26" s="746">
        <v>0.01</v>
      </c>
      <c r="C26" s="499" t="s">
        <v>447</v>
      </c>
      <c r="D26" s="547">
        <v>50000</v>
      </c>
      <c r="E26" s="501">
        <v>0.01</v>
      </c>
      <c r="F26" s="548" t="s">
        <v>550</v>
      </c>
      <c r="G26" s="550">
        <v>0.01</v>
      </c>
    </row>
    <row r="27" spans="1:7" s="706" customFormat="1" ht="12" customHeight="1" x14ac:dyDescent="0.2">
      <c r="A27" s="497" t="s">
        <v>492</v>
      </c>
      <c r="B27" s="746">
        <v>1.5</v>
      </c>
      <c r="C27" s="499" t="s">
        <v>447</v>
      </c>
      <c r="D27" s="547">
        <v>50000</v>
      </c>
      <c r="E27" s="501">
        <v>1.5</v>
      </c>
      <c r="F27" s="548" t="s">
        <v>240</v>
      </c>
      <c r="G27" s="550">
        <v>260</v>
      </c>
    </row>
    <row r="28" spans="1:7" s="706" customFormat="1" ht="12" customHeight="1" x14ac:dyDescent="0.2">
      <c r="A28" s="497" t="s">
        <v>493</v>
      </c>
      <c r="B28" s="746">
        <v>1.153846153846154</v>
      </c>
      <c r="C28" s="499" t="s">
        <v>447</v>
      </c>
      <c r="D28" s="547">
        <v>50000</v>
      </c>
      <c r="E28" s="501">
        <v>1.153846153846154</v>
      </c>
      <c r="F28" s="548" t="s">
        <v>240</v>
      </c>
      <c r="G28" s="550">
        <v>10000</v>
      </c>
    </row>
    <row r="29" spans="1:7" s="706" customFormat="1" ht="12" customHeight="1" x14ac:dyDescent="0.2">
      <c r="A29" s="497" t="s">
        <v>494</v>
      </c>
      <c r="B29" s="746">
        <v>5</v>
      </c>
      <c r="C29" s="499" t="s">
        <v>447</v>
      </c>
      <c r="D29" s="547">
        <v>8808.7999999999993</v>
      </c>
      <c r="E29" s="501">
        <v>5</v>
      </c>
      <c r="F29" s="548" t="s">
        <v>240</v>
      </c>
      <c r="G29" s="550">
        <v>5</v>
      </c>
    </row>
    <row r="30" spans="1:7" s="706" customFormat="1" ht="12" customHeight="1" x14ac:dyDescent="0.2">
      <c r="A30" s="497" t="s">
        <v>495</v>
      </c>
      <c r="B30" s="746">
        <v>4.2307692307692308</v>
      </c>
      <c r="C30" s="499" t="s">
        <v>447</v>
      </c>
      <c r="D30" s="547">
        <v>98.831999999999994</v>
      </c>
      <c r="E30" s="501">
        <v>4.2307692307692308</v>
      </c>
      <c r="F30" s="548" t="s">
        <v>240</v>
      </c>
      <c r="G30" s="550">
        <v>4.2307692307692308</v>
      </c>
    </row>
    <row r="31" spans="1:7" s="706" customFormat="1" ht="12" customHeight="1" thickBot="1" x14ac:dyDescent="0.25">
      <c r="A31" s="507" t="s">
        <v>496</v>
      </c>
      <c r="B31" s="750">
        <v>1.9230769230769231</v>
      </c>
      <c r="C31" s="509" t="s">
        <v>447</v>
      </c>
      <c r="D31" s="553">
        <v>50000</v>
      </c>
      <c r="E31" s="511">
        <v>1.9230769230769231</v>
      </c>
      <c r="F31" s="554" t="s">
        <v>240</v>
      </c>
      <c r="G31" s="556">
        <v>1.9230769230769231</v>
      </c>
    </row>
    <row r="32" spans="1:7" ht="11.25" customHeight="1" thickTop="1" x14ac:dyDescent="0.2">
      <c r="A32" s="514" t="s">
        <v>238</v>
      </c>
      <c r="G32" s="522"/>
    </row>
    <row r="33" spans="1:7" ht="11.25" customHeight="1" x14ac:dyDescent="0.2">
      <c r="A33" s="514" t="s">
        <v>629</v>
      </c>
      <c r="G33" s="522"/>
    </row>
    <row r="34" spans="1:7" ht="11.25" customHeight="1" x14ac:dyDescent="0.2">
      <c r="A34" s="514" t="s">
        <v>630</v>
      </c>
      <c r="G34" s="522"/>
    </row>
    <row r="35" spans="1:7" ht="11.25" customHeight="1" x14ac:dyDescent="0.2">
      <c r="A35" s="514"/>
      <c r="G35" s="522"/>
    </row>
    <row r="36" spans="1:7" ht="11.25" customHeight="1" x14ac:dyDescent="0.2">
      <c r="A36" s="521" t="s">
        <v>631</v>
      </c>
      <c r="G36" s="522"/>
    </row>
    <row r="37" spans="1:7" ht="11.25" customHeight="1" x14ac:dyDescent="0.2">
      <c r="A37" s="521" t="s">
        <v>632</v>
      </c>
      <c r="G37" s="522"/>
    </row>
    <row r="38" spans="1:7" ht="11.25" customHeight="1" x14ac:dyDescent="0.2">
      <c r="A38" s="521" t="s">
        <v>633</v>
      </c>
      <c r="G38" s="522"/>
    </row>
    <row r="39" spans="1:7" ht="11.25" customHeight="1" x14ac:dyDescent="0.2">
      <c r="A39" s="521" t="s">
        <v>634</v>
      </c>
      <c r="G39" s="522"/>
    </row>
    <row r="40" spans="1:7" ht="23.85" customHeight="1" x14ac:dyDescent="0.2">
      <c r="A40" s="1526" t="s">
        <v>635</v>
      </c>
      <c r="B40" s="1523"/>
      <c r="C40" s="1523"/>
      <c r="D40" s="1523"/>
      <c r="E40" s="1523"/>
      <c r="F40" s="1523"/>
      <c r="G40" s="1524"/>
    </row>
    <row r="41" spans="1:7" ht="22.35" customHeight="1" x14ac:dyDescent="0.2">
      <c r="A41" s="1526" t="s">
        <v>636</v>
      </c>
      <c r="B41" s="1523"/>
      <c r="C41" s="1523"/>
      <c r="D41" s="1523"/>
      <c r="E41" s="1523"/>
      <c r="F41" s="1523"/>
      <c r="G41" s="1524"/>
    </row>
    <row r="42" spans="1:7" ht="11.25" customHeight="1" thickBot="1" x14ac:dyDescent="0.25">
      <c r="A42" s="849" t="s">
        <v>637</v>
      </c>
      <c r="B42" s="819"/>
      <c r="C42" s="524"/>
      <c r="D42" s="819"/>
      <c r="E42" s="819"/>
      <c r="F42" s="819"/>
      <c r="G42" s="820"/>
    </row>
    <row r="43" spans="1:7" ht="12" thickTop="1" x14ac:dyDescent="0.2"/>
  </sheetData>
  <sheetProtection algorithmName="SHA-512" hashValue="pBfTOM0TXgG6r2w7BxqZ9iRLWXdgZank5ywWEz8Wk98fQLSNHqopd/GQnDQSazNLWspm1QCL1YnDKFDuB4ZLow==" saltValue="2G0hDnaWl3UA92tG+A+Brw==" spinCount="100000" sheet="1" objects="1" scenarios="1"/>
  <mergeCells count="5">
    <mergeCell ref="B4:B5"/>
    <mergeCell ref="A1:G1"/>
    <mergeCell ref="A4:A5"/>
    <mergeCell ref="A40:G40"/>
    <mergeCell ref="A41:G41"/>
  </mergeCells>
  <phoneticPr fontId="0" type="noConversion"/>
  <printOptions horizontalCentered="1"/>
  <pageMargins left="0.15748031496063" right="0.15748031496063" top="0.511811023622047" bottom="0.98425196850393704" header="0.511811023622047" footer="0.511811023622047"/>
  <pageSetup scale="68" orientation="landscape" r:id="rId1"/>
  <headerFooter alignWithMargins="0">
    <oddFooter>&amp;LHawai'i DOH
PFASs November 2024&amp;C&amp;8Page &amp;P of &amp;N&amp;R&amp;A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29"/>
    <pageSetUpPr fitToPage="1"/>
  </sheetPr>
  <dimension ref="A1:G44"/>
  <sheetViews>
    <sheetView zoomScaleNormal="100" workbookViewId="0">
      <selection activeCell="F24" sqref="F24"/>
    </sheetView>
  </sheetViews>
  <sheetFormatPr defaultColWidth="9.140625" defaultRowHeight="11.25" x14ac:dyDescent="0.2"/>
  <cols>
    <col min="1" max="1" width="50.5703125" style="517" customWidth="1"/>
    <col min="2" max="2" width="12.5703125" style="515" customWidth="1"/>
    <col min="3" max="3" width="20.7109375" style="784" customWidth="1"/>
    <col min="4" max="4" width="12.28515625" style="515" customWidth="1"/>
    <col min="5" max="5" width="8.85546875" style="515" customWidth="1"/>
    <col min="6" max="6" width="15.7109375" style="515" customWidth="1"/>
    <col min="7" max="7" width="13.7109375" style="515" customWidth="1"/>
    <col min="8" max="16384" width="9.140625" style="517"/>
  </cols>
  <sheetData>
    <row r="1" spans="1:7" s="706" customFormat="1" ht="50.1" customHeight="1" x14ac:dyDescent="0.25">
      <c r="A1" s="1572" t="s">
        <v>638</v>
      </c>
      <c r="B1" s="1535"/>
      <c r="C1" s="1535"/>
      <c r="D1" s="1535"/>
      <c r="E1" s="1535"/>
      <c r="F1" s="1535"/>
      <c r="G1" s="1576"/>
    </row>
    <row r="2" spans="1:7" s="706" customFormat="1" ht="15" x14ac:dyDescent="0.25">
      <c r="A2" s="1056" t="s">
        <v>639</v>
      </c>
      <c r="B2" s="468"/>
      <c r="C2" s="468"/>
      <c r="D2" s="468"/>
      <c r="E2" s="468"/>
      <c r="F2" s="468"/>
      <c r="G2" s="472"/>
    </row>
    <row r="3" spans="1:7" s="706" customFormat="1" ht="12" thickBot="1" x14ac:dyDescent="0.25">
      <c r="A3" s="989"/>
      <c r="B3" s="468"/>
      <c r="C3" s="990"/>
      <c r="D3" s="468"/>
      <c r="E3" s="468"/>
      <c r="F3" s="468"/>
      <c r="G3" s="515"/>
    </row>
    <row r="4" spans="1:7" s="706" customFormat="1" ht="48.75" customHeight="1" thickTop="1" x14ac:dyDescent="0.2">
      <c r="A4" s="1574" t="s">
        <v>624</v>
      </c>
      <c r="B4" s="1570" t="s">
        <v>625</v>
      </c>
      <c r="C4" s="1228"/>
      <c r="D4" s="1229" t="s">
        <v>626</v>
      </c>
      <c r="E4" s="1149" t="s">
        <v>627</v>
      </c>
      <c r="F4" s="1230" t="s">
        <v>546</v>
      </c>
      <c r="G4" s="1231" t="s">
        <v>640</v>
      </c>
    </row>
    <row r="5" spans="1:7" s="706" customFormat="1" ht="15.75" customHeight="1" thickBot="1" x14ac:dyDescent="0.25">
      <c r="A5" s="1575"/>
      <c r="B5" s="1571"/>
      <c r="C5" s="1232" t="s">
        <v>405</v>
      </c>
      <c r="D5" s="1154" t="s">
        <v>454</v>
      </c>
      <c r="E5" s="487" t="s">
        <v>448</v>
      </c>
      <c r="F5" s="1155" t="s">
        <v>449</v>
      </c>
      <c r="G5" s="1156" t="s">
        <v>334</v>
      </c>
    </row>
    <row r="6" spans="1:7" s="706" customFormat="1" ht="12" customHeight="1" x14ac:dyDescent="0.2">
      <c r="A6" s="490" t="s">
        <v>472</v>
      </c>
      <c r="B6" s="491">
        <v>2</v>
      </c>
      <c r="C6" s="492" t="s">
        <v>447</v>
      </c>
      <c r="D6" s="542">
        <v>50000</v>
      </c>
      <c r="E6" s="494">
        <v>2</v>
      </c>
      <c r="F6" s="543" t="s">
        <v>550</v>
      </c>
      <c r="G6" s="545">
        <v>127000</v>
      </c>
    </row>
    <row r="7" spans="1:7" s="706" customFormat="1" ht="12" customHeight="1" x14ac:dyDescent="0.2">
      <c r="A7" s="497" t="s">
        <v>473</v>
      </c>
      <c r="B7" s="498">
        <v>0.58076923076923059</v>
      </c>
      <c r="C7" s="499" t="s">
        <v>447</v>
      </c>
      <c r="D7" s="547">
        <v>50000</v>
      </c>
      <c r="E7" s="501">
        <v>0.58076923076923059</v>
      </c>
      <c r="F7" s="548" t="s">
        <v>550</v>
      </c>
      <c r="G7" s="550">
        <v>0.58076923076923059</v>
      </c>
    </row>
    <row r="8" spans="1:7" s="706" customFormat="1" ht="12" customHeight="1" x14ac:dyDescent="0.2">
      <c r="A8" s="497" t="s">
        <v>474</v>
      </c>
      <c r="B8" s="498">
        <v>0.01</v>
      </c>
      <c r="C8" s="499" t="s">
        <v>447</v>
      </c>
      <c r="D8" s="547">
        <v>50000</v>
      </c>
      <c r="E8" s="501">
        <v>0.01</v>
      </c>
      <c r="F8" s="548" t="s">
        <v>550</v>
      </c>
      <c r="G8" s="550">
        <v>10</v>
      </c>
    </row>
    <row r="9" spans="1:7" s="706" customFormat="1" ht="12" customHeight="1" x14ac:dyDescent="0.2">
      <c r="A9" s="497" t="s">
        <v>475</v>
      </c>
      <c r="B9" s="498">
        <v>3.8461538461538471E-2</v>
      </c>
      <c r="C9" s="499" t="s">
        <v>447</v>
      </c>
      <c r="D9" s="547">
        <v>50000</v>
      </c>
      <c r="E9" s="501">
        <v>3.8461538461538471E-2</v>
      </c>
      <c r="F9" s="548" t="s">
        <v>550</v>
      </c>
      <c r="G9" s="550">
        <v>3.8461538461538471E-2</v>
      </c>
    </row>
    <row r="10" spans="1:7" s="706" customFormat="1" ht="12" customHeight="1" x14ac:dyDescent="0.2">
      <c r="A10" s="497" t="s">
        <v>476</v>
      </c>
      <c r="B10" s="498">
        <v>4.0000000000000001E-3</v>
      </c>
      <c r="C10" s="499" t="s">
        <v>447</v>
      </c>
      <c r="D10" s="547">
        <v>50000</v>
      </c>
      <c r="E10" s="501">
        <v>4.0000000000000001E-3</v>
      </c>
      <c r="F10" s="548" t="s">
        <v>550</v>
      </c>
      <c r="G10" s="550">
        <v>31</v>
      </c>
    </row>
    <row r="11" spans="1:7" s="706" customFormat="1" ht="12" customHeight="1" x14ac:dyDescent="0.2">
      <c r="A11" s="497" t="s">
        <v>477</v>
      </c>
      <c r="B11" s="498">
        <v>3.8461538461538471E-2</v>
      </c>
      <c r="C11" s="499" t="s">
        <v>447</v>
      </c>
      <c r="D11" s="547">
        <v>50000</v>
      </c>
      <c r="E11" s="501">
        <v>3.8461538461538471E-2</v>
      </c>
      <c r="F11" s="548" t="s">
        <v>550</v>
      </c>
      <c r="G11" s="550">
        <v>3.8461538461538471E-2</v>
      </c>
    </row>
    <row r="12" spans="1:7" s="706" customFormat="1" ht="12" customHeight="1" x14ac:dyDescent="0.2">
      <c r="A12" s="497" t="s">
        <v>200</v>
      </c>
      <c r="B12" s="498">
        <v>18.475073313782989</v>
      </c>
      <c r="C12" s="499" t="s">
        <v>447</v>
      </c>
      <c r="D12" s="547">
        <v>50000</v>
      </c>
      <c r="E12" s="501">
        <v>18.475073313782989</v>
      </c>
      <c r="F12" s="548" t="s">
        <v>551</v>
      </c>
      <c r="G12" s="550">
        <v>100</v>
      </c>
    </row>
    <row r="13" spans="1:7" s="706" customFormat="1" ht="12" customHeight="1" x14ac:dyDescent="0.2">
      <c r="A13" s="497" t="s">
        <v>478</v>
      </c>
      <c r="B13" s="498">
        <v>0.51319648093841652</v>
      </c>
      <c r="C13" s="499" t="s">
        <v>447</v>
      </c>
      <c r="D13" s="547">
        <v>50000</v>
      </c>
      <c r="E13" s="501">
        <v>0.51319648093841652</v>
      </c>
      <c r="F13" s="548" t="s">
        <v>551</v>
      </c>
      <c r="G13" s="550">
        <v>0.51319648093841652</v>
      </c>
    </row>
    <row r="14" spans="1:7" s="706" customFormat="1" ht="12" customHeight="1" x14ac:dyDescent="0.2">
      <c r="A14" s="497" t="s">
        <v>479</v>
      </c>
      <c r="B14" s="498">
        <v>14.615384615384617</v>
      </c>
      <c r="C14" s="499" t="s">
        <v>447</v>
      </c>
      <c r="D14" s="547">
        <v>50000</v>
      </c>
      <c r="E14" s="501">
        <v>14.615384615384617</v>
      </c>
      <c r="F14" s="548" t="s">
        <v>550</v>
      </c>
      <c r="G14" s="550">
        <v>4200</v>
      </c>
    </row>
    <row r="15" spans="1:7" s="706" customFormat="1" ht="12" customHeight="1" x14ac:dyDescent="0.2">
      <c r="A15" s="497" t="s">
        <v>480</v>
      </c>
      <c r="B15" s="498">
        <v>1.5384615384615383</v>
      </c>
      <c r="C15" s="499" t="s">
        <v>447</v>
      </c>
      <c r="D15" s="547">
        <v>50000</v>
      </c>
      <c r="E15" s="501">
        <v>1.5384615384615383</v>
      </c>
      <c r="F15" s="548" t="s">
        <v>550</v>
      </c>
      <c r="G15" s="550">
        <v>1.5384615384615383</v>
      </c>
    </row>
    <row r="16" spans="1:7" s="706" customFormat="1" ht="12" customHeight="1" x14ac:dyDescent="0.2">
      <c r="A16" s="497" t="s">
        <v>481</v>
      </c>
      <c r="B16" s="498">
        <v>1.9230769230769231</v>
      </c>
      <c r="C16" s="499" t="s">
        <v>447</v>
      </c>
      <c r="D16" s="547">
        <v>50000</v>
      </c>
      <c r="E16" s="501">
        <v>1.9230769230769231</v>
      </c>
      <c r="F16" s="548" t="s">
        <v>550</v>
      </c>
      <c r="G16" s="550">
        <v>48000</v>
      </c>
    </row>
    <row r="17" spans="1:7" s="706" customFormat="1" ht="12" customHeight="1" x14ac:dyDescent="0.2">
      <c r="A17" s="497" t="s">
        <v>482</v>
      </c>
      <c r="B17" s="498">
        <v>7.6923076923076941E-2</v>
      </c>
      <c r="C17" s="499" t="s">
        <v>447</v>
      </c>
      <c r="D17" s="547">
        <v>50000</v>
      </c>
      <c r="E17" s="501">
        <v>7.6923076923076941E-2</v>
      </c>
      <c r="F17" s="548" t="s">
        <v>550</v>
      </c>
      <c r="G17" s="550">
        <v>7.6923076923076941E-2</v>
      </c>
    </row>
    <row r="18" spans="1:7" s="706" customFormat="1" ht="12" customHeight="1" x14ac:dyDescent="0.2">
      <c r="A18" s="497" t="s">
        <v>483</v>
      </c>
      <c r="B18" s="498">
        <v>4.0000000000000001E-3</v>
      </c>
      <c r="C18" s="499" t="s">
        <v>447</v>
      </c>
      <c r="D18" s="547">
        <v>50000</v>
      </c>
      <c r="E18" s="501">
        <v>4.0000000000000001E-3</v>
      </c>
      <c r="F18" s="548" t="s">
        <v>550</v>
      </c>
      <c r="G18" s="550">
        <v>119</v>
      </c>
    </row>
    <row r="19" spans="1:7" s="706" customFormat="1" ht="12" customHeight="1" x14ac:dyDescent="0.2">
      <c r="A19" s="497" t="s">
        <v>484</v>
      </c>
      <c r="B19" s="498">
        <v>0.01</v>
      </c>
      <c r="C19" s="499" t="s">
        <v>447</v>
      </c>
      <c r="D19" s="547">
        <v>50000</v>
      </c>
      <c r="E19" s="501">
        <v>0.01</v>
      </c>
      <c r="F19" s="548" t="s">
        <v>550</v>
      </c>
      <c r="G19" s="550">
        <v>10</v>
      </c>
    </row>
    <row r="20" spans="1:7" s="706" customFormat="1" ht="12" customHeight="1" x14ac:dyDescent="0.2">
      <c r="A20" s="497" t="s">
        <v>485</v>
      </c>
      <c r="B20" s="498">
        <v>7.6923076923076927E-3</v>
      </c>
      <c r="C20" s="499" t="s">
        <v>447</v>
      </c>
      <c r="D20" s="547">
        <v>50000</v>
      </c>
      <c r="E20" s="501">
        <v>7.6923076923076927E-3</v>
      </c>
      <c r="F20" s="548" t="s">
        <v>550</v>
      </c>
      <c r="G20" s="550">
        <v>10</v>
      </c>
    </row>
    <row r="21" spans="1:7" s="706" customFormat="1" ht="12" customHeight="1" x14ac:dyDescent="0.2">
      <c r="A21" s="497" t="s">
        <v>486</v>
      </c>
      <c r="B21" s="498">
        <v>1.9230769230769235E-2</v>
      </c>
      <c r="C21" s="499" t="s">
        <v>447</v>
      </c>
      <c r="D21" s="547">
        <v>50000</v>
      </c>
      <c r="E21" s="501">
        <v>1.9230769230769235E-2</v>
      </c>
      <c r="F21" s="548" t="s">
        <v>550</v>
      </c>
      <c r="G21" s="550">
        <v>440</v>
      </c>
    </row>
    <row r="22" spans="1:7" s="706" customFormat="1" ht="12" customHeight="1" x14ac:dyDescent="0.2">
      <c r="A22" s="497" t="s">
        <v>487</v>
      </c>
      <c r="B22" s="498">
        <v>2.5769230769230766E-2</v>
      </c>
      <c r="C22" s="499" t="s">
        <v>447</v>
      </c>
      <c r="D22" s="547">
        <v>50000</v>
      </c>
      <c r="E22" s="501">
        <v>2.5769230769230766E-2</v>
      </c>
      <c r="F22" s="548" t="s">
        <v>550</v>
      </c>
      <c r="G22" s="550">
        <v>640</v>
      </c>
    </row>
    <row r="23" spans="1:7" s="706" customFormat="1" ht="12" customHeight="1" x14ac:dyDescent="0.2">
      <c r="A23" s="497" t="s">
        <v>488</v>
      </c>
      <c r="B23" s="498">
        <v>2.5769230769230766E-2</v>
      </c>
      <c r="C23" s="499" t="s">
        <v>447</v>
      </c>
      <c r="D23" s="547">
        <v>50000</v>
      </c>
      <c r="E23" s="501">
        <v>2.5769230769230766E-2</v>
      </c>
      <c r="F23" s="548" t="s">
        <v>550</v>
      </c>
      <c r="G23" s="550">
        <v>2.5769230769230766E-2</v>
      </c>
    </row>
    <row r="24" spans="1:7" s="706" customFormat="1" ht="12" customHeight="1" x14ac:dyDescent="0.2">
      <c r="A24" s="497" t="s">
        <v>489</v>
      </c>
      <c r="B24" s="498">
        <v>0.25769230769230772</v>
      </c>
      <c r="C24" s="499" t="s">
        <v>447</v>
      </c>
      <c r="D24" s="547">
        <v>50000</v>
      </c>
      <c r="E24" s="501">
        <v>0.25769230769230772</v>
      </c>
      <c r="F24" s="548" t="s">
        <v>550</v>
      </c>
      <c r="G24" s="550">
        <v>0.25769230769230772</v>
      </c>
    </row>
    <row r="25" spans="1:7" s="706" customFormat="1" ht="12" customHeight="1" x14ac:dyDescent="0.2">
      <c r="A25" s="497" t="s">
        <v>490</v>
      </c>
      <c r="B25" s="498">
        <v>4.6153846153846156E-2</v>
      </c>
      <c r="C25" s="499" t="s">
        <v>447</v>
      </c>
      <c r="D25" s="547">
        <v>50000</v>
      </c>
      <c r="E25" s="501">
        <v>4.6153846153846156E-2</v>
      </c>
      <c r="F25" s="548" t="s">
        <v>550</v>
      </c>
      <c r="G25" s="550">
        <v>4.6153846153846156E-2</v>
      </c>
    </row>
    <row r="26" spans="1:7" s="706" customFormat="1" ht="12" customHeight="1" x14ac:dyDescent="0.2">
      <c r="A26" s="497" t="s">
        <v>491</v>
      </c>
      <c r="B26" s="498">
        <v>0.01</v>
      </c>
      <c r="C26" s="499" t="s">
        <v>447</v>
      </c>
      <c r="D26" s="547">
        <v>50000</v>
      </c>
      <c r="E26" s="501">
        <v>0.01</v>
      </c>
      <c r="F26" s="548" t="s">
        <v>550</v>
      </c>
      <c r="G26" s="550">
        <v>0.01</v>
      </c>
    </row>
    <row r="27" spans="1:7" s="706" customFormat="1" ht="12" customHeight="1" x14ac:dyDescent="0.2">
      <c r="A27" s="497" t="s">
        <v>492</v>
      </c>
      <c r="B27" s="498">
        <v>1.5</v>
      </c>
      <c r="C27" s="499" t="s">
        <v>447</v>
      </c>
      <c r="D27" s="547">
        <v>50000</v>
      </c>
      <c r="E27" s="501">
        <v>1.5</v>
      </c>
      <c r="F27" s="548" t="s">
        <v>240</v>
      </c>
      <c r="G27" s="550">
        <v>10800</v>
      </c>
    </row>
    <row r="28" spans="1:7" s="706" customFormat="1" ht="12" customHeight="1" x14ac:dyDescent="0.2">
      <c r="A28" s="497" t="s">
        <v>493</v>
      </c>
      <c r="B28" s="498">
        <v>1.153846153846154</v>
      </c>
      <c r="C28" s="499" t="s">
        <v>447</v>
      </c>
      <c r="D28" s="547">
        <v>50000</v>
      </c>
      <c r="E28" s="501">
        <v>1.153846153846154</v>
      </c>
      <c r="F28" s="548" t="s">
        <v>240</v>
      </c>
      <c r="G28" s="550">
        <v>10000</v>
      </c>
    </row>
    <row r="29" spans="1:7" s="706" customFormat="1" ht="12" customHeight="1" x14ac:dyDescent="0.2">
      <c r="A29" s="497" t="s">
        <v>494</v>
      </c>
      <c r="B29" s="498">
        <v>5</v>
      </c>
      <c r="C29" s="499" t="s">
        <v>447</v>
      </c>
      <c r="D29" s="547">
        <v>8808.7999999999993</v>
      </c>
      <c r="E29" s="501">
        <v>5</v>
      </c>
      <c r="F29" s="548" t="s">
        <v>240</v>
      </c>
      <c r="G29" s="550">
        <v>5</v>
      </c>
    </row>
    <row r="30" spans="1:7" s="706" customFormat="1" ht="12" customHeight="1" x14ac:dyDescent="0.2">
      <c r="A30" s="497" t="s">
        <v>495</v>
      </c>
      <c r="B30" s="498">
        <v>4.2307692307692308</v>
      </c>
      <c r="C30" s="499" t="s">
        <v>447</v>
      </c>
      <c r="D30" s="547">
        <v>98.831999999999994</v>
      </c>
      <c r="E30" s="501">
        <v>4.2307692307692308</v>
      </c>
      <c r="F30" s="548" t="s">
        <v>240</v>
      </c>
      <c r="G30" s="550">
        <v>4.2307692307692308</v>
      </c>
    </row>
    <row r="31" spans="1:7" s="706" customFormat="1" ht="12" customHeight="1" thickBot="1" x14ac:dyDescent="0.25">
      <c r="A31" s="507" t="s">
        <v>496</v>
      </c>
      <c r="B31" s="508">
        <v>1.9230769230769231</v>
      </c>
      <c r="C31" s="509" t="s">
        <v>447</v>
      </c>
      <c r="D31" s="553">
        <v>50000</v>
      </c>
      <c r="E31" s="511">
        <v>1.9230769230769231</v>
      </c>
      <c r="F31" s="554" t="s">
        <v>240</v>
      </c>
      <c r="G31" s="556">
        <v>1.9230769230769231</v>
      </c>
    </row>
    <row r="32" spans="1:7" ht="11.25" customHeight="1" thickTop="1" x14ac:dyDescent="0.2">
      <c r="A32" s="514" t="s">
        <v>238</v>
      </c>
      <c r="G32" s="522"/>
    </row>
    <row r="33" spans="1:7" ht="11.25" customHeight="1" x14ac:dyDescent="0.2">
      <c r="A33" s="514" t="s">
        <v>629</v>
      </c>
      <c r="G33" s="522"/>
    </row>
    <row r="34" spans="1:7" ht="11.25" customHeight="1" x14ac:dyDescent="0.2">
      <c r="A34" s="514" t="s">
        <v>630</v>
      </c>
      <c r="G34" s="522"/>
    </row>
    <row r="35" spans="1:7" ht="11.25" customHeight="1" x14ac:dyDescent="0.2">
      <c r="A35" s="514"/>
      <c r="G35" s="522"/>
    </row>
    <row r="36" spans="1:7" ht="11.25" customHeight="1" x14ac:dyDescent="0.2">
      <c r="A36" s="521" t="s">
        <v>631</v>
      </c>
      <c r="G36" s="522"/>
    </row>
    <row r="37" spans="1:7" ht="11.25" customHeight="1" x14ac:dyDescent="0.2">
      <c r="A37" s="521" t="s">
        <v>632</v>
      </c>
      <c r="G37" s="522"/>
    </row>
    <row r="38" spans="1:7" ht="11.25" customHeight="1" x14ac:dyDescent="0.2">
      <c r="A38" s="521" t="s">
        <v>633</v>
      </c>
      <c r="G38" s="522"/>
    </row>
    <row r="39" spans="1:7" ht="11.25" customHeight="1" x14ac:dyDescent="0.2">
      <c r="A39" s="521" t="s">
        <v>634</v>
      </c>
      <c r="G39" s="522"/>
    </row>
    <row r="40" spans="1:7" ht="23.85" customHeight="1" x14ac:dyDescent="0.2">
      <c r="A40" s="1526" t="s">
        <v>635</v>
      </c>
      <c r="B40" s="1523"/>
      <c r="C40" s="1523"/>
      <c r="D40" s="1523"/>
      <c r="E40" s="1523"/>
      <c r="F40" s="1523"/>
      <c r="G40" s="1524"/>
    </row>
    <row r="41" spans="1:7" ht="22.5" customHeight="1" x14ac:dyDescent="0.2">
      <c r="A41" s="1526" t="s">
        <v>636</v>
      </c>
      <c r="B41" s="1523"/>
      <c r="C41" s="1523"/>
      <c r="D41" s="1523"/>
      <c r="E41" s="1523"/>
      <c r="F41" s="1523"/>
      <c r="G41" s="1524"/>
    </row>
    <row r="42" spans="1:7" x14ac:dyDescent="0.2">
      <c r="A42" s="521"/>
      <c r="G42" s="522"/>
    </row>
    <row r="43" spans="1:7" ht="12" thickBot="1" x14ac:dyDescent="0.25">
      <c r="A43" s="849" t="s">
        <v>637</v>
      </c>
      <c r="B43" s="819"/>
      <c r="C43" s="524"/>
      <c r="D43" s="819"/>
      <c r="E43" s="819"/>
      <c r="F43" s="819"/>
      <c r="G43" s="820"/>
    </row>
    <row r="44" spans="1:7" ht="12" thickTop="1" x14ac:dyDescent="0.2"/>
  </sheetData>
  <sheetProtection algorithmName="SHA-512" hashValue="J8DoPEDK3JddDD9A72OChZcTid76uCTPDn4ISCTl+sPKfDHszRsLF2IjLlK1n4m8bB3vB/WeRzOEVaOktn6ivQ==" saltValue="Rs/mlpd3cFRchYwxc4B1/g==" spinCount="100000" sheet="1" objects="1" scenarios="1"/>
  <mergeCells count="5">
    <mergeCell ref="B4:B5"/>
    <mergeCell ref="A1:G1"/>
    <mergeCell ref="A4:A5"/>
    <mergeCell ref="A40:G40"/>
    <mergeCell ref="A41:G41"/>
  </mergeCells>
  <phoneticPr fontId="0" type="noConversion"/>
  <printOptions horizontalCentered="1"/>
  <pageMargins left="0.15748031496063" right="0.15748031496063" top="0.511811023622047" bottom="0.98425196850393704" header="0.511811023622047" footer="0.511811023622047"/>
  <pageSetup scale="68" orientation="landscape" r:id="rId1"/>
  <headerFooter alignWithMargins="0">
    <oddFooter>&amp;LHawai'i DOH
PFASs November 2024&amp;C&amp;8Page &amp;P of &amp;N&amp;R&amp;A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indexed="29"/>
    <pageSetUpPr fitToPage="1"/>
  </sheetPr>
  <dimension ref="A1:G43"/>
  <sheetViews>
    <sheetView zoomScaleNormal="100" workbookViewId="0">
      <selection activeCell="F24" sqref="F24"/>
    </sheetView>
  </sheetViews>
  <sheetFormatPr defaultColWidth="9.140625" defaultRowHeight="11.25" x14ac:dyDescent="0.2"/>
  <cols>
    <col min="1" max="1" width="50.5703125" style="470" customWidth="1"/>
    <col min="2" max="2" width="12.5703125" style="515" customWidth="1"/>
    <col min="3" max="3" width="20.7109375" style="784" customWidth="1"/>
    <col min="4" max="4" width="12.5703125" style="515" customWidth="1"/>
    <col min="5" max="5" width="15.7109375" style="515" customWidth="1"/>
    <col min="6" max="6" width="13.7109375" style="515" customWidth="1"/>
    <col min="7" max="16384" width="9.140625" style="517"/>
  </cols>
  <sheetData>
    <row r="1" spans="1:7" s="706" customFormat="1" ht="50.1" customHeight="1" x14ac:dyDescent="0.25">
      <c r="A1" s="1572" t="s">
        <v>641</v>
      </c>
      <c r="B1" s="1577"/>
      <c r="C1" s="1577"/>
      <c r="D1" s="1577"/>
      <c r="E1" s="1577"/>
      <c r="F1" s="1577"/>
    </row>
    <row r="2" spans="1:7" s="706" customFormat="1" ht="15" x14ac:dyDescent="0.25">
      <c r="A2" s="1583" t="s">
        <v>639</v>
      </c>
      <c r="B2" s="1576"/>
      <c r="C2" s="1576"/>
      <c r="D2" s="1576"/>
      <c r="E2" s="1576"/>
      <c r="F2" s="1576"/>
    </row>
    <row r="3" spans="1:7" s="706" customFormat="1" ht="13.5" thickBot="1" x14ac:dyDescent="0.25">
      <c r="A3" s="473"/>
      <c r="B3" s="568"/>
      <c r="C3" s="990"/>
      <c r="D3" s="468"/>
      <c r="E3" s="468"/>
      <c r="F3" s="468"/>
      <c r="G3" s="469"/>
    </row>
    <row r="4" spans="1:7" s="706" customFormat="1" ht="48.75" customHeight="1" thickTop="1" x14ac:dyDescent="0.2">
      <c r="A4" s="1578" t="s">
        <v>624</v>
      </c>
      <c r="B4" s="1580" t="s">
        <v>642</v>
      </c>
      <c r="C4" s="1233"/>
      <c r="D4" s="1187" t="s">
        <v>643</v>
      </c>
      <c r="E4" s="1189" t="s">
        <v>546</v>
      </c>
      <c r="F4" s="1234" t="s">
        <v>628</v>
      </c>
      <c r="G4" s="469"/>
    </row>
    <row r="5" spans="1:7" s="706" customFormat="1" ht="15.75" customHeight="1" thickBot="1" x14ac:dyDescent="0.25">
      <c r="A5" s="1579"/>
      <c r="B5" s="1581"/>
      <c r="C5" s="1235" t="s">
        <v>405</v>
      </c>
      <c r="D5" s="1236" t="s">
        <v>456</v>
      </c>
      <c r="E5" s="1237" t="s">
        <v>449</v>
      </c>
      <c r="F5" s="1238" t="s">
        <v>334</v>
      </c>
      <c r="G5" s="469"/>
    </row>
    <row r="6" spans="1:7" s="706" customFormat="1" ht="12" customHeight="1" x14ac:dyDescent="0.2">
      <c r="A6" s="1239" t="s">
        <v>472</v>
      </c>
      <c r="B6" s="491">
        <v>50000</v>
      </c>
      <c r="C6" s="492" t="s">
        <v>257</v>
      </c>
      <c r="D6" s="542">
        <v>50000</v>
      </c>
      <c r="E6" s="543" t="s">
        <v>550</v>
      </c>
      <c r="F6" s="545">
        <v>127000</v>
      </c>
    </row>
    <row r="7" spans="1:7" s="706" customFormat="1" ht="12" customHeight="1" x14ac:dyDescent="0.2">
      <c r="A7" s="1240" t="s">
        <v>473</v>
      </c>
      <c r="B7" s="498">
        <v>0.58076923076923059</v>
      </c>
      <c r="C7" s="499" t="s">
        <v>1137</v>
      </c>
      <c r="D7" s="547">
        <v>50000</v>
      </c>
      <c r="E7" s="548" t="s">
        <v>550</v>
      </c>
      <c r="F7" s="550">
        <v>0.58076923076923059</v>
      </c>
    </row>
    <row r="8" spans="1:7" s="706" customFormat="1" ht="12" customHeight="1" x14ac:dyDescent="0.2">
      <c r="A8" s="1240" t="s">
        <v>474</v>
      </c>
      <c r="B8" s="498">
        <v>10</v>
      </c>
      <c r="C8" s="499" t="s">
        <v>1137</v>
      </c>
      <c r="D8" s="547">
        <v>50000</v>
      </c>
      <c r="E8" s="548" t="s">
        <v>550</v>
      </c>
      <c r="F8" s="550">
        <v>10</v>
      </c>
    </row>
    <row r="9" spans="1:7" s="706" customFormat="1" ht="12" customHeight="1" x14ac:dyDescent="0.2">
      <c r="A9" s="1240" t="s">
        <v>475</v>
      </c>
      <c r="B9" s="498">
        <v>3.8461538461538471E-2</v>
      </c>
      <c r="C9" s="499" t="s">
        <v>1137</v>
      </c>
      <c r="D9" s="547">
        <v>50000</v>
      </c>
      <c r="E9" s="548" t="s">
        <v>550</v>
      </c>
      <c r="F9" s="550">
        <v>3.8461538461538471E-2</v>
      </c>
    </row>
    <row r="10" spans="1:7" s="706" customFormat="1" ht="12" customHeight="1" x14ac:dyDescent="0.2">
      <c r="A10" s="1240" t="s">
        <v>476</v>
      </c>
      <c r="B10" s="498">
        <v>1.1000000000000001</v>
      </c>
      <c r="C10" s="499" t="s">
        <v>1137</v>
      </c>
      <c r="D10" s="547">
        <v>50000</v>
      </c>
      <c r="E10" s="548" t="s">
        <v>550</v>
      </c>
      <c r="F10" s="550">
        <v>1.1000000000000001</v>
      </c>
    </row>
    <row r="11" spans="1:7" s="706" customFormat="1" ht="12" customHeight="1" x14ac:dyDescent="0.2">
      <c r="A11" s="1240" t="s">
        <v>477</v>
      </c>
      <c r="B11" s="498">
        <v>3.8461538461538471E-2</v>
      </c>
      <c r="C11" s="499" t="s">
        <v>1137</v>
      </c>
      <c r="D11" s="547">
        <v>50000</v>
      </c>
      <c r="E11" s="548" t="s">
        <v>550</v>
      </c>
      <c r="F11" s="550">
        <v>3.8461538461538471E-2</v>
      </c>
    </row>
    <row r="12" spans="1:7" s="706" customFormat="1" ht="12" customHeight="1" x14ac:dyDescent="0.2">
      <c r="A12" s="1240" t="s">
        <v>200</v>
      </c>
      <c r="B12" s="498">
        <v>100</v>
      </c>
      <c r="C12" s="499" t="s">
        <v>1137</v>
      </c>
      <c r="D12" s="547">
        <v>50000</v>
      </c>
      <c r="E12" s="548" t="s">
        <v>551</v>
      </c>
      <c r="F12" s="550">
        <v>100</v>
      </c>
    </row>
    <row r="13" spans="1:7" s="706" customFormat="1" ht="12" customHeight="1" x14ac:dyDescent="0.2">
      <c r="A13" s="1240" t="s">
        <v>478</v>
      </c>
      <c r="B13" s="498">
        <v>0.51319648093841652</v>
      </c>
      <c r="C13" s="499" t="s">
        <v>1137</v>
      </c>
      <c r="D13" s="547">
        <v>50000</v>
      </c>
      <c r="E13" s="548" t="s">
        <v>551</v>
      </c>
      <c r="F13" s="550">
        <v>0.51319648093841652</v>
      </c>
    </row>
    <row r="14" spans="1:7" s="706" customFormat="1" ht="12" customHeight="1" x14ac:dyDescent="0.2">
      <c r="A14" s="1240" t="s">
        <v>479</v>
      </c>
      <c r="B14" s="498">
        <v>830</v>
      </c>
      <c r="C14" s="499" t="s">
        <v>1137</v>
      </c>
      <c r="D14" s="547">
        <v>50000</v>
      </c>
      <c r="E14" s="548" t="s">
        <v>550</v>
      </c>
      <c r="F14" s="550">
        <v>830</v>
      </c>
    </row>
    <row r="15" spans="1:7" s="706" customFormat="1" ht="12" customHeight="1" x14ac:dyDescent="0.2">
      <c r="A15" s="1240" t="s">
        <v>480</v>
      </c>
      <c r="B15" s="498">
        <v>1.5384615384615383</v>
      </c>
      <c r="C15" s="499" t="s">
        <v>1137</v>
      </c>
      <c r="D15" s="547">
        <v>50000</v>
      </c>
      <c r="E15" s="548" t="s">
        <v>550</v>
      </c>
      <c r="F15" s="550">
        <v>1.5384615384615383</v>
      </c>
    </row>
    <row r="16" spans="1:7" s="706" customFormat="1" ht="12" customHeight="1" x14ac:dyDescent="0.2">
      <c r="A16" s="1240" t="s">
        <v>481</v>
      </c>
      <c r="B16" s="498">
        <v>6300</v>
      </c>
      <c r="C16" s="499" t="s">
        <v>1137</v>
      </c>
      <c r="D16" s="547">
        <v>50000</v>
      </c>
      <c r="E16" s="548" t="s">
        <v>550</v>
      </c>
      <c r="F16" s="550">
        <v>6300</v>
      </c>
    </row>
    <row r="17" spans="1:6" s="706" customFormat="1" ht="12" customHeight="1" x14ac:dyDescent="0.2">
      <c r="A17" s="1240" t="s">
        <v>482</v>
      </c>
      <c r="B17" s="498">
        <v>7.6923076923076941E-2</v>
      </c>
      <c r="C17" s="499" t="s">
        <v>1137</v>
      </c>
      <c r="D17" s="547">
        <v>50000</v>
      </c>
      <c r="E17" s="548" t="s">
        <v>550</v>
      </c>
      <c r="F17" s="550">
        <v>7.6923076923076941E-2</v>
      </c>
    </row>
    <row r="18" spans="1:6" s="706" customFormat="1" ht="12" customHeight="1" x14ac:dyDescent="0.2">
      <c r="A18" s="1240" t="s">
        <v>483</v>
      </c>
      <c r="B18" s="498">
        <v>8.3000000000000007</v>
      </c>
      <c r="C18" s="499" t="s">
        <v>1137</v>
      </c>
      <c r="D18" s="547">
        <v>50000</v>
      </c>
      <c r="E18" s="548" t="s">
        <v>550</v>
      </c>
      <c r="F18" s="550">
        <v>8.3000000000000007</v>
      </c>
    </row>
    <row r="19" spans="1:6" s="706" customFormat="1" ht="12" customHeight="1" x14ac:dyDescent="0.2">
      <c r="A19" s="1240" t="s">
        <v>484</v>
      </c>
      <c r="B19" s="498">
        <v>8</v>
      </c>
      <c r="C19" s="499" t="s">
        <v>1137</v>
      </c>
      <c r="D19" s="547">
        <v>50000</v>
      </c>
      <c r="E19" s="548" t="s">
        <v>550</v>
      </c>
      <c r="F19" s="550">
        <v>8</v>
      </c>
    </row>
    <row r="20" spans="1:6" s="706" customFormat="1" ht="12" customHeight="1" x14ac:dyDescent="0.2">
      <c r="A20" s="1240" t="s">
        <v>485</v>
      </c>
      <c r="B20" s="498">
        <v>10</v>
      </c>
      <c r="C20" s="499" t="s">
        <v>1137</v>
      </c>
      <c r="D20" s="547">
        <v>50000</v>
      </c>
      <c r="E20" s="548" t="s">
        <v>550</v>
      </c>
      <c r="F20" s="550">
        <v>10</v>
      </c>
    </row>
    <row r="21" spans="1:6" s="706" customFormat="1" ht="12" customHeight="1" x14ac:dyDescent="0.2">
      <c r="A21" s="1240" t="s">
        <v>486</v>
      </c>
      <c r="B21" s="498">
        <v>10</v>
      </c>
      <c r="C21" s="499" t="s">
        <v>1137</v>
      </c>
      <c r="D21" s="547">
        <v>50000</v>
      </c>
      <c r="E21" s="548" t="s">
        <v>550</v>
      </c>
      <c r="F21" s="550">
        <v>10</v>
      </c>
    </row>
    <row r="22" spans="1:6" s="706" customFormat="1" ht="12" customHeight="1" x14ac:dyDescent="0.2">
      <c r="A22" s="1240" t="s">
        <v>487</v>
      </c>
      <c r="B22" s="498">
        <v>20</v>
      </c>
      <c r="C22" s="499" t="s">
        <v>1137</v>
      </c>
      <c r="D22" s="547">
        <v>50000</v>
      </c>
      <c r="E22" s="548" t="s">
        <v>550</v>
      </c>
      <c r="F22" s="550">
        <v>20</v>
      </c>
    </row>
    <row r="23" spans="1:6" s="706" customFormat="1" ht="12" customHeight="1" x14ac:dyDescent="0.2">
      <c r="A23" s="1240" t="s">
        <v>488</v>
      </c>
      <c r="B23" s="498">
        <v>2.5769230769230766E-2</v>
      </c>
      <c r="C23" s="499" t="s">
        <v>1137</v>
      </c>
      <c r="D23" s="547">
        <v>50000</v>
      </c>
      <c r="E23" s="548" t="s">
        <v>550</v>
      </c>
      <c r="F23" s="550">
        <v>2.5769230769230766E-2</v>
      </c>
    </row>
    <row r="24" spans="1:6" s="706" customFormat="1" ht="12" customHeight="1" x14ac:dyDescent="0.2">
      <c r="A24" s="1240" t="s">
        <v>489</v>
      </c>
      <c r="B24" s="498">
        <v>0.25769230769230772</v>
      </c>
      <c r="C24" s="499" t="s">
        <v>1137</v>
      </c>
      <c r="D24" s="547">
        <v>50000</v>
      </c>
      <c r="E24" s="548" t="s">
        <v>550</v>
      </c>
      <c r="F24" s="550">
        <v>0.25769230769230772</v>
      </c>
    </row>
    <row r="25" spans="1:6" s="706" customFormat="1" ht="12" customHeight="1" x14ac:dyDescent="0.2">
      <c r="A25" s="1240" t="s">
        <v>490</v>
      </c>
      <c r="B25" s="498">
        <v>4.6153846153846156E-2</v>
      </c>
      <c r="C25" s="499" t="s">
        <v>1137</v>
      </c>
      <c r="D25" s="547">
        <v>50000</v>
      </c>
      <c r="E25" s="548" t="s">
        <v>550</v>
      </c>
      <c r="F25" s="550">
        <v>4.6153846153846156E-2</v>
      </c>
    </row>
    <row r="26" spans="1:6" s="706" customFormat="1" ht="12" customHeight="1" x14ac:dyDescent="0.2">
      <c r="A26" s="1241" t="s">
        <v>491</v>
      </c>
      <c r="B26" s="498">
        <v>0.01</v>
      </c>
      <c r="C26" s="499" t="s">
        <v>1137</v>
      </c>
      <c r="D26" s="547">
        <v>50000</v>
      </c>
      <c r="E26" s="548" t="s">
        <v>550</v>
      </c>
      <c r="F26" s="550">
        <v>0.01</v>
      </c>
    </row>
    <row r="27" spans="1:6" s="706" customFormat="1" ht="12" customHeight="1" x14ac:dyDescent="0.2">
      <c r="A27" s="1241" t="s">
        <v>492</v>
      </c>
      <c r="B27" s="498">
        <v>260</v>
      </c>
      <c r="C27" s="499" t="s">
        <v>1137</v>
      </c>
      <c r="D27" s="547">
        <v>50000</v>
      </c>
      <c r="E27" s="548" t="s">
        <v>240</v>
      </c>
      <c r="F27" s="550">
        <v>260</v>
      </c>
    </row>
    <row r="28" spans="1:6" s="706" customFormat="1" ht="12" customHeight="1" x14ac:dyDescent="0.2">
      <c r="A28" s="1241" t="s">
        <v>493</v>
      </c>
      <c r="B28" s="498">
        <v>10000</v>
      </c>
      <c r="C28" s="499" t="s">
        <v>1137</v>
      </c>
      <c r="D28" s="547">
        <v>50000</v>
      </c>
      <c r="E28" s="548" t="s">
        <v>240</v>
      </c>
      <c r="F28" s="550">
        <v>10000</v>
      </c>
    </row>
    <row r="29" spans="1:6" s="706" customFormat="1" ht="12" customHeight="1" x14ac:dyDescent="0.2">
      <c r="A29" s="1241" t="s">
        <v>494</v>
      </c>
      <c r="B29" s="498">
        <v>5</v>
      </c>
      <c r="C29" s="499" t="s">
        <v>1137</v>
      </c>
      <c r="D29" s="547">
        <v>8808.7999999999993</v>
      </c>
      <c r="E29" s="548" t="s">
        <v>240</v>
      </c>
      <c r="F29" s="550">
        <v>5</v>
      </c>
    </row>
    <row r="30" spans="1:6" s="706" customFormat="1" ht="12" customHeight="1" x14ac:dyDescent="0.2">
      <c r="A30" s="1241" t="s">
        <v>495</v>
      </c>
      <c r="B30" s="498">
        <v>4.2307692307692308</v>
      </c>
      <c r="C30" s="499" t="s">
        <v>1137</v>
      </c>
      <c r="D30" s="547">
        <v>98.831999999999994</v>
      </c>
      <c r="E30" s="548" t="s">
        <v>240</v>
      </c>
      <c r="F30" s="550">
        <v>4.2307692307692308</v>
      </c>
    </row>
    <row r="31" spans="1:6" s="706" customFormat="1" ht="12" customHeight="1" thickBot="1" x14ac:dyDescent="0.25">
      <c r="A31" s="1242" t="s">
        <v>496</v>
      </c>
      <c r="B31" s="508">
        <v>1.9230769230769231</v>
      </c>
      <c r="C31" s="509" t="s">
        <v>1137</v>
      </c>
      <c r="D31" s="553">
        <v>50000</v>
      </c>
      <c r="E31" s="554" t="s">
        <v>240</v>
      </c>
      <c r="F31" s="556">
        <v>1.9230769230769231</v>
      </c>
    </row>
    <row r="32" spans="1:6" ht="11.25" customHeight="1" thickTop="1" x14ac:dyDescent="0.2">
      <c r="A32" s="824" t="s">
        <v>238</v>
      </c>
      <c r="F32" s="522"/>
    </row>
    <row r="33" spans="1:6" ht="22.5" customHeight="1" x14ac:dyDescent="0.2">
      <c r="A33" s="1522" t="s">
        <v>644</v>
      </c>
      <c r="B33" s="1538"/>
      <c r="C33" s="1538"/>
      <c r="D33" s="1538"/>
      <c r="E33" s="1538"/>
      <c r="F33" s="1582"/>
    </row>
    <row r="34" spans="1:6" ht="21.6" customHeight="1" x14ac:dyDescent="0.2">
      <c r="A34" s="1522" t="s">
        <v>645</v>
      </c>
      <c r="B34" s="1538"/>
      <c r="C34" s="1538"/>
      <c r="D34" s="1538"/>
      <c r="E34" s="1538"/>
      <c r="F34" s="1582"/>
    </row>
    <row r="35" spans="1:6" ht="11.25" customHeight="1" x14ac:dyDescent="0.2">
      <c r="A35" s="824"/>
      <c r="F35" s="522"/>
    </row>
    <row r="36" spans="1:6" ht="11.25" customHeight="1" x14ac:dyDescent="0.2">
      <c r="A36" s="518" t="s">
        <v>631</v>
      </c>
      <c r="F36" s="522"/>
    </row>
    <row r="37" spans="1:6" ht="11.25" customHeight="1" x14ac:dyDescent="0.2">
      <c r="A37" s="1522" t="s">
        <v>632</v>
      </c>
      <c r="B37" s="1538"/>
      <c r="C37" s="1538"/>
      <c r="D37" s="1538"/>
      <c r="E37" s="1538"/>
      <c r="F37" s="1582"/>
    </row>
    <row r="38" spans="1:6" ht="11.25" customHeight="1" x14ac:dyDescent="0.2">
      <c r="A38" s="518" t="s">
        <v>633</v>
      </c>
      <c r="F38" s="522"/>
    </row>
    <row r="39" spans="1:6" ht="23.1" customHeight="1" x14ac:dyDescent="0.2">
      <c r="A39" s="1526" t="s">
        <v>635</v>
      </c>
      <c r="B39" s="1538"/>
      <c r="C39" s="1538"/>
      <c r="D39" s="1538"/>
      <c r="E39" s="1538"/>
      <c r="F39" s="1582"/>
    </row>
    <row r="40" spans="1:6" ht="22.35" customHeight="1" x14ac:dyDescent="0.2">
      <c r="A40" s="1526" t="s">
        <v>636</v>
      </c>
      <c r="B40" s="1538"/>
      <c r="C40" s="1538"/>
      <c r="D40" s="1538"/>
      <c r="E40" s="1538"/>
      <c r="F40" s="1582"/>
    </row>
    <row r="41" spans="1:6" ht="11.25" customHeight="1" x14ac:dyDescent="0.2">
      <c r="A41" s="518"/>
      <c r="F41" s="522"/>
    </row>
    <row r="42" spans="1:6" ht="11.25" customHeight="1" thickBot="1" x14ac:dyDescent="0.25">
      <c r="A42" s="523" t="s">
        <v>637</v>
      </c>
      <c r="B42" s="819"/>
      <c r="C42" s="524"/>
      <c r="D42" s="819"/>
      <c r="E42" s="819"/>
      <c r="F42" s="820"/>
    </row>
    <row r="43" spans="1:6" ht="11.25" customHeight="1" thickTop="1" x14ac:dyDescent="0.2">
      <c r="A43" s="558"/>
      <c r="B43" s="559"/>
      <c r="C43" s="1243"/>
      <c r="D43" s="559"/>
      <c r="E43" s="559"/>
      <c r="F43" s="559"/>
    </row>
  </sheetData>
  <sheetProtection algorithmName="SHA-512" hashValue="7Vm+v9x4Ftr1+ZumLprYKsfLpIBx2nKTJT/zBm4vIiPYvc6RdTLCwEPd0vSEoyFs1wXTfL8fSxBguGSMS7w49w==" saltValue="MCwtReF7bNmzIAnYxTnQZg==" spinCount="100000" sheet="1" objects="1" scenarios="1"/>
  <mergeCells count="9">
    <mergeCell ref="A1:F1"/>
    <mergeCell ref="A4:A5"/>
    <mergeCell ref="B4:B5"/>
    <mergeCell ref="A39:F39"/>
    <mergeCell ref="A40:F40"/>
    <mergeCell ref="A33:F33"/>
    <mergeCell ref="A34:F34"/>
    <mergeCell ref="A37:F37"/>
    <mergeCell ref="A2:F2"/>
  </mergeCells>
  <phoneticPr fontId="16" type="noConversion"/>
  <printOptions horizontalCentered="1"/>
  <pageMargins left="0.74803149606299202" right="0.74803149606299202" top="0.55118110236220497" bottom="0.98425196850393704" header="0.511811023622047" footer="0.511811023622047"/>
  <pageSetup scale="66" orientation="landscape" r:id="rId1"/>
  <headerFooter alignWithMargins="0">
    <oddFooter>&amp;LHawai'i DOH
PFASs November 2024&amp;CPage &amp;P of &amp;N&amp;R&amp;A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indexed="29"/>
    <pageSetUpPr fitToPage="1"/>
  </sheetPr>
  <dimension ref="A1:G43"/>
  <sheetViews>
    <sheetView zoomScaleNormal="100" workbookViewId="0">
      <selection activeCell="F24" sqref="F24"/>
    </sheetView>
  </sheetViews>
  <sheetFormatPr defaultColWidth="9.140625" defaultRowHeight="11.25" x14ac:dyDescent="0.2"/>
  <cols>
    <col min="1" max="1" width="50.5703125" style="517" customWidth="1"/>
    <col min="2" max="2" width="12.5703125" style="515" customWidth="1"/>
    <col min="3" max="3" width="20.7109375" style="784" customWidth="1"/>
    <col min="4" max="4" width="12.140625" style="515" customWidth="1"/>
    <col min="5" max="5" width="15.7109375" style="515" customWidth="1"/>
    <col min="6" max="6" width="13.7109375" style="515" customWidth="1"/>
    <col min="7" max="16384" width="9.140625" style="517"/>
  </cols>
  <sheetData>
    <row r="1" spans="1:7" s="706" customFormat="1" ht="50.1" customHeight="1" x14ac:dyDescent="0.25">
      <c r="A1" s="1572" t="s">
        <v>646</v>
      </c>
      <c r="B1" s="1573"/>
      <c r="C1" s="1573"/>
      <c r="D1" s="1573"/>
      <c r="E1" s="1573"/>
      <c r="F1" s="1523"/>
    </row>
    <row r="2" spans="1:7" s="706" customFormat="1" ht="15" x14ac:dyDescent="0.25">
      <c r="A2" s="1056" t="s">
        <v>639</v>
      </c>
      <c r="B2" s="468"/>
      <c r="C2" s="468"/>
      <c r="D2" s="468"/>
      <c r="E2" s="468"/>
      <c r="F2" s="989"/>
    </row>
    <row r="3" spans="1:7" s="706" customFormat="1" ht="13.5" thickBot="1" x14ac:dyDescent="0.25">
      <c r="A3" s="989"/>
      <c r="B3" s="468"/>
      <c r="C3" s="990"/>
      <c r="D3" s="468"/>
      <c r="E3" s="468"/>
      <c r="F3" s="468"/>
      <c r="G3" s="469"/>
    </row>
    <row r="4" spans="1:7" s="706" customFormat="1" ht="48.75" customHeight="1" thickTop="1" x14ac:dyDescent="0.2">
      <c r="A4" s="1574" t="s">
        <v>624</v>
      </c>
      <c r="B4" s="1570" t="s">
        <v>625</v>
      </c>
      <c r="C4" s="1228"/>
      <c r="D4" s="1229" t="s">
        <v>643</v>
      </c>
      <c r="E4" s="1230" t="s">
        <v>546</v>
      </c>
      <c r="F4" s="1231" t="s">
        <v>640</v>
      </c>
      <c r="G4" s="469"/>
    </row>
    <row r="5" spans="1:7" s="706" customFormat="1" ht="15.75" customHeight="1" thickBot="1" x14ac:dyDescent="0.25">
      <c r="A5" s="1575"/>
      <c r="B5" s="1571"/>
      <c r="C5" s="1232" t="s">
        <v>405</v>
      </c>
      <c r="D5" s="1154" t="s">
        <v>456</v>
      </c>
      <c r="E5" s="1155" t="s">
        <v>449</v>
      </c>
      <c r="F5" s="1156" t="s">
        <v>334</v>
      </c>
      <c r="G5" s="469"/>
    </row>
    <row r="6" spans="1:7" s="706" customFormat="1" ht="12" customHeight="1" x14ac:dyDescent="0.2">
      <c r="A6" s="490" t="s">
        <v>472</v>
      </c>
      <c r="B6" s="491">
        <v>50000</v>
      </c>
      <c r="C6" s="492" t="s">
        <v>257</v>
      </c>
      <c r="D6" s="542">
        <v>50000</v>
      </c>
      <c r="E6" s="543" t="s">
        <v>550</v>
      </c>
      <c r="F6" s="545">
        <v>127000</v>
      </c>
    </row>
    <row r="7" spans="1:7" s="706" customFormat="1" ht="12" customHeight="1" x14ac:dyDescent="0.2">
      <c r="A7" s="497" t="s">
        <v>473</v>
      </c>
      <c r="B7" s="498">
        <v>0.58076923076923059</v>
      </c>
      <c r="C7" s="499" t="s">
        <v>1137</v>
      </c>
      <c r="D7" s="547">
        <v>50000</v>
      </c>
      <c r="E7" s="548" t="s">
        <v>550</v>
      </c>
      <c r="F7" s="550">
        <v>0.58076923076923059</v>
      </c>
    </row>
    <row r="8" spans="1:7" s="706" customFormat="1" ht="12" customHeight="1" x14ac:dyDescent="0.2">
      <c r="A8" s="497" t="s">
        <v>474</v>
      </c>
      <c r="B8" s="498">
        <v>10</v>
      </c>
      <c r="C8" s="499" t="s">
        <v>1137</v>
      </c>
      <c r="D8" s="547">
        <v>50000</v>
      </c>
      <c r="E8" s="548" t="s">
        <v>550</v>
      </c>
      <c r="F8" s="550">
        <v>10</v>
      </c>
    </row>
    <row r="9" spans="1:7" s="706" customFormat="1" ht="12" customHeight="1" x14ac:dyDescent="0.2">
      <c r="A9" s="497" t="s">
        <v>475</v>
      </c>
      <c r="B9" s="498">
        <v>3.8461538461538471E-2</v>
      </c>
      <c r="C9" s="499" t="s">
        <v>1137</v>
      </c>
      <c r="D9" s="547">
        <v>50000</v>
      </c>
      <c r="E9" s="548" t="s">
        <v>550</v>
      </c>
      <c r="F9" s="550">
        <v>3.8461538461538471E-2</v>
      </c>
    </row>
    <row r="10" spans="1:7" s="706" customFormat="1" ht="12" customHeight="1" x14ac:dyDescent="0.2">
      <c r="A10" s="497" t="s">
        <v>476</v>
      </c>
      <c r="B10" s="498">
        <v>31</v>
      </c>
      <c r="C10" s="499" t="s">
        <v>1137</v>
      </c>
      <c r="D10" s="547">
        <v>50000</v>
      </c>
      <c r="E10" s="548" t="s">
        <v>550</v>
      </c>
      <c r="F10" s="550">
        <v>31</v>
      </c>
    </row>
    <row r="11" spans="1:7" s="706" customFormat="1" ht="12" customHeight="1" x14ac:dyDescent="0.2">
      <c r="A11" s="497" t="s">
        <v>477</v>
      </c>
      <c r="B11" s="498">
        <v>3.8461538461538471E-2</v>
      </c>
      <c r="C11" s="499" t="s">
        <v>1137</v>
      </c>
      <c r="D11" s="547">
        <v>50000</v>
      </c>
      <c r="E11" s="548" t="s">
        <v>550</v>
      </c>
      <c r="F11" s="550">
        <v>3.8461538461538471E-2</v>
      </c>
    </row>
    <row r="12" spans="1:7" s="706" customFormat="1" ht="12" customHeight="1" x14ac:dyDescent="0.2">
      <c r="A12" s="497" t="s">
        <v>200</v>
      </c>
      <c r="B12" s="498">
        <v>100</v>
      </c>
      <c r="C12" s="499" t="s">
        <v>1137</v>
      </c>
      <c r="D12" s="547">
        <v>50000</v>
      </c>
      <c r="E12" s="548" t="s">
        <v>551</v>
      </c>
      <c r="F12" s="550">
        <v>100</v>
      </c>
    </row>
    <row r="13" spans="1:7" s="706" customFormat="1" ht="12" customHeight="1" x14ac:dyDescent="0.2">
      <c r="A13" s="497" t="s">
        <v>478</v>
      </c>
      <c r="B13" s="498">
        <v>0.51319648093841652</v>
      </c>
      <c r="C13" s="499" t="s">
        <v>1137</v>
      </c>
      <c r="D13" s="547">
        <v>50000</v>
      </c>
      <c r="E13" s="548" t="s">
        <v>551</v>
      </c>
      <c r="F13" s="550">
        <v>0.51319648093841652</v>
      </c>
    </row>
    <row r="14" spans="1:7" s="706" customFormat="1" ht="12" customHeight="1" x14ac:dyDescent="0.2">
      <c r="A14" s="497" t="s">
        <v>479</v>
      </c>
      <c r="B14" s="498">
        <v>4200</v>
      </c>
      <c r="C14" s="499" t="s">
        <v>1137</v>
      </c>
      <c r="D14" s="547">
        <v>50000</v>
      </c>
      <c r="E14" s="548" t="s">
        <v>550</v>
      </c>
      <c r="F14" s="550">
        <v>4200</v>
      </c>
    </row>
    <row r="15" spans="1:7" s="706" customFormat="1" ht="12" customHeight="1" x14ac:dyDescent="0.2">
      <c r="A15" s="497" t="s">
        <v>480</v>
      </c>
      <c r="B15" s="498">
        <v>1.5384615384615383</v>
      </c>
      <c r="C15" s="499" t="s">
        <v>1137</v>
      </c>
      <c r="D15" s="547">
        <v>50000</v>
      </c>
      <c r="E15" s="548" t="s">
        <v>550</v>
      </c>
      <c r="F15" s="550">
        <v>1.5384615384615383</v>
      </c>
    </row>
    <row r="16" spans="1:7" s="706" customFormat="1" ht="12" customHeight="1" x14ac:dyDescent="0.2">
      <c r="A16" s="497" t="s">
        <v>481</v>
      </c>
      <c r="B16" s="498">
        <v>48000</v>
      </c>
      <c r="C16" s="499" t="s">
        <v>1137</v>
      </c>
      <c r="D16" s="547">
        <v>50000</v>
      </c>
      <c r="E16" s="548" t="s">
        <v>550</v>
      </c>
      <c r="F16" s="550">
        <v>48000</v>
      </c>
    </row>
    <row r="17" spans="1:6" s="706" customFormat="1" ht="12" customHeight="1" x14ac:dyDescent="0.2">
      <c r="A17" s="497" t="s">
        <v>482</v>
      </c>
      <c r="B17" s="498">
        <v>7.6923076923076941E-2</v>
      </c>
      <c r="C17" s="499" t="s">
        <v>1137</v>
      </c>
      <c r="D17" s="547">
        <v>50000</v>
      </c>
      <c r="E17" s="548" t="s">
        <v>550</v>
      </c>
      <c r="F17" s="550">
        <v>7.6923076923076941E-2</v>
      </c>
    </row>
    <row r="18" spans="1:6" s="706" customFormat="1" ht="12" customHeight="1" x14ac:dyDescent="0.2">
      <c r="A18" s="497" t="s">
        <v>483</v>
      </c>
      <c r="B18" s="498">
        <v>119</v>
      </c>
      <c r="C18" s="499" t="s">
        <v>1137</v>
      </c>
      <c r="D18" s="547">
        <v>50000</v>
      </c>
      <c r="E18" s="548" t="s">
        <v>550</v>
      </c>
      <c r="F18" s="550">
        <v>119</v>
      </c>
    </row>
    <row r="19" spans="1:6" s="706" customFormat="1" ht="12" customHeight="1" x14ac:dyDescent="0.2">
      <c r="A19" s="497" t="s">
        <v>484</v>
      </c>
      <c r="B19" s="498">
        <v>10</v>
      </c>
      <c r="C19" s="499" t="s">
        <v>1137</v>
      </c>
      <c r="D19" s="547">
        <v>50000</v>
      </c>
      <c r="E19" s="548" t="s">
        <v>550</v>
      </c>
      <c r="F19" s="550">
        <v>10</v>
      </c>
    </row>
    <row r="20" spans="1:6" s="706" customFormat="1" ht="12" customHeight="1" x14ac:dyDescent="0.2">
      <c r="A20" s="497" t="s">
        <v>485</v>
      </c>
      <c r="B20" s="498">
        <v>10</v>
      </c>
      <c r="C20" s="499" t="s">
        <v>1137</v>
      </c>
      <c r="D20" s="547">
        <v>50000</v>
      </c>
      <c r="E20" s="548" t="s">
        <v>550</v>
      </c>
      <c r="F20" s="550">
        <v>10</v>
      </c>
    </row>
    <row r="21" spans="1:6" s="706" customFormat="1" ht="12" customHeight="1" x14ac:dyDescent="0.2">
      <c r="A21" s="497" t="s">
        <v>486</v>
      </c>
      <c r="B21" s="498">
        <v>440</v>
      </c>
      <c r="C21" s="499" t="s">
        <v>1137</v>
      </c>
      <c r="D21" s="547">
        <v>50000</v>
      </c>
      <c r="E21" s="548" t="s">
        <v>550</v>
      </c>
      <c r="F21" s="550">
        <v>440</v>
      </c>
    </row>
    <row r="22" spans="1:6" s="706" customFormat="1" ht="12" customHeight="1" x14ac:dyDescent="0.2">
      <c r="A22" s="497" t="s">
        <v>487</v>
      </c>
      <c r="B22" s="498">
        <v>640</v>
      </c>
      <c r="C22" s="499" t="s">
        <v>1137</v>
      </c>
      <c r="D22" s="547">
        <v>50000</v>
      </c>
      <c r="E22" s="548" t="s">
        <v>550</v>
      </c>
      <c r="F22" s="550">
        <v>640</v>
      </c>
    </row>
    <row r="23" spans="1:6" s="706" customFormat="1" ht="12" customHeight="1" x14ac:dyDescent="0.2">
      <c r="A23" s="497" t="s">
        <v>488</v>
      </c>
      <c r="B23" s="498">
        <v>2.5769230769230766E-2</v>
      </c>
      <c r="C23" s="499" t="s">
        <v>1137</v>
      </c>
      <c r="D23" s="547">
        <v>50000</v>
      </c>
      <c r="E23" s="548" t="s">
        <v>550</v>
      </c>
      <c r="F23" s="550">
        <v>2.5769230769230766E-2</v>
      </c>
    </row>
    <row r="24" spans="1:6" s="706" customFormat="1" ht="12" customHeight="1" x14ac:dyDescent="0.2">
      <c r="A24" s="497" t="s">
        <v>489</v>
      </c>
      <c r="B24" s="498">
        <v>0.25769230769230772</v>
      </c>
      <c r="C24" s="499" t="s">
        <v>1137</v>
      </c>
      <c r="D24" s="547">
        <v>50000</v>
      </c>
      <c r="E24" s="548" t="s">
        <v>550</v>
      </c>
      <c r="F24" s="550">
        <v>0.25769230769230772</v>
      </c>
    </row>
    <row r="25" spans="1:6" s="706" customFormat="1" ht="12" customHeight="1" x14ac:dyDescent="0.2">
      <c r="A25" s="497" t="s">
        <v>490</v>
      </c>
      <c r="B25" s="498">
        <v>4.6153846153846156E-2</v>
      </c>
      <c r="C25" s="499" t="s">
        <v>1137</v>
      </c>
      <c r="D25" s="547">
        <v>50000</v>
      </c>
      <c r="E25" s="548" t="s">
        <v>550</v>
      </c>
      <c r="F25" s="550">
        <v>4.6153846153846156E-2</v>
      </c>
    </row>
    <row r="26" spans="1:6" s="706" customFormat="1" ht="12" customHeight="1" x14ac:dyDescent="0.2">
      <c r="A26" s="497" t="s">
        <v>491</v>
      </c>
      <c r="B26" s="498">
        <v>0.01</v>
      </c>
      <c r="C26" s="499" t="s">
        <v>1137</v>
      </c>
      <c r="D26" s="547">
        <v>50000</v>
      </c>
      <c r="E26" s="548" t="s">
        <v>550</v>
      </c>
      <c r="F26" s="550">
        <v>0.01</v>
      </c>
    </row>
    <row r="27" spans="1:6" s="706" customFormat="1" ht="12" customHeight="1" x14ac:dyDescent="0.2">
      <c r="A27" s="497" t="s">
        <v>492</v>
      </c>
      <c r="B27" s="498">
        <v>10800</v>
      </c>
      <c r="C27" s="499" t="s">
        <v>1137</v>
      </c>
      <c r="D27" s="547">
        <v>50000</v>
      </c>
      <c r="E27" s="548" t="s">
        <v>240</v>
      </c>
      <c r="F27" s="550">
        <v>10800</v>
      </c>
    </row>
    <row r="28" spans="1:6" s="706" customFormat="1" ht="12" customHeight="1" x14ac:dyDescent="0.2">
      <c r="A28" s="497" t="s">
        <v>493</v>
      </c>
      <c r="B28" s="498">
        <v>10000</v>
      </c>
      <c r="C28" s="499" t="s">
        <v>1137</v>
      </c>
      <c r="D28" s="547">
        <v>50000</v>
      </c>
      <c r="E28" s="548" t="s">
        <v>240</v>
      </c>
      <c r="F28" s="550">
        <v>10000</v>
      </c>
    </row>
    <row r="29" spans="1:6" s="706" customFormat="1" ht="12" customHeight="1" x14ac:dyDescent="0.2">
      <c r="A29" s="497" t="s">
        <v>494</v>
      </c>
      <c r="B29" s="498">
        <v>5</v>
      </c>
      <c r="C29" s="499" t="s">
        <v>1137</v>
      </c>
      <c r="D29" s="547">
        <v>8808.7999999999993</v>
      </c>
      <c r="E29" s="548" t="s">
        <v>240</v>
      </c>
      <c r="F29" s="550">
        <v>5</v>
      </c>
    </row>
    <row r="30" spans="1:6" s="706" customFormat="1" ht="12" customHeight="1" x14ac:dyDescent="0.2">
      <c r="A30" s="497" t="s">
        <v>495</v>
      </c>
      <c r="B30" s="498">
        <v>4.2307692307692308</v>
      </c>
      <c r="C30" s="499" t="s">
        <v>1137</v>
      </c>
      <c r="D30" s="547">
        <v>98.831999999999994</v>
      </c>
      <c r="E30" s="548" t="s">
        <v>240</v>
      </c>
      <c r="F30" s="550">
        <v>4.2307692307692308</v>
      </c>
    </row>
    <row r="31" spans="1:6" s="706" customFormat="1" ht="12" customHeight="1" thickBot="1" x14ac:dyDescent="0.25">
      <c r="A31" s="507" t="s">
        <v>496</v>
      </c>
      <c r="B31" s="508">
        <v>1.9230769230769231</v>
      </c>
      <c r="C31" s="509" t="s">
        <v>1137</v>
      </c>
      <c r="D31" s="553">
        <v>50000</v>
      </c>
      <c r="E31" s="554" t="s">
        <v>240</v>
      </c>
      <c r="F31" s="556">
        <v>1.9230769230769231</v>
      </c>
    </row>
    <row r="32" spans="1:6" ht="11.25" customHeight="1" thickTop="1" x14ac:dyDescent="0.2">
      <c r="A32" s="514" t="s">
        <v>238</v>
      </c>
      <c r="F32" s="522"/>
    </row>
    <row r="33" spans="1:6" ht="22.5" customHeight="1" x14ac:dyDescent="0.2">
      <c r="A33" s="1522" t="s">
        <v>644</v>
      </c>
      <c r="B33" s="1573"/>
      <c r="C33" s="1573"/>
      <c r="D33" s="1573"/>
      <c r="E33" s="1573"/>
      <c r="F33" s="1584"/>
    </row>
    <row r="34" spans="1:6" ht="21.6" customHeight="1" x14ac:dyDescent="0.2">
      <c r="A34" s="1522" t="s">
        <v>645</v>
      </c>
      <c r="B34" s="1573"/>
      <c r="C34" s="1573"/>
      <c r="D34" s="1573"/>
      <c r="E34" s="1573"/>
      <c r="F34" s="1584"/>
    </row>
    <row r="35" spans="1:6" ht="11.25" customHeight="1" x14ac:dyDescent="0.2">
      <c r="A35" s="514"/>
      <c r="F35" s="522"/>
    </row>
    <row r="36" spans="1:6" ht="11.25" customHeight="1" x14ac:dyDescent="0.2">
      <c r="A36" s="521" t="s">
        <v>631</v>
      </c>
      <c r="F36" s="522"/>
    </row>
    <row r="37" spans="1:6" ht="11.25" customHeight="1" x14ac:dyDescent="0.2">
      <c r="A37" s="521" t="s">
        <v>632</v>
      </c>
      <c r="F37" s="522"/>
    </row>
    <row r="38" spans="1:6" ht="11.25" customHeight="1" x14ac:dyDescent="0.2">
      <c r="A38" s="521" t="s">
        <v>633</v>
      </c>
      <c r="F38" s="522"/>
    </row>
    <row r="39" spans="1:6" ht="22.35" customHeight="1" x14ac:dyDescent="0.2">
      <c r="A39" s="1526" t="s">
        <v>635</v>
      </c>
      <c r="B39" s="1523"/>
      <c r="C39" s="1523"/>
      <c r="D39" s="1523"/>
      <c r="E39" s="1523"/>
      <c r="F39" s="1524"/>
    </row>
    <row r="40" spans="1:6" ht="22.5" customHeight="1" x14ac:dyDescent="0.2">
      <c r="A40" s="1526" t="s">
        <v>636</v>
      </c>
      <c r="B40" s="1523"/>
      <c r="C40" s="1523"/>
      <c r="D40" s="1523"/>
      <c r="E40" s="1523"/>
      <c r="F40" s="1524"/>
    </row>
    <row r="41" spans="1:6" ht="11.25" customHeight="1" x14ac:dyDescent="0.2">
      <c r="A41" s="521"/>
      <c r="F41" s="522"/>
    </row>
    <row r="42" spans="1:6" ht="11.25" customHeight="1" thickBot="1" x14ac:dyDescent="0.25">
      <c r="A42" s="849" t="s">
        <v>637</v>
      </c>
      <c r="B42" s="819"/>
      <c r="C42" s="524"/>
      <c r="D42" s="819"/>
      <c r="E42" s="819"/>
      <c r="F42" s="820"/>
    </row>
    <row r="43" spans="1:6" ht="12" thickTop="1" x14ac:dyDescent="0.2"/>
  </sheetData>
  <sheetProtection algorithmName="SHA-512" hashValue="Iu8GO2rCgynAhZu8/xMVRfftUX1FONXSCPRBQTvT8My6Pp48c+1i4BZU/PwMqI7d0mL5dNYrr8hM/knGhfBS2g==" saltValue="tAAUZmMvBsZpu9LZY+6WoQ==" spinCount="100000" sheet="1" objects="1" scenarios="1"/>
  <mergeCells count="7">
    <mergeCell ref="A1:F1"/>
    <mergeCell ref="A4:A5"/>
    <mergeCell ref="B4:B5"/>
    <mergeCell ref="A39:F39"/>
    <mergeCell ref="A40:F40"/>
    <mergeCell ref="A33:F33"/>
    <mergeCell ref="A34:F34"/>
  </mergeCells>
  <phoneticPr fontId="16" type="noConversion"/>
  <printOptions horizontalCentered="1"/>
  <pageMargins left="0.74803149606299202" right="0.74803149606299202" top="0.55118110236220497" bottom="0.98425196850393704" header="0.511811023622047" footer="0.511811023622047"/>
  <pageSetup scale="66" orientation="landscape" r:id="rId1"/>
  <headerFooter alignWithMargins="0">
    <oddFooter>&amp;LHawai'i DOH
PFASs November 2024&amp;CPage &amp;P of &amp;N&amp;R&amp;A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29"/>
    <pageSetUpPr fitToPage="1"/>
  </sheetPr>
  <dimension ref="A1:G39"/>
  <sheetViews>
    <sheetView zoomScaleNormal="100" workbookViewId="0">
      <selection activeCell="B6" sqref="B6"/>
    </sheetView>
  </sheetViews>
  <sheetFormatPr defaultColWidth="9.140625" defaultRowHeight="11.25" x14ac:dyDescent="0.2"/>
  <cols>
    <col min="1" max="1" width="50.5703125" style="517" customWidth="1"/>
    <col min="2" max="2" width="12.7109375" style="515" customWidth="1"/>
    <col min="3" max="3" width="27.7109375" style="784" customWidth="1"/>
    <col min="4" max="6" width="12.7109375" style="515" customWidth="1"/>
    <col min="7" max="7" width="14.7109375" style="505" customWidth="1"/>
    <col min="8" max="16384" width="9.140625" style="517"/>
  </cols>
  <sheetData>
    <row r="1" spans="1:7" s="706" customFormat="1" ht="30" customHeight="1" x14ac:dyDescent="0.25">
      <c r="A1" s="1572" t="s">
        <v>647</v>
      </c>
      <c r="B1" s="1573"/>
      <c r="C1" s="1573"/>
      <c r="D1" s="1573"/>
      <c r="E1" s="1573"/>
      <c r="F1" s="1573"/>
      <c r="G1" s="1573"/>
    </row>
    <row r="2" spans="1:7" s="706" customFormat="1" ht="15" x14ac:dyDescent="0.25">
      <c r="A2" s="1056" t="s">
        <v>639</v>
      </c>
      <c r="B2" s="468"/>
      <c r="C2" s="468"/>
      <c r="D2" s="468"/>
      <c r="E2" s="468"/>
      <c r="F2" s="468"/>
      <c r="G2" s="472"/>
    </row>
    <row r="3" spans="1:7" s="706" customFormat="1" ht="12" thickBot="1" x14ac:dyDescent="0.25">
      <c r="A3" s="989"/>
      <c r="B3" s="468"/>
      <c r="C3" s="990"/>
      <c r="D3" s="468"/>
      <c r="E3" s="468"/>
      <c r="F3" s="468"/>
      <c r="G3" s="505"/>
    </row>
    <row r="4" spans="1:7" s="706" customFormat="1" ht="60.75" customHeight="1" thickTop="1" x14ac:dyDescent="0.2">
      <c r="A4" s="697"/>
      <c r="B4" s="1585" t="s">
        <v>648</v>
      </c>
      <c r="C4" s="1220"/>
      <c r="D4" s="1221" t="s">
        <v>626</v>
      </c>
      <c r="E4" s="1149" t="s">
        <v>649</v>
      </c>
      <c r="F4" s="1222" t="s">
        <v>650</v>
      </c>
      <c r="G4" s="1223" t="s">
        <v>651</v>
      </c>
    </row>
    <row r="5" spans="1:7" s="706" customFormat="1" ht="15.75" customHeight="1" thickBot="1" x14ac:dyDescent="0.25">
      <c r="A5" s="1088" t="s">
        <v>469</v>
      </c>
      <c r="B5" s="1586"/>
      <c r="C5" s="1064" t="s">
        <v>405</v>
      </c>
      <c r="D5" s="1154" t="s">
        <v>652</v>
      </c>
      <c r="E5" s="487" t="s">
        <v>448</v>
      </c>
      <c r="F5" s="1225" t="s">
        <v>334</v>
      </c>
      <c r="G5" s="1226" t="s">
        <v>341</v>
      </c>
    </row>
    <row r="6" spans="1:7" s="706" customFormat="1" ht="12" customHeight="1" x14ac:dyDescent="0.2">
      <c r="A6" s="490" t="s">
        <v>472</v>
      </c>
      <c r="B6" s="743"/>
      <c r="C6" s="996"/>
      <c r="D6" s="494"/>
      <c r="E6" s="494"/>
      <c r="F6" s="963"/>
      <c r="G6" s="745"/>
    </row>
    <row r="7" spans="1:7" s="706" customFormat="1" ht="12" customHeight="1" x14ac:dyDescent="0.2">
      <c r="A7" s="497" t="s">
        <v>473</v>
      </c>
      <c r="B7" s="746"/>
      <c r="C7" s="997"/>
      <c r="D7" s="501"/>
      <c r="E7" s="501"/>
      <c r="F7" s="836"/>
      <c r="G7" s="748"/>
    </row>
    <row r="8" spans="1:7" s="706" customFormat="1" ht="12" customHeight="1" x14ac:dyDescent="0.2">
      <c r="A8" s="497" t="s">
        <v>474</v>
      </c>
      <c r="B8" s="746"/>
      <c r="C8" s="997"/>
      <c r="D8" s="501"/>
      <c r="E8" s="501"/>
      <c r="F8" s="836"/>
      <c r="G8" s="748"/>
    </row>
    <row r="9" spans="1:7" s="706" customFormat="1" ht="12" customHeight="1" x14ac:dyDescent="0.2">
      <c r="A9" s="497" t="s">
        <v>475</v>
      </c>
      <c r="B9" s="746"/>
      <c r="C9" s="997"/>
      <c r="D9" s="501"/>
      <c r="E9" s="501"/>
      <c r="F9" s="836"/>
      <c r="G9" s="748"/>
    </row>
    <row r="10" spans="1:7" s="706" customFormat="1" ht="12" customHeight="1" x14ac:dyDescent="0.2">
      <c r="A10" s="497" t="s">
        <v>476</v>
      </c>
      <c r="B10" s="746"/>
      <c r="C10" s="997"/>
      <c r="D10" s="501"/>
      <c r="E10" s="501"/>
      <c r="F10" s="836"/>
      <c r="G10" s="748"/>
    </row>
    <row r="11" spans="1:7" s="706" customFormat="1" ht="12" customHeight="1" x14ac:dyDescent="0.2">
      <c r="A11" s="497" t="s">
        <v>477</v>
      </c>
      <c r="B11" s="746"/>
      <c r="C11" s="997"/>
      <c r="D11" s="501"/>
      <c r="E11" s="501"/>
      <c r="F11" s="836"/>
      <c r="G11" s="748"/>
    </row>
    <row r="12" spans="1:7" s="706" customFormat="1" ht="12" customHeight="1" x14ac:dyDescent="0.2">
      <c r="A12" s="497" t="s">
        <v>200</v>
      </c>
      <c r="B12" s="746"/>
      <c r="C12" s="997"/>
      <c r="D12" s="501"/>
      <c r="E12" s="501"/>
      <c r="F12" s="836"/>
      <c r="G12" s="748"/>
    </row>
    <row r="13" spans="1:7" s="706" customFormat="1" ht="12" customHeight="1" x14ac:dyDescent="0.2">
      <c r="A13" s="497" t="s">
        <v>478</v>
      </c>
      <c r="B13" s="746"/>
      <c r="C13" s="997"/>
      <c r="D13" s="501"/>
      <c r="E13" s="501"/>
      <c r="F13" s="836"/>
      <c r="G13" s="748"/>
    </row>
    <row r="14" spans="1:7" s="706" customFormat="1" ht="12" customHeight="1" x14ac:dyDescent="0.2">
      <c r="A14" s="497" t="s">
        <v>479</v>
      </c>
      <c r="B14" s="746"/>
      <c r="C14" s="997"/>
      <c r="D14" s="501"/>
      <c r="E14" s="501"/>
      <c r="F14" s="836"/>
      <c r="G14" s="748"/>
    </row>
    <row r="15" spans="1:7" s="706" customFormat="1" ht="12" customHeight="1" x14ac:dyDescent="0.2">
      <c r="A15" s="497" t="s">
        <v>480</v>
      </c>
      <c r="B15" s="746"/>
      <c r="C15" s="997"/>
      <c r="D15" s="501"/>
      <c r="E15" s="501"/>
      <c r="F15" s="836"/>
      <c r="G15" s="748"/>
    </row>
    <row r="16" spans="1:7" s="706" customFormat="1" ht="12" customHeight="1" x14ac:dyDescent="0.2">
      <c r="A16" s="497" t="s">
        <v>481</v>
      </c>
      <c r="B16" s="746"/>
      <c r="C16" s="997"/>
      <c r="D16" s="501"/>
      <c r="E16" s="501"/>
      <c r="F16" s="836"/>
      <c r="G16" s="748"/>
    </row>
    <row r="17" spans="1:7" s="706" customFormat="1" ht="12" customHeight="1" x14ac:dyDescent="0.2">
      <c r="A17" s="497" t="s">
        <v>482</v>
      </c>
      <c r="B17" s="746"/>
      <c r="C17" s="997"/>
      <c r="D17" s="501"/>
      <c r="E17" s="501"/>
      <c r="F17" s="836"/>
      <c r="G17" s="748"/>
    </row>
    <row r="18" spans="1:7" s="706" customFormat="1" ht="12" customHeight="1" x14ac:dyDescent="0.2">
      <c r="A18" s="497" t="s">
        <v>483</v>
      </c>
      <c r="B18" s="746"/>
      <c r="C18" s="997"/>
      <c r="D18" s="501"/>
      <c r="E18" s="501"/>
      <c r="F18" s="836"/>
      <c r="G18" s="748"/>
    </row>
    <row r="19" spans="1:7" s="706" customFormat="1" ht="12" customHeight="1" x14ac:dyDescent="0.2">
      <c r="A19" s="497" t="s">
        <v>484</v>
      </c>
      <c r="B19" s="746"/>
      <c r="C19" s="997"/>
      <c r="D19" s="501"/>
      <c r="E19" s="501"/>
      <c r="F19" s="836"/>
      <c r="G19" s="748"/>
    </row>
    <row r="20" spans="1:7" s="706" customFormat="1" ht="12" customHeight="1" x14ac:dyDescent="0.2">
      <c r="A20" s="497" t="s">
        <v>485</v>
      </c>
      <c r="B20" s="746"/>
      <c r="C20" s="997"/>
      <c r="D20" s="501"/>
      <c r="E20" s="501"/>
      <c r="F20" s="836"/>
      <c r="G20" s="748"/>
    </row>
    <row r="21" spans="1:7" s="706" customFormat="1" ht="12" customHeight="1" x14ac:dyDescent="0.2">
      <c r="A21" s="497" t="s">
        <v>486</v>
      </c>
      <c r="B21" s="746"/>
      <c r="C21" s="997"/>
      <c r="D21" s="501"/>
      <c r="E21" s="501"/>
      <c r="F21" s="836"/>
      <c r="G21" s="748"/>
    </row>
    <row r="22" spans="1:7" s="706" customFormat="1" ht="12" customHeight="1" x14ac:dyDescent="0.2">
      <c r="A22" s="497" t="s">
        <v>487</v>
      </c>
      <c r="B22" s="746"/>
      <c r="C22" s="997"/>
      <c r="D22" s="501"/>
      <c r="E22" s="501"/>
      <c r="F22" s="836"/>
      <c r="G22" s="748"/>
    </row>
    <row r="23" spans="1:7" s="706" customFormat="1" ht="12" customHeight="1" x14ac:dyDescent="0.2">
      <c r="A23" s="497" t="s">
        <v>488</v>
      </c>
      <c r="B23" s="746"/>
      <c r="C23" s="997"/>
      <c r="D23" s="501"/>
      <c r="E23" s="501"/>
      <c r="F23" s="836"/>
      <c r="G23" s="748"/>
    </row>
    <row r="24" spans="1:7" s="706" customFormat="1" ht="12" customHeight="1" x14ac:dyDescent="0.2">
      <c r="A24" s="497" t="s">
        <v>489</v>
      </c>
      <c r="B24" s="746"/>
      <c r="C24" s="997"/>
      <c r="D24" s="501"/>
      <c r="E24" s="501"/>
      <c r="F24" s="836"/>
      <c r="G24" s="748"/>
    </row>
    <row r="25" spans="1:7" s="706" customFormat="1" ht="12" customHeight="1" x14ac:dyDescent="0.2">
      <c r="A25" s="497" t="s">
        <v>490</v>
      </c>
      <c r="B25" s="746"/>
      <c r="C25" s="997"/>
      <c r="D25" s="501"/>
      <c r="E25" s="501"/>
      <c r="F25" s="836"/>
      <c r="G25" s="748"/>
    </row>
    <row r="26" spans="1:7" s="706" customFormat="1" ht="12" customHeight="1" x14ac:dyDescent="0.2">
      <c r="A26" s="497" t="s">
        <v>491</v>
      </c>
      <c r="B26" s="746"/>
      <c r="C26" s="997"/>
      <c r="D26" s="501"/>
      <c r="E26" s="501"/>
      <c r="F26" s="836"/>
      <c r="G26" s="748"/>
    </row>
    <row r="27" spans="1:7" s="706" customFormat="1" ht="12" customHeight="1" x14ac:dyDescent="0.2">
      <c r="A27" s="497" t="s">
        <v>492</v>
      </c>
      <c r="B27" s="746"/>
      <c r="C27" s="997"/>
      <c r="D27" s="501"/>
      <c r="E27" s="501"/>
      <c r="F27" s="836"/>
      <c r="G27" s="748"/>
    </row>
    <row r="28" spans="1:7" s="706" customFormat="1" ht="12" customHeight="1" x14ac:dyDescent="0.2">
      <c r="A28" s="497" t="s">
        <v>493</v>
      </c>
      <c r="B28" s="746"/>
      <c r="C28" s="997"/>
      <c r="D28" s="501"/>
      <c r="E28" s="501"/>
      <c r="F28" s="836"/>
      <c r="G28" s="748"/>
    </row>
    <row r="29" spans="1:7" s="706" customFormat="1" ht="12" customHeight="1" x14ac:dyDescent="0.2">
      <c r="A29" s="497" t="s">
        <v>494</v>
      </c>
      <c r="B29" s="746"/>
      <c r="C29" s="997"/>
      <c r="D29" s="501"/>
      <c r="E29" s="501"/>
      <c r="F29" s="836"/>
      <c r="G29" s="748"/>
    </row>
    <row r="30" spans="1:7" s="706" customFormat="1" ht="12" customHeight="1" x14ac:dyDescent="0.2">
      <c r="A30" s="497" t="s">
        <v>495</v>
      </c>
      <c r="B30" s="746"/>
      <c r="C30" s="997"/>
      <c r="D30" s="501"/>
      <c r="E30" s="501"/>
      <c r="F30" s="836"/>
      <c r="G30" s="748"/>
    </row>
    <row r="31" spans="1:7" s="706" customFormat="1" ht="12" customHeight="1" thickBot="1" x14ac:dyDescent="0.25">
      <c r="A31" s="507" t="s">
        <v>496</v>
      </c>
      <c r="B31" s="750"/>
      <c r="C31" s="998"/>
      <c r="D31" s="511"/>
      <c r="E31" s="511"/>
      <c r="F31" s="966"/>
      <c r="G31" s="752"/>
    </row>
    <row r="32" spans="1:7" ht="11.25" customHeight="1" thickTop="1" x14ac:dyDescent="0.2">
      <c r="A32" s="514" t="s">
        <v>238</v>
      </c>
      <c r="G32" s="1146"/>
    </row>
    <row r="33" spans="1:7" ht="22.35" customHeight="1" x14ac:dyDescent="0.2">
      <c r="A33" s="1526" t="s">
        <v>653</v>
      </c>
      <c r="B33" s="1523"/>
      <c r="C33" s="1523"/>
      <c r="D33" s="1523"/>
      <c r="E33" s="1523"/>
      <c r="F33" s="1523"/>
      <c r="G33" s="1524"/>
    </row>
    <row r="34" spans="1:7" ht="11.25" customHeight="1" x14ac:dyDescent="0.2">
      <c r="A34" s="521"/>
      <c r="G34" s="1146"/>
    </row>
    <row r="35" spans="1:7" ht="11.25" customHeight="1" x14ac:dyDescent="0.2">
      <c r="A35" s="521" t="s">
        <v>631</v>
      </c>
      <c r="G35" s="1146"/>
    </row>
    <row r="36" spans="1:7" ht="11.25" customHeight="1" x14ac:dyDescent="0.2">
      <c r="A36" s="521" t="s">
        <v>654</v>
      </c>
      <c r="G36" s="1146"/>
    </row>
    <row r="37" spans="1:7" ht="11.25" customHeight="1" x14ac:dyDescent="0.2">
      <c r="A37" s="521"/>
      <c r="G37" s="1146"/>
    </row>
    <row r="38" spans="1:7" ht="11.25" customHeight="1" thickBot="1" x14ac:dyDescent="0.25">
      <c r="A38" s="849" t="s">
        <v>637</v>
      </c>
      <c r="B38" s="819"/>
      <c r="C38" s="524"/>
      <c r="D38" s="819"/>
      <c r="E38" s="819"/>
      <c r="F38" s="819"/>
      <c r="G38" s="1227"/>
    </row>
    <row r="39" spans="1:7" ht="12" thickTop="1" x14ac:dyDescent="0.2"/>
  </sheetData>
  <sheetProtection algorithmName="SHA-512" hashValue="eOG/kHDNqNn2E4FRrtCAIpZqNmR5ZmO4qWNVbmaQGzFyJdxLN2AHYK4Giu7Covxbg2YqwnfJIW2Px/XgmWwHzw==" saltValue="HJbjPTz0pN0kZS4GiF5CZA==" spinCount="100000" sheet="1" objects="1" scenarios="1"/>
  <mergeCells count="3">
    <mergeCell ref="A1:G1"/>
    <mergeCell ref="B4:B5"/>
    <mergeCell ref="A33:G33"/>
  </mergeCells>
  <phoneticPr fontId="0" type="noConversion"/>
  <printOptions horizontalCentered="1"/>
  <pageMargins left="0.15748031496063" right="0.15748031496063" top="0.511811023622047" bottom="0.98425196850393704" header="0.511811023622047" footer="0.511811023622047"/>
  <pageSetup scale="96" fitToHeight="4" orientation="landscape" r:id="rId1"/>
  <headerFooter alignWithMargins="0">
    <oddFooter>&amp;LHawai'i DOH
PFASs November 2024&amp;C&amp;8Page &amp;P of &amp;N&amp;R&amp;A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pageSetUpPr fitToPage="1"/>
  </sheetPr>
  <dimension ref="A1:F41"/>
  <sheetViews>
    <sheetView zoomScaleNormal="100" workbookViewId="0">
      <selection activeCell="F24" sqref="F24"/>
    </sheetView>
  </sheetViews>
  <sheetFormatPr defaultColWidth="9.140625" defaultRowHeight="11.25" x14ac:dyDescent="0.2"/>
  <cols>
    <col min="1" max="1" width="50.5703125" style="517" customWidth="1"/>
    <col min="2" max="2" width="12.7109375" style="515" customWidth="1"/>
    <col min="3" max="3" width="27.7109375" style="784" customWidth="1"/>
    <col min="4" max="5" width="12.7109375" style="515" customWidth="1"/>
    <col min="6" max="6" width="14.7109375" style="505" customWidth="1"/>
    <col min="7" max="16384" width="9.140625" style="517"/>
  </cols>
  <sheetData>
    <row r="1" spans="1:6" s="706" customFormat="1" ht="30" customHeight="1" x14ac:dyDescent="0.25">
      <c r="A1" s="1572" t="s">
        <v>655</v>
      </c>
      <c r="B1" s="1587"/>
      <c r="C1" s="1587"/>
      <c r="D1" s="1587"/>
      <c r="E1" s="1587"/>
      <c r="F1" s="1587"/>
    </row>
    <row r="2" spans="1:6" s="706" customFormat="1" ht="15" x14ac:dyDescent="0.25">
      <c r="A2" s="1056" t="s">
        <v>639</v>
      </c>
      <c r="B2" s="468"/>
      <c r="C2" s="468"/>
      <c r="D2" s="468"/>
      <c r="E2" s="468"/>
      <c r="F2" s="468"/>
    </row>
    <row r="3" spans="1:6" s="706" customFormat="1" ht="12" thickBot="1" x14ac:dyDescent="0.25">
      <c r="A3" s="989"/>
      <c r="B3" s="468"/>
      <c r="C3" s="990"/>
      <c r="D3" s="468"/>
      <c r="E3" s="468"/>
      <c r="F3" s="968"/>
    </row>
    <row r="4" spans="1:6" s="706" customFormat="1" ht="60" customHeight="1" thickTop="1" x14ac:dyDescent="0.2">
      <c r="A4" s="697"/>
      <c r="B4" s="1570" t="s">
        <v>648</v>
      </c>
      <c r="C4" s="1220"/>
      <c r="D4" s="1221" t="s">
        <v>643</v>
      </c>
      <c r="E4" s="1222" t="s">
        <v>656</v>
      </c>
      <c r="F4" s="1223" t="s">
        <v>651</v>
      </c>
    </row>
    <row r="5" spans="1:6" s="706" customFormat="1" ht="16.5" customHeight="1" thickBot="1" x14ac:dyDescent="0.25">
      <c r="A5" s="1088" t="s">
        <v>469</v>
      </c>
      <c r="B5" s="1571"/>
      <c r="C5" s="1064" t="s">
        <v>405</v>
      </c>
      <c r="D5" s="1224" t="s">
        <v>657</v>
      </c>
      <c r="E5" s="1225" t="s">
        <v>334</v>
      </c>
      <c r="F5" s="1226" t="s">
        <v>658</v>
      </c>
    </row>
    <row r="6" spans="1:6" s="706" customFormat="1" ht="12" customHeight="1" x14ac:dyDescent="0.2">
      <c r="A6" s="490" t="s">
        <v>472</v>
      </c>
      <c r="B6" s="542"/>
      <c r="C6" s="996"/>
      <c r="D6" s="494"/>
      <c r="E6" s="963"/>
      <c r="F6" s="745"/>
    </row>
    <row r="7" spans="1:6" s="706" customFormat="1" ht="12" customHeight="1" x14ac:dyDescent="0.2">
      <c r="A7" s="497" t="s">
        <v>473</v>
      </c>
      <c r="B7" s="547"/>
      <c r="C7" s="997"/>
      <c r="D7" s="501"/>
      <c r="E7" s="836"/>
      <c r="F7" s="748"/>
    </row>
    <row r="8" spans="1:6" s="706" customFormat="1" ht="12" customHeight="1" x14ac:dyDescent="0.2">
      <c r="A8" s="497" t="s">
        <v>474</v>
      </c>
      <c r="B8" s="547"/>
      <c r="C8" s="997"/>
      <c r="D8" s="501"/>
      <c r="E8" s="836"/>
      <c r="F8" s="748"/>
    </row>
    <row r="9" spans="1:6" s="706" customFormat="1" ht="12" customHeight="1" x14ac:dyDescent="0.2">
      <c r="A9" s="497" t="s">
        <v>475</v>
      </c>
      <c r="B9" s="547"/>
      <c r="C9" s="997"/>
      <c r="D9" s="501"/>
      <c r="E9" s="836"/>
      <c r="F9" s="748"/>
    </row>
    <row r="10" spans="1:6" s="706" customFormat="1" ht="12" customHeight="1" x14ac:dyDescent="0.2">
      <c r="A10" s="497" t="s">
        <v>476</v>
      </c>
      <c r="B10" s="547"/>
      <c r="C10" s="997"/>
      <c r="D10" s="501"/>
      <c r="E10" s="836"/>
      <c r="F10" s="748"/>
    </row>
    <row r="11" spans="1:6" s="706" customFormat="1" ht="12" customHeight="1" x14ac:dyDescent="0.2">
      <c r="A11" s="497" t="s">
        <v>477</v>
      </c>
      <c r="B11" s="547"/>
      <c r="C11" s="997"/>
      <c r="D11" s="501"/>
      <c r="E11" s="836"/>
      <c r="F11" s="748"/>
    </row>
    <row r="12" spans="1:6" s="706" customFormat="1" ht="12" customHeight="1" x14ac:dyDescent="0.2">
      <c r="A12" s="497" t="s">
        <v>200</v>
      </c>
      <c r="B12" s="547"/>
      <c r="C12" s="997"/>
      <c r="D12" s="501"/>
      <c r="E12" s="836"/>
      <c r="F12" s="748"/>
    </row>
    <row r="13" spans="1:6" s="706" customFormat="1" ht="12" customHeight="1" x14ac:dyDescent="0.2">
      <c r="A13" s="497" t="s">
        <v>478</v>
      </c>
      <c r="B13" s="547"/>
      <c r="C13" s="997"/>
      <c r="D13" s="501"/>
      <c r="E13" s="836"/>
      <c r="F13" s="748"/>
    </row>
    <row r="14" spans="1:6" s="706" customFormat="1" ht="12" customHeight="1" x14ac:dyDescent="0.2">
      <c r="A14" s="497" t="s">
        <v>479</v>
      </c>
      <c r="B14" s="547"/>
      <c r="C14" s="997"/>
      <c r="D14" s="501"/>
      <c r="E14" s="836"/>
      <c r="F14" s="748"/>
    </row>
    <row r="15" spans="1:6" s="706" customFormat="1" ht="12" customHeight="1" x14ac:dyDescent="0.2">
      <c r="A15" s="497" t="s">
        <v>480</v>
      </c>
      <c r="B15" s="547"/>
      <c r="C15" s="997"/>
      <c r="D15" s="501"/>
      <c r="E15" s="836"/>
      <c r="F15" s="748"/>
    </row>
    <row r="16" spans="1:6" s="706" customFormat="1" ht="12" customHeight="1" x14ac:dyDescent="0.2">
      <c r="A16" s="497" t="s">
        <v>481</v>
      </c>
      <c r="B16" s="547"/>
      <c r="C16" s="997"/>
      <c r="D16" s="501"/>
      <c r="E16" s="836"/>
      <c r="F16" s="748"/>
    </row>
    <row r="17" spans="1:6" s="706" customFormat="1" ht="12" customHeight="1" x14ac:dyDescent="0.2">
      <c r="A17" s="497" t="s">
        <v>482</v>
      </c>
      <c r="B17" s="547"/>
      <c r="C17" s="997"/>
      <c r="D17" s="501"/>
      <c r="E17" s="836"/>
      <c r="F17" s="748"/>
    </row>
    <row r="18" spans="1:6" s="706" customFormat="1" ht="12" customHeight="1" x14ac:dyDescent="0.2">
      <c r="A18" s="497" t="s">
        <v>483</v>
      </c>
      <c r="B18" s="547"/>
      <c r="C18" s="997"/>
      <c r="D18" s="501"/>
      <c r="E18" s="836"/>
      <c r="F18" s="748"/>
    </row>
    <row r="19" spans="1:6" s="706" customFormat="1" ht="12" customHeight="1" x14ac:dyDescent="0.2">
      <c r="A19" s="497" t="s">
        <v>484</v>
      </c>
      <c r="B19" s="547"/>
      <c r="C19" s="997"/>
      <c r="D19" s="501"/>
      <c r="E19" s="836"/>
      <c r="F19" s="748"/>
    </row>
    <row r="20" spans="1:6" s="706" customFormat="1" ht="12" customHeight="1" x14ac:dyDescent="0.2">
      <c r="A20" s="497" t="s">
        <v>485</v>
      </c>
      <c r="B20" s="547"/>
      <c r="C20" s="997"/>
      <c r="D20" s="501"/>
      <c r="E20" s="836"/>
      <c r="F20" s="748"/>
    </row>
    <row r="21" spans="1:6" s="706" customFormat="1" ht="12" customHeight="1" x14ac:dyDescent="0.2">
      <c r="A21" s="497" t="s">
        <v>486</v>
      </c>
      <c r="B21" s="547"/>
      <c r="C21" s="997"/>
      <c r="D21" s="501"/>
      <c r="E21" s="836"/>
      <c r="F21" s="748"/>
    </row>
    <row r="22" spans="1:6" s="706" customFormat="1" ht="12" customHeight="1" x14ac:dyDescent="0.2">
      <c r="A22" s="497" t="s">
        <v>487</v>
      </c>
      <c r="B22" s="547"/>
      <c r="C22" s="997"/>
      <c r="D22" s="501"/>
      <c r="E22" s="836"/>
      <c r="F22" s="748"/>
    </row>
    <row r="23" spans="1:6" s="706" customFormat="1" ht="12" customHeight="1" x14ac:dyDescent="0.2">
      <c r="A23" s="497" t="s">
        <v>488</v>
      </c>
      <c r="B23" s="547"/>
      <c r="C23" s="997"/>
      <c r="D23" s="501"/>
      <c r="E23" s="836"/>
      <c r="F23" s="748"/>
    </row>
    <row r="24" spans="1:6" s="706" customFormat="1" ht="12" customHeight="1" x14ac:dyDescent="0.2">
      <c r="A24" s="497" t="s">
        <v>489</v>
      </c>
      <c r="B24" s="547"/>
      <c r="C24" s="997"/>
      <c r="D24" s="501"/>
      <c r="E24" s="836"/>
      <c r="F24" s="748"/>
    </row>
    <row r="25" spans="1:6" s="706" customFormat="1" ht="12" customHeight="1" x14ac:dyDescent="0.2">
      <c r="A25" s="497" t="s">
        <v>490</v>
      </c>
      <c r="B25" s="547"/>
      <c r="C25" s="997"/>
      <c r="D25" s="501"/>
      <c r="E25" s="836"/>
      <c r="F25" s="748"/>
    </row>
    <row r="26" spans="1:6" s="706" customFormat="1" ht="12" customHeight="1" x14ac:dyDescent="0.2">
      <c r="A26" s="497" t="s">
        <v>491</v>
      </c>
      <c r="B26" s="547"/>
      <c r="C26" s="997"/>
      <c r="D26" s="501"/>
      <c r="E26" s="836"/>
      <c r="F26" s="748"/>
    </row>
    <row r="27" spans="1:6" s="706" customFormat="1" ht="12" customHeight="1" x14ac:dyDescent="0.2">
      <c r="A27" s="497" t="s">
        <v>492</v>
      </c>
      <c r="B27" s="547"/>
      <c r="C27" s="997"/>
      <c r="D27" s="501"/>
      <c r="E27" s="836"/>
      <c r="F27" s="748"/>
    </row>
    <row r="28" spans="1:6" s="706" customFormat="1" ht="12" customHeight="1" x14ac:dyDescent="0.2">
      <c r="A28" s="497" t="s">
        <v>493</v>
      </c>
      <c r="B28" s="547"/>
      <c r="C28" s="997"/>
      <c r="D28" s="501"/>
      <c r="E28" s="836"/>
      <c r="F28" s="748"/>
    </row>
    <row r="29" spans="1:6" s="706" customFormat="1" ht="12" customHeight="1" x14ac:dyDescent="0.2">
      <c r="A29" s="497" t="s">
        <v>494</v>
      </c>
      <c r="B29" s="547"/>
      <c r="C29" s="997"/>
      <c r="D29" s="501"/>
      <c r="E29" s="836"/>
      <c r="F29" s="748"/>
    </row>
    <row r="30" spans="1:6" s="706" customFormat="1" ht="12" customHeight="1" x14ac:dyDescent="0.2">
      <c r="A30" s="497" t="s">
        <v>495</v>
      </c>
      <c r="B30" s="547"/>
      <c r="C30" s="997"/>
      <c r="D30" s="501"/>
      <c r="E30" s="836"/>
      <c r="F30" s="748"/>
    </row>
    <row r="31" spans="1:6" s="706" customFormat="1" ht="12" customHeight="1" thickBot="1" x14ac:dyDescent="0.25">
      <c r="A31" s="507" t="s">
        <v>496</v>
      </c>
      <c r="B31" s="553"/>
      <c r="C31" s="998"/>
      <c r="D31" s="511"/>
      <c r="E31" s="966"/>
      <c r="F31" s="752"/>
    </row>
    <row r="32" spans="1:6" ht="11.25" customHeight="1" thickTop="1" x14ac:dyDescent="0.2">
      <c r="A32" s="514" t="s">
        <v>238</v>
      </c>
      <c r="F32" s="1146"/>
    </row>
    <row r="33" spans="1:6" ht="22.5" customHeight="1" x14ac:dyDescent="0.2">
      <c r="A33" s="1526" t="s">
        <v>659</v>
      </c>
      <c r="B33" s="1523"/>
      <c r="C33" s="1523"/>
      <c r="D33" s="1523"/>
      <c r="E33" s="1523"/>
      <c r="F33" s="1524"/>
    </row>
    <row r="34" spans="1:6" ht="11.25" customHeight="1" x14ac:dyDescent="0.2">
      <c r="A34" s="521"/>
      <c r="F34" s="1146"/>
    </row>
    <row r="35" spans="1:6" ht="11.25" customHeight="1" x14ac:dyDescent="0.2">
      <c r="A35" s="521" t="s">
        <v>631</v>
      </c>
      <c r="F35" s="1146"/>
    </row>
    <row r="36" spans="1:6" ht="11.25" customHeight="1" x14ac:dyDescent="0.2">
      <c r="A36" s="521" t="s">
        <v>660</v>
      </c>
      <c r="F36" s="1146"/>
    </row>
    <row r="37" spans="1:6" ht="11.25" customHeight="1" x14ac:dyDescent="0.2">
      <c r="A37" s="521" t="s">
        <v>661</v>
      </c>
      <c r="F37" s="1146"/>
    </row>
    <row r="38" spans="1:6" ht="11.25" customHeight="1" x14ac:dyDescent="0.2">
      <c r="A38" s="521"/>
      <c r="F38" s="1146"/>
    </row>
    <row r="39" spans="1:6" ht="11.25" customHeight="1" x14ac:dyDescent="0.2">
      <c r="A39" s="521"/>
      <c r="F39" s="1146"/>
    </row>
    <row r="40" spans="1:6" ht="11.25" customHeight="1" thickBot="1" x14ac:dyDescent="0.25">
      <c r="A40" s="849" t="s">
        <v>637</v>
      </c>
      <c r="B40" s="819"/>
      <c r="C40" s="524"/>
      <c r="D40" s="819"/>
      <c r="E40" s="819"/>
      <c r="F40" s="1227"/>
    </row>
    <row r="41" spans="1:6" ht="12" thickTop="1" x14ac:dyDescent="0.2"/>
  </sheetData>
  <sheetProtection algorithmName="SHA-512" hashValue="iJ77RbZyvDFYv756VL1E8oSu4lPFsICgsjFFP7Zp5saOaR3HY3BJELp5YUmw2G5tgK58XgZ4Fp42Yb7sh24m1w==" saltValue="6ZEA5Uz3vBbSXLcBp9nLdw==" spinCount="100000" sheet="1" objects="1" scenarios="1"/>
  <mergeCells count="3">
    <mergeCell ref="A1:F1"/>
    <mergeCell ref="B4:B5"/>
    <mergeCell ref="A33:F33"/>
  </mergeCells>
  <phoneticPr fontId="0" type="noConversion"/>
  <printOptions horizontalCentered="1"/>
  <pageMargins left="0.15748031496063" right="0.15748031496063" top="0.511811023622047" bottom="0.98425196850393704" header="0.511811023622047" footer="0.511811023622047"/>
  <pageSetup scale="74" orientation="landscape" r:id="rId1"/>
  <headerFooter alignWithMargins="0">
    <oddFooter>&amp;LHawai'i DOH
PFASs November 2024&amp;C&amp;8Page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5"/>
    <pageSetUpPr fitToPage="1"/>
  </sheetPr>
  <dimension ref="B1:P31"/>
  <sheetViews>
    <sheetView showGridLines="0" workbookViewId="0">
      <selection activeCell="B3" sqref="B3:J3"/>
    </sheetView>
  </sheetViews>
  <sheetFormatPr defaultColWidth="9.140625" defaultRowHeight="12.75" x14ac:dyDescent="0.2"/>
  <cols>
    <col min="1" max="1" width="2.28515625" style="262" customWidth="1"/>
    <col min="2" max="7" width="9.140625" style="262"/>
    <col min="8" max="8" width="15.28515625" style="262" customWidth="1"/>
    <col min="9" max="9" width="9.140625" style="262"/>
    <col min="10" max="10" width="13.140625" style="262" customWidth="1"/>
    <col min="11" max="16384" width="9.140625" style="262"/>
  </cols>
  <sheetData>
    <row r="1" spans="2:16" ht="6" customHeight="1" x14ac:dyDescent="0.2"/>
    <row r="2" spans="2:16" s="7" customFormat="1" ht="44.25" customHeight="1" x14ac:dyDescent="0.25">
      <c r="B2" s="1321" t="s">
        <v>155</v>
      </c>
      <c r="C2" s="1322"/>
      <c r="D2" s="1322"/>
      <c r="E2" s="1322"/>
      <c r="F2" s="1322"/>
      <c r="G2" s="1322"/>
      <c r="H2" s="1322"/>
      <c r="I2" s="1322"/>
      <c r="J2" s="1322"/>
      <c r="L2" s="263"/>
      <c r="M2" s="264"/>
      <c r="N2" s="265"/>
      <c r="O2" s="265"/>
      <c r="P2" s="265"/>
    </row>
    <row r="3" spans="2:16" s="7" customFormat="1" ht="41.25" customHeight="1" x14ac:dyDescent="0.25">
      <c r="B3" s="1323" t="s">
        <v>163</v>
      </c>
      <c r="C3" s="1324"/>
      <c r="D3" s="1324"/>
      <c r="E3" s="1324"/>
      <c r="F3" s="1324"/>
      <c r="G3" s="1324"/>
      <c r="H3" s="1324"/>
      <c r="I3" s="1324"/>
      <c r="J3" s="1324"/>
      <c r="L3" s="263"/>
      <c r="M3" s="264"/>
      <c r="N3" s="265"/>
      <c r="O3" s="265"/>
      <c r="P3" s="265"/>
    </row>
    <row r="4" spans="2:16" ht="6" customHeight="1" x14ac:dyDescent="0.2"/>
    <row r="5" spans="2:16" ht="31.5" x14ac:dyDescent="0.25">
      <c r="B5" s="266" t="s">
        <v>164</v>
      </c>
      <c r="C5" s="267"/>
      <c r="D5" s="267"/>
      <c r="E5" s="267"/>
      <c r="F5" s="267"/>
      <c r="G5" s="267"/>
      <c r="H5" s="267"/>
      <c r="I5" s="267"/>
      <c r="J5" s="267"/>
    </row>
    <row r="6" spans="2:16" ht="5.25" customHeight="1" x14ac:dyDescent="0.2">
      <c r="B6" s="268"/>
    </row>
    <row r="7" spans="2:16" ht="39.75" customHeight="1" x14ac:dyDescent="0.2">
      <c r="B7" s="1328" t="s">
        <v>165</v>
      </c>
      <c r="C7" s="1328"/>
      <c r="D7" s="1328"/>
      <c r="E7" s="1328"/>
      <c r="F7" s="1328"/>
      <c r="G7" s="1328"/>
      <c r="H7" s="1328"/>
      <c r="I7" s="1328"/>
      <c r="J7" s="1328"/>
    </row>
    <row r="8" spans="2:16" ht="8.25" customHeight="1" x14ac:dyDescent="0.2">
      <c r="B8" s="269"/>
      <c r="C8" s="269"/>
      <c r="D8" s="269"/>
      <c r="E8" s="269"/>
      <c r="F8" s="269"/>
      <c r="G8" s="269"/>
      <c r="H8" s="269"/>
      <c r="I8" s="269"/>
      <c r="J8" s="269"/>
    </row>
    <row r="9" spans="2:16" ht="18" customHeight="1" x14ac:dyDescent="0.25">
      <c r="B9" s="65" t="s">
        <v>166</v>
      </c>
      <c r="C9" s="270"/>
      <c r="D9" s="270"/>
      <c r="E9" s="270"/>
      <c r="F9" s="270"/>
      <c r="G9" s="270"/>
      <c r="H9" s="270"/>
      <c r="I9" s="270"/>
      <c r="J9" s="270"/>
    </row>
    <row r="10" spans="2:16" ht="9" customHeight="1" x14ac:dyDescent="0.25">
      <c r="B10" s="65"/>
      <c r="C10" s="270"/>
      <c r="D10" s="270"/>
      <c r="E10" s="270"/>
      <c r="F10" s="270"/>
      <c r="G10" s="270"/>
      <c r="H10" s="270"/>
      <c r="I10" s="270"/>
      <c r="J10" s="270"/>
    </row>
    <row r="11" spans="2:16" ht="61.5" customHeight="1" x14ac:dyDescent="0.25">
      <c r="B11" s="1329" t="s">
        <v>167</v>
      </c>
      <c r="C11" s="1320"/>
      <c r="D11" s="1320"/>
      <c r="E11" s="1320"/>
      <c r="F11" s="1320"/>
      <c r="G11" s="1320"/>
      <c r="H11" s="1320"/>
      <c r="I11" s="1320"/>
      <c r="J11" s="1320"/>
    </row>
    <row r="12" spans="2:16" ht="9" customHeight="1" x14ac:dyDescent="0.25">
      <c r="B12" s="127"/>
      <c r="C12" s="127"/>
      <c r="D12" s="127"/>
      <c r="E12" s="127"/>
      <c r="F12" s="127"/>
      <c r="G12" s="127"/>
      <c r="H12" s="127"/>
      <c r="I12" s="127"/>
      <c r="J12" s="127"/>
    </row>
    <row r="13" spans="2:16" ht="15.75" x14ac:dyDescent="0.25">
      <c r="B13" s="1329" t="s">
        <v>168</v>
      </c>
      <c r="C13" s="1320"/>
      <c r="D13" s="1320"/>
      <c r="E13" s="1320"/>
      <c r="F13" s="1320"/>
      <c r="G13" s="1320"/>
      <c r="H13" s="1320"/>
      <c r="I13" s="1320"/>
      <c r="J13" s="1320"/>
    </row>
    <row r="14" spans="2:16" ht="9" customHeight="1" x14ac:dyDescent="0.25">
      <c r="B14" s="443"/>
      <c r="C14" s="442"/>
      <c r="D14" s="442"/>
      <c r="E14" s="442"/>
      <c r="F14" s="442"/>
      <c r="G14" s="442"/>
      <c r="H14" s="442"/>
      <c r="I14" s="442"/>
      <c r="J14" s="442"/>
    </row>
    <row r="15" spans="2:16" ht="43.35" customHeight="1" x14ac:dyDescent="0.2">
      <c r="B15" s="1330" t="s">
        <v>169</v>
      </c>
      <c r="C15" s="1330"/>
      <c r="D15" s="1330"/>
      <c r="E15" s="1330"/>
      <c r="F15" s="1330"/>
      <c r="G15" s="1330"/>
      <c r="H15" s="1330"/>
      <c r="I15" s="1330"/>
      <c r="J15" s="1330"/>
    </row>
    <row r="16" spans="2:16" ht="9" customHeight="1" x14ac:dyDescent="0.25">
      <c r="B16" s="127"/>
      <c r="C16" s="127"/>
      <c r="D16" s="127"/>
      <c r="E16" s="127"/>
      <c r="F16" s="127"/>
      <c r="G16" s="127"/>
      <c r="H16" s="127"/>
      <c r="I16" s="127"/>
      <c r="J16" s="127"/>
    </row>
    <row r="17" spans="2:10" ht="47.25" customHeight="1" x14ac:dyDescent="0.25">
      <c r="B17" s="1329" t="s">
        <v>170</v>
      </c>
      <c r="C17" s="1320"/>
      <c r="D17" s="1320"/>
      <c r="E17" s="1320"/>
      <c r="F17" s="1320"/>
      <c r="G17" s="1320"/>
      <c r="H17" s="1320"/>
      <c r="I17" s="1320"/>
      <c r="J17" s="1320"/>
    </row>
    <row r="18" spans="2:10" ht="9" customHeight="1" x14ac:dyDescent="0.25">
      <c r="B18" s="127"/>
      <c r="C18" s="127"/>
      <c r="D18" s="127"/>
      <c r="E18" s="127"/>
      <c r="F18" s="127"/>
      <c r="G18" s="127"/>
      <c r="H18" s="127"/>
      <c r="I18" s="127"/>
      <c r="J18" s="127"/>
    </row>
    <row r="19" spans="2:10" ht="45.75" customHeight="1" x14ac:dyDescent="0.25">
      <c r="B19" s="1329" t="s">
        <v>171</v>
      </c>
      <c r="C19" s="1320"/>
      <c r="D19" s="1320"/>
      <c r="E19" s="1320"/>
      <c r="F19" s="1320"/>
      <c r="G19" s="1320"/>
      <c r="H19" s="1320"/>
      <c r="I19" s="1320"/>
      <c r="J19" s="1320"/>
    </row>
    <row r="20" spans="2:10" ht="9" customHeight="1" x14ac:dyDescent="0.25">
      <c r="B20" s="127"/>
      <c r="C20" s="127"/>
      <c r="D20" s="127"/>
      <c r="E20" s="127"/>
      <c r="F20" s="127"/>
      <c r="G20" s="127"/>
      <c r="H20" s="127"/>
      <c r="I20" s="127"/>
      <c r="J20" s="127"/>
    </row>
    <row r="21" spans="2:10" ht="34.5" customHeight="1" x14ac:dyDescent="0.25">
      <c r="B21" s="1329" t="s">
        <v>172</v>
      </c>
      <c r="C21" s="1320"/>
      <c r="D21" s="1320"/>
      <c r="E21" s="1320"/>
      <c r="F21" s="1320"/>
      <c r="G21" s="1320"/>
      <c r="H21" s="1320"/>
      <c r="I21" s="1320"/>
      <c r="J21" s="1320"/>
    </row>
    <row r="22" spans="2:10" ht="9" customHeight="1" x14ac:dyDescent="0.25">
      <c r="B22" s="127"/>
      <c r="C22" s="127"/>
      <c r="D22" s="127"/>
      <c r="E22" s="127"/>
      <c r="F22" s="127"/>
      <c r="G22" s="127"/>
      <c r="H22" s="127"/>
      <c r="I22" s="127"/>
      <c r="J22" s="127"/>
    </row>
    <row r="23" spans="2:10" ht="108.6" customHeight="1" x14ac:dyDescent="0.25">
      <c r="B23" s="1329" t="s">
        <v>173</v>
      </c>
      <c r="C23" s="1320"/>
      <c r="D23" s="1320"/>
      <c r="E23" s="1320"/>
      <c r="F23" s="1320"/>
      <c r="G23" s="1320"/>
      <c r="H23" s="1320"/>
      <c r="I23" s="1320"/>
      <c r="J23" s="1320"/>
    </row>
    <row r="24" spans="2:10" ht="6.75" customHeight="1" x14ac:dyDescent="0.25">
      <c r="B24" s="127"/>
      <c r="C24" s="127"/>
      <c r="D24" s="127"/>
      <c r="E24" s="127"/>
      <c r="F24" s="127"/>
      <c r="G24" s="127"/>
      <c r="H24" s="127"/>
      <c r="I24" s="127"/>
      <c r="J24" s="127"/>
    </row>
    <row r="25" spans="2:10" ht="18" customHeight="1" x14ac:dyDescent="0.25">
      <c r="B25" s="53" t="s">
        <v>160</v>
      </c>
      <c r="C25" s="52"/>
      <c r="D25" s="52"/>
      <c r="E25" s="7"/>
      <c r="F25" s="7"/>
      <c r="G25" s="52"/>
      <c r="H25" s="7"/>
      <c r="I25" s="7"/>
      <c r="J25" s="7"/>
    </row>
    <row r="26" spans="2:10" ht="31.5" customHeight="1" x14ac:dyDescent="0.25">
      <c r="B26" s="1319" t="s">
        <v>174</v>
      </c>
      <c r="C26" s="1320"/>
      <c r="D26" s="1320"/>
      <c r="E26" s="1320"/>
      <c r="F26" s="1320"/>
      <c r="G26" s="1320"/>
      <c r="H26" s="1320"/>
      <c r="I26" s="1320"/>
      <c r="J26" s="1320"/>
    </row>
    <row r="27" spans="2:10" ht="9.75" customHeight="1" x14ac:dyDescent="0.25">
      <c r="B27" s="53"/>
      <c r="C27" s="52"/>
      <c r="D27" s="52"/>
      <c r="E27" s="7"/>
      <c r="F27" s="7"/>
      <c r="G27" s="52"/>
      <c r="H27" s="7"/>
      <c r="I27" s="7"/>
      <c r="J27" s="7"/>
    </row>
    <row r="28" spans="2:10" ht="48" customHeight="1" x14ac:dyDescent="0.25">
      <c r="B28" s="1319" t="s">
        <v>162</v>
      </c>
      <c r="C28" s="1320"/>
      <c r="D28" s="1320"/>
      <c r="E28" s="1320"/>
      <c r="F28" s="1320"/>
      <c r="G28" s="1320"/>
      <c r="H28" s="1320"/>
      <c r="I28" s="1320"/>
      <c r="J28" s="1320"/>
    </row>
    <row r="29" spans="2:10" ht="11.1" customHeight="1" x14ac:dyDescent="0.2"/>
    <row r="30" spans="2:10" ht="47.85" customHeight="1" x14ac:dyDescent="0.25">
      <c r="B30" s="1319" t="s">
        <v>161</v>
      </c>
      <c r="C30" s="1320"/>
      <c r="D30" s="1320"/>
      <c r="E30" s="1320"/>
      <c r="F30" s="1320"/>
      <c r="G30" s="1320"/>
      <c r="H30" s="1320"/>
      <c r="I30" s="1320"/>
      <c r="J30" s="1320"/>
    </row>
    <row r="31" spans="2:10" ht="30" customHeight="1" x14ac:dyDescent="0.2"/>
  </sheetData>
  <sheetProtection algorithmName="SHA-512" hashValue="3zW9crFK5VMn4Gi/SKMAyd2Ds8sEa2uCzvtf/+41PywG/nJecwRe3Cl8vuFd5r2c/OPleQvkr77ibUyeS2Vj7g==" saltValue="GB5PYRmLGjv5si6zxMIB1w==" spinCount="100000" sheet="1" objects="1" scenarios="1"/>
  <mergeCells count="13">
    <mergeCell ref="B30:J30"/>
    <mergeCell ref="B3:J3"/>
    <mergeCell ref="B2:J2"/>
    <mergeCell ref="B7:J7"/>
    <mergeCell ref="B11:J11"/>
    <mergeCell ref="B28:J28"/>
    <mergeCell ref="B13:J13"/>
    <mergeCell ref="B15:J15"/>
    <mergeCell ref="B17:J17"/>
    <mergeCell ref="B19:J19"/>
    <mergeCell ref="B21:J21"/>
    <mergeCell ref="B23:J23"/>
    <mergeCell ref="B26:J26"/>
  </mergeCells>
  <phoneticPr fontId="16" type="noConversion"/>
  <pageMargins left="0.75" right="0.75" top="1" bottom="1" header="0.5" footer="0.5"/>
  <pageSetup scale="97" orientation="portrait" horizontalDpi="4294967293" r:id="rId1"/>
  <headerFooter alignWithMargins="0">
    <oddFooter>&amp;R&amp;A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indexed="29"/>
    <pageSetUpPr fitToPage="1"/>
  </sheetPr>
  <dimension ref="A1:F41"/>
  <sheetViews>
    <sheetView zoomScaleNormal="100" workbookViewId="0">
      <selection activeCell="F24" sqref="F24"/>
    </sheetView>
  </sheetViews>
  <sheetFormatPr defaultColWidth="9.140625" defaultRowHeight="11.25" x14ac:dyDescent="0.2"/>
  <cols>
    <col min="1" max="1" width="50.5703125" style="517" customWidth="1"/>
    <col min="2" max="2" width="12.7109375" style="515" customWidth="1"/>
    <col min="3" max="3" width="27.7109375" style="784" customWidth="1"/>
    <col min="4" max="5" width="12.7109375" style="515" customWidth="1"/>
    <col min="6" max="6" width="14.7109375" style="505" customWidth="1"/>
    <col min="7" max="16384" width="9.140625" style="517"/>
  </cols>
  <sheetData>
    <row r="1" spans="1:6" s="706" customFormat="1" ht="30" customHeight="1" x14ac:dyDescent="0.25">
      <c r="A1" s="1572" t="s">
        <v>662</v>
      </c>
      <c r="B1" s="1587"/>
      <c r="C1" s="1587"/>
      <c r="D1" s="1587"/>
      <c r="E1" s="1587"/>
      <c r="F1" s="1587"/>
    </row>
    <row r="2" spans="1:6" s="706" customFormat="1" ht="15" x14ac:dyDescent="0.25">
      <c r="A2" s="1056" t="s">
        <v>639</v>
      </c>
      <c r="B2" s="468"/>
      <c r="C2" s="468"/>
      <c r="D2" s="468"/>
      <c r="E2" s="468"/>
      <c r="F2" s="468"/>
    </row>
    <row r="3" spans="1:6" s="706" customFormat="1" ht="12" thickBot="1" x14ac:dyDescent="0.25">
      <c r="A3" s="989"/>
      <c r="B3" s="468"/>
      <c r="C3" s="990"/>
      <c r="D3" s="468"/>
      <c r="E3" s="468"/>
      <c r="F3" s="968"/>
    </row>
    <row r="4" spans="1:6" s="706" customFormat="1" ht="60" customHeight="1" thickTop="1" thickBot="1" x14ac:dyDescent="0.25">
      <c r="A4" s="697"/>
      <c r="B4" s="1588" t="s">
        <v>648</v>
      </c>
      <c r="C4" s="1220"/>
      <c r="D4" s="1221" t="s">
        <v>643</v>
      </c>
      <c r="E4" s="1222" t="s">
        <v>663</v>
      </c>
      <c r="F4" s="1223" t="s">
        <v>651</v>
      </c>
    </row>
    <row r="5" spans="1:6" s="706" customFormat="1" ht="16.5" customHeight="1" thickBot="1" x14ac:dyDescent="0.25">
      <c r="A5" s="1088" t="s">
        <v>469</v>
      </c>
      <c r="B5" s="1589"/>
      <c r="C5" s="1064" t="s">
        <v>405</v>
      </c>
      <c r="D5" s="1224" t="s">
        <v>657</v>
      </c>
      <c r="E5" s="1225" t="s">
        <v>334</v>
      </c>
      <c r="F5" s="1226" t="s">
        <v>341</v>
      </c>
    </row>
    <row r="6" spans="1:6" s="706" customFormat="1" ht="12" customHeight="1" x14ac:dyDescent="0.2">
      <c r="A6" s="490" t="s">
        <v>472</v>
      </c>
      <c r="B6" s="542"/>
      <c r="C6" s="996"/>
      <c r="D6" s="494"/>
      <c r="E6" s="963"/>
      <c r="F6" s="745"/>
    </row>
    <row r="7" spans="1:6" s="706" customFormat="1" ht="12" customHeight="1" x14ac:dyDescent="0.2">
      <c r="A7" s="497" t="s">
        <v>473</v>
      </c>
      <c r="B7" s="547"/>
      <c r="C7" s="997"/>
      <c r="D7" s="501"/>
      <c r="E7" s="836"/>
      <c r="F7" s="748"/>
    </row>
    <row r="8" spans="1:6" s="706" customFormat="1" ht="12" customHeight="1" x14ac:dyDescent="0.2">
      <c r="A8" s="497" t="s">
        <v>474</v>
      </c>
      <c r="B8" s="547"/>
      <c r="C8" s="997"/>
      <c r="D8" s="501"/>
      <c r="E8" s="836"/>
      <c r="F8" s="748"/>
    </row>
    <row r="9" spans="1:6" s="706" customFormat="1" ht="12" customHeight="1" x14ac:dyDescent="0.2">
      <c r="A9" s="497" t="s">
        <v>475</v>
      </c>
      <c r="B9" s="547"/>
      <c r="C9" s="997"/>
      <c r="D9" s="501"/>
      <c r="E9" s="836"/>
      <c r="F9" s="748"/>
    </row>
    <row r="10" spans="1:6" s="706" customFormat="1" ht="12" customHeight="1" x14ac:dyDescent="0.2">
      <c r="A10" s="497" t="s">
        <v>476</v>
      </c>
      <c r="B10" s="547"/>
      <c r="C10" s="997"/>
      <c r="D10" s="501"/>
      <c r="E10" s="836"/>
      <c r="F10" s="748"/>
    </row>
    <row r="11" spans="1:6" s="706" customFormat="1" ht="12" customHeight="1" x14ac:dyDescent="0.2">
      <c r="A11" s="497" t="s">
        <v>477</v>
      </c>
      <c r="B11" s="547"/>
      <c r="C11" s="997"/>
      <c r="D11" s="501"/>
      <c r="E11" s="836"/>
      <c r="F11" s="748"/>
    </row>
    <row r="12" spans="1:6" s="706" customFormat="1" ht="12" customHeight="1" x14ac:dyDescent="0.2">
      <c r="A12" s="497" t="s">
        <v>200</v>
      </c>
      <c r="B12" s="547"/>
      <c r="C12" s="997"/>
      <c r="D12" s="501"/>
      <c r="E12" s="836"/>
      <c r="F12" s="748"/>
    </row>
    <row r="13" spans="1:6" s="706" customFormat="1" ht="12" customHeight="1" x14ac:dyDescent="0.2">
      <c r="A13" s="497" t="s">
        <v>478</v>
      </c>
      <c r="B13" s="547"/>
      <c r="C13" s="997"/>
      <c r="D13" s="501"/>
      <c r="E13" s="836"/>
      <c r="F13" s="748"/>
    </row>
    <row r="14" spans="1:6" s="706" customFormat="1" ht="12" customHeight="1" x14ac:dyDescent="0.2">
      <c r="A14" s="497" t="s">
        <v>479</v>
      </c>
      <c r="B14" s="547"/>
      <c r="C14" s="997"/>
      <c r="D14" s="501"/>
      <c r="E14" s="836"/>
      <c r="F14" s="748"/>
    </row>
    <row r="15" spans="1:6" s="706" customFormat="1" ht="12" customHeight="1" x14ac:dyDescent="0.2">
      <c r="A15" s="497" t="s">
        <v>480</v>
      </c>
      <c r="B15" s="547"/>
      <c r="C15" s="997"/>
      <c r="D15" s="501"/>
      <c r="E15" s="836"/>
      <c r="F15" s="748"/>
    </row>
    <row r="16" spans="1:6" s="706" customFormat="1" ht="12" customHeight="1" x14ac:dyDescent="0.2">
      <c r="A16" s="497" t="s">
        <v>481</v>
      </c>
      <c r="B16" s="547"/>
      <c r="C16" s="997"/>
      <c r="D16" s="501"/>
      <c r="E16" s="836"/>
      <c r="F16" s="748"/>
    </row>
    <row r="17" spans="1:6" s="706" customFormat="1" ht="12" customHeight="1" x14ac:dyDescent="0.2">
      <c r="A17" s="497" t="s">
        <v>482</v>
      </c>
      <c r="B17" s="547"/>
      <c r="C17" s="997"/>
      <c r="D17" s="501"/>
      <c r="E17" s="836"/>
      <c r="F17" s="748"/>
    </row>
    <row r="18" spans="1:6" s="706" customFormat="1" ht="12" customHeight="1" x14ac:dyDescent="0.2">
      <c r="A18" s="497" t="s">
        <v>483</v>
      </c>
      <c r="B18" s="547"/>
      <c r="C18" s="997"/>
      <c r="D18" s="501"/>
      <c r="E18" s="836"/>
      <c r="F18" s="748"/>
    </row>
    <row r="19" spans="1:6" s="706" customFormat="1" ht="12" customHeight="1" x14ac:dyDescent="0.2">
      <c r="A19" s="497" t="s">
        <v>484</v>
      </c>
      <c r="B19" s="547"/>
      <c r="C19" s="997"/>
      <c r="D19" s="501"/>
      <c r="E19" s="836"/>
      <c r="F19" s="748"/>
    </row>
    <row r="20" spans="1:6" s="706" customFormat="1" ht="12" customHeight="1" x14ac:dyDescent="0.2">
      <c r="A20" s="497" t="s">
        <v>485</v>
      </c>
      <c r="B20" s="547"/>
      <c r="C20" s="997"/>
      <c r="D20" s="501"/>
      <c r="E20" s="836"/>
      <c r="F20" s="748"/>
    </row>
    <row r="21" spans="1:6" s="706" customFormat="1" ht="12" customHeight="1" x14ac:dyDescent="0.2">
      <c r="A21" s="497" t="s">
        <v>486</v>
      </c>
      <c r="B21" s="547"/>
      <c r="C21" s="997"/>
      <c r="D21" s="501"/>
      <c r="E21" s="836"/>
      <c r="F21" s="748"/>
    </row>
    <row r="22" spans="1:6" s="706" customFormat="1" ht="12" customHeight="1" x14ac:dyDescent="0.2">
      <c r="A22" s="497" t="s">
        <v>487</v>
      </c>
      <c r="B22" s="547"/>
      <c r="C22" s="997"/>
      <c r="D22" s="501"/>
      <c r="E22" s="836"/>
      <c r="F22" s="748"/>
    </row>
    <row r="23" spans="1:6" s="706" customFormat="1" ht="12" customHeight="1" x14ac:dyDescent="0.2">
      <c r="A23" s="497" t="s">
        <v>488</v>
      </c>
      <c r="B23" s="547"/>
      <c r="C23" s="997"/>
      <c r="D23" s="501"/>
      <c r="E23" s="836"/>
      <c r="F23" s="748"/>
    </row>
    <row r="24" spans="1:6" s="706" customFormat="1" ht="12" customHeight="1" x14ac:dyDescent="0.2">
      <c r="A24" s="497" t="s">
        <v>489</v>
      </c>
      <c r="B24" s="547"/>
      <c r="C24" s="997"/>
      <c r="D24" s="501"/>
      <c r="E24" s="836"/>
      <c r="F24" s="748"/>
    </row>
    <row r="25" spans="1:6" s="706" customFormat="1" ht="12" customHeight="1" x14ac:dyDescent="0.2">
      <c r="A25" s="497" t="s">
        <v>490</v>
      </c>
      <c r="B25" s="547"/>
      <c r="C25" s="997"/>
      <c r="D25" s="501"/>
      <c r="E25" s="836"/>
      <c r="F25" s="748"/>
    </row>
    <row r="26" spans="1:6" s="706" customFormat="1" ht="12" customHeight="1" x14ac:dyDescent="0.2">
      <c r="A26" s="497" t="s">
        <v>491</v>
      </c>
      <c r="B26" s="547"/>
      <c r="C26" s="997"/>
      <c r="D26" s="501"/>
      <c r="E26" s="836"/>
      <c r="F26" s="748"/>
    </row>
    <row r="27" spans="1:6" s="706" customFormat="1" ht="12" customHeight="1" x14ac:dyDescent="0.2">
      <c r="A27" s="497" t="s">
        <v>492</v>
      </c>
      <c r="B27" s="547"/>
      <c r="C27" s="997"/>
      <c r="D27" s="501"/>
      <c r="E27" s="836"/>
      <c r="F27" s="748"/>
    </row>
    <row r="28" spans="1:6" s="706" customFormat="1" ht="12" customHeight="1" x14ac:dyDescent="0.2">
      <c r="A28" s="497" t="s">
        <v>493</v>
      </c>
      <c r="B28" s="547"/>
      <c r="C28" s="997"/>
      <c r="D28" s="501"/>
      <c r="E28" s="836"/>
      <c r="F28" s="748"/>
    </row>
    <row r="29" spans="1:6" s="706" customFormat="1" ht="12" customHeight="1" x14ac:dyDescent="0.2">
      <c r="A29" s="497" t="s">
        <v>494</v>
      </c>
      <c r="B29" s="547"/>
      <c r="C29" s="997"/>
      <c r="D29" s="501"/>
      <c r="E29" s="836"/>
      <c r="F29" s="748"/>
    </row>
    <row r="30" spans="1:6" s="706" customFormat="1" ht="12" customHeight="1" x14ac:dyDescent="0.2">
      <c r="A30" s="497" t="s">
        <v>495</v>
      </c>
      <c r="B30" s="547"/>
      <c r="C30" s="997"/>
      <c r="D30" s="501"/>
      <c r="E30" s="836"/>
      <c r="F30" s="748"/>
    </row>
    <row r="31" spans="1:6" s="706" customFormat="1" ht="12" customHeight="1" thickBot="1" x14ac:dyDescent="0.25">
      <c r="A31" s="507" t="s">
        <v>496</v>
      </c>
      <c r="B31" s="553"/>
      <c r="C31" s="998"/>
      <c r="D31" s="511"/>
      <c r="E31" s="966"/>
      <c r="F31" s="752"/>
    </row>
    <row r="32" spans="1:6" ht="11.25" customHeight="1" thickTop="1" x14ac:dyDescent="0.2">
      <c r="A32" s="514" t="s">
        <v>238</v>
      </c>
      <c r="F32" s="1146"/>
    </row>
    <row r="33" spans="1:6" ht="11.25" customHeight="1" x14ac:dyDescent="0.2">
      <c r="A33" s="514" t="s">
        <v>664</v>
      </c>
      <c r="F33" s="1146"/>
    </row>
    <row r="34" spans="1:6" ht="21.6" customHeight="1" x14ac:dyDescent="0.2">
      <c r="A34" s="1526" t="s">
        <v>659</v>
      </c>
      <c r="B34" s="1523"/>
      <c r="C34" s="1523"/>
      <c r="D34" s="1523"/>
      <c r="E34" s="1523"/>
      <c r="F34" s="1524"/>
    </row>
    <row r="35" spans="1:6" ht="11.25" customHeight="1" x14ac:dyDescent="0.2">
      <c r="A35" s="521"/>
      <c r="F35" s="1146"/>
    </row>
    <row r="36" spans="1:6" ht="11.25" customHeight="1" x14ac:dyDescent="0.2">
      <c r="A36" s="521" t="s">
        <v>631</v>
      </c>
      <c r="F36" s="1146"/>
    </row>
    <row r="37" spans="1:6" ht="11.25" customHeight="1" x14ac:dyDescent="0.2">
      <c r="A37" s="521" t="s">
        <v>660</v>
      </c>
      <c r="F37" s="1146"/>
    </row>
    <row r="38" spans="1:6" ht="11.25" customHeight="1" x14ac:dyDescent="0.2">
      <c r="A38" s="521" t="s">
        <v>661</v>
      </c>
      <c r="F38" s="1146"/>
    </row>
    <row r="39" spans="1:6" ht="11.25" customHeight="1" x14ac:dyDescent="0.2">
      <c r="A39" s="521"/>
      <c r="F39" s="1146"/>
    </row>
    <row r="40" spans="1:6" ht="11.25" customHeight="1" thickBot="1" x14ac:dyDescent="0.25">
      <c r="A40" s="849" t="s">
        <v>637</v>
      </c>
      <c r="B40" s="819"/>
      <c r="C40" s="524"/>
      <c r="D40" s="819"/>
      <c r="E40" s="819"/>
      <c r="F40" s="1227"/>
    </row>
    <row r="41" spans="1:6" ht="12" thickTop="1" x14ac:dyDescent="0.2"/>
  </sheetData>
  <sheetProtection algorithmName="SHA-512" hashValue="79JhYQsCREIHNbbH5zvtbv4w/I1agHgn+jLbtHizbQdkQvc9hhLEUoXV/1Xwlc5aDKVdW7kt3v8GiU9RC8nEjg==" saltValue="eEQPKHO8Mdt7ByCLt/EYag==" spinCount="100000" sheet="1" objects="1" scenarios="1"/>
  <mergeCells count="3">
    <mergeCell ref="A1:F1"/>
    <mergeCell ref="B4:B5"/>
    <mergeCell ref="A34:F34"/>
  </mergeCells>
  <phoneticPr fontId="0" type="noConversion"/>
  <printOptions horizontalCentered="1"/>
  <pageMargins left="0.15748031496063" right="0.15748031496063" top="0.511811023622047" bottom="0.98425196850393704" header="0.511811023622047" footer="0.511811023622047"/>
  <pageSetup scale="74" orientation="landscape" r:id="rId1"/>
  <headerFooter alignWithMargins="0">
    <oddFooter>&amp;LHawai'i DOH
PFASs November 2024&amp;C&amp;8Page &amp;P of &amp;N&amp;R&amp;A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indexed="29"/>
    <pageSetUpPr fitToPage="1"/>
  </sheetPr>
  <dimension ref="A1:N37"/>
  <sheetViews>
    <sheetView zoomScaleNormal="100" workbookViewId="0">
      <selection activeCell="F24" sqref="F24"/>
    </sheetView>
  </sheetViews>
  <sheetFormatPr defaultColWidth="9.140625" defaultRowHeight="12.75" x14ac:dyDescent="0.2"/>
  <cols>
    <col min="1" max="1" width="50.5703125" style="517" customWidth="1"/>
    <col min="2" max="2" width="11.7109375" style="515" customWidth="1"/>
    <col min="3" max="3" width="17.7109375" style="710" customWidth="1"/>
    <col min="4" max="4" width="11.7109375" style="515" customWidth="1"/>
    <col min="5" max="5" width="9.28515625" style="515" customWidth="1"/>
    <col min="6" max="6" width="17.7109375" style="770" customWidth="1"/>
    <col min="7" max="7" width="12.7109375" style="515" customWidth="1"/>
    <col min="8" max="8" width="19.7109375" style="710" customWidth="1"/>
    <col min="9" max="9" width="19.7109375" style="519" customWidth="1"/>
    <col min="10" max="13" width="9" style="519"/>
    <col min="14" max="14" width="9.140625" style="1219"/>
    <col min="15" max="16384" width="9.140625" style="517"/>
  </cols>
  <sheetData>
    <row r="1" spans="1:14" s="706" customFormat="1" ht="30" customHeight="1" x14ac:dyDescent="0.25">
      <c r="A1" s="1572" t="s">
        <v>665</v>
      </c>
      <c r="B1" s="1573"/>
      <c r="C1" s="1573"/>
      <c r="D1" s="1573"/>
      <c r="E1" s="1573"/>
      <c r="F1" s="1573"/>
      <c r="G1" s="1573"/>
      <c r="H1" s="1573"/>
      <c r="I1" s="519"/>
      <c r="J1" s="519"/>
      <c r="K1" s="519"/>
      <c r="L1" s="519"/>
      <c r="M1" s="519"/>
      <c r="N1" s="1210"/>
    </row>
    <row r="2" spans="1:14" s="706" customFormat="1" ht="15" x14ac:dyDescent="0.25">
      <c r="A2" s="1056" t="s">
        <v>567</v>
      </c>
      <c r="B2" s="468"/>
      <c r="C2" s="473"/>
      <c r="D2" s="468"/>
      <c r="E2" s="468"/>
      <c r="F2" s="989"/>
      <c r="G2" s="468"/>
      <c r="H2" s="473"/>
      <c r="I2" s="519"/>
      <c r="J2" s="519"/>
      <c r="K2" s="519"/>
      <c r="L2" s="519"/>
      <c r="M2" s="519"/>
      <c r="N2" s="1210"/>
    </row>
    <row r="3" spans="1:14" s="706" customFormat="1" ht="13.5" thickBot="1" x14ac:dyDescent="0.25">
      <c r="A3" s="989"/>
      <c r="B3" s="468"/>
      <c r="C3" s="473"/>
      <c r="D3" s="568"/>
      <c r="E3" s="468"/>
      <c r="F3" s="989"/>
      <c r="G3" s="568"/>
      <c r="H3" s="473"/>
      <c r="I3" s="519"/>
      <c r="J3" s="519"/>
      <c r="K3" s="519"/>
      <c r="L3" s="519"/>
      <c r="M3" s="519"/>
      <c r="N3" s="1210"/>
    </row>
    <row r="4" spans="1:14" s="706" customFormat="1" ht="38.85" customHeight="1" thickTop="1" thickBot="1" x14ac:dyDescent="0.25">
      <c r="A4" s="991" t="s">
        <v>469</v>
      </c>
      <c r="B4" s="992" t="s">
        <v>666</v>
      </c>
      <c r="C4" s="1211" t="s">
        <v>405</v>
      </c>
      <c r="D4" s="1212" t="s">
        <v>667</v>
      </c>
      <c r="E4" s="992" t="s">
        <v>668</v>
      </c>
      <c r="F4" s="1213" t="s">
        <v>606</v>
      </c>
      <c r="G4" s="1164" t="s">
        <v>669</v>
      </c>
      <c r="H4" s="1214" t="s">
        <v>405</v>
      </c>
      <c r="I4" s="519"/>
      <c r="J4" s="519"/>
      <c r="K4" s="519"/>
      <c r="L4" s="519"/>
      <c r="M4" s="519"/>
      <c r="N4" s="1210"/>
    </row>
    <row r="5" spans="1:14" s="706" customFormat="1" ht="12" customHeight="1" x14ac:dyDescent="0.2">
      <c r="A5" s="490" t="s">
        <v>472</v>
      </c>
      <c r="B5" s="542">
        <v>2</v>
      </c>
      <c r="C5" s="962" t="s">
        <v>1136</v>
      </c>
      <c r="D5" s="491">
        <v>2</v>
      </c>
      <c r="E5" s="542"/>
      <c r="F5" s="1097" t="s">
        <v>670</v>
      </c>
      <c r="G5" s="743">
        <v>1.6949152542372883</v>
      </c>
      <c r="H5" s="1215" t="s">
        <v>1130</v>
      </c>
      <c r="I5" s="519"/>
      <c r="J5" s="519"/>
      <c r="K5" s="519"/>
      <c r="L5" s="519"/>
      <c r="M5" s="519"/>
      <c r="N5" s="1210"/>
    </row>
    <row r="6" spans="1:14" s="706" customFormat="1" ht="12" customHeight="1" x14ac:dyDescent="0.2">
      <c r="A6" s="497" t="s">
        <v>473</v>
      </c>
      <c r="B6" s="547">
        <v>0.58076923076923059</v>
      </c>
      <c r="C6" s="964" t="s">
        <v>1130</v>
      </c>
      <c r="D6" s="498"/>
      <c r="E6" s="547"/>
      <c r="F6" s="1099"/>
      <c r="G6" s="746">
        <v>0.58076923076923059</v>
      </c>
      <c r="H6" s="1216" t="s">
        <v>1130</v>
      </c>
      <c r="I6" s="519"/>
      <c r="J6" s="519"/>
      <c r="K6" s="519"/>
      <c r="L6" s="519"/>
      <c r="M6" s="519"/>
      <c r="N6" s="1210"/>
    </row>
    <row r="7" spans="1:14" s="706" customFormat="1" ht="12" customHeight="1" x14ac:dyDescent="0.2">
      <c r="A7" s="497" t="s">
        <v>474</v>
      </c>
      <c r="B7" s="547">
        <v>0.01</v>
      </c>
      <c r="C7" s="964" t="s">
        <v>1136</v>
      </c>
      <c r="D7" s="498">
        <v>0.01</v>
      </c>
      <c r="E7" s="547"/>
      <c r="F7" s="1099" t="s">
        <v>670</v>
      </c>
      <c r="G7" s="746">
        <v>7.6923076923076927E-3</v>
      </c>
      <c r="H7" s="1216" t="s">
        <v>1130</v>
      </c>
      <c r="I7" s="519"/>
      <c r="J7" s="519"/>
      <c r="K7" s="519"/>
      <c r="L7" s="519"/>
      <c r="M7" s="519"/>
      <c r="N7" s="1210"/>
    </row>
    <row r="8" spans="1:14" s="706" customFormat="1" ht="12" customHeight="1" x14ac:dyDescent="0.2">
      <c r="A8" s="497" t="s">
        <v>475</v>
      </c>
      <c r="B8" s="547">
        <v>3.8461538461538471E-2</v>
      </c>
      <c r="C8" s="964" t="s">
        <v>1130</v>
      </c>
      <c r="D8" s="498"/>
      <c r="E8" s="547"/>
      <c r="F8" s="1099"/>
      <c r="G8" s="746">
        <v>3.8461538461538471E-2</v>
      </c>
      <c r="H8" s="1216" t="s">
        <v>1130</v>
      </c>
      <c r="I8" s="519"/>
      <c r="J8" s="519"/>
      <c r="K8" s="519"/>
      <c r="L8" s="519"/>
      <c r="M8" s="519"/>
      <c r="N8" s="1210"/>
    </row>
    <row r="9" spans="1:14" s="706" customFormat="1" ht="12" customHeight="1" x14ac:dyDescent="0.2">
      <c r="A9" s="497" t="s">
        <v>476</v>
      </c>
      <c r="B9" s="547">
        <v>4.0000000000000001E-3</v>
      </c>
      <c r="C9" s="964" t="s">
        <v>1136</v>
      </c>
      <c r="D9" s="498">
        <v>4.0000000000000001E-3</v>
      </c>
      <c r="E9" s="547"/>
      <c r="F9" s="1099" t="s">
        <v>671</v>
      </c>
      <c r="G9" s="746">
        <v>7.6923076923076927E-3</v>
      </c>
      <c r="H9" s="1216" t="s">
        <v>1130</v>
      </c>
      <c r="I9" s="519"/>
      <c r="J9" s="519"/>
      <c r="K9" s="519"/>
      <c r="L9" s="519"/>
      <c r="M9" s="519"/>
      <c r="N9" s="1210"/>
    </row>
    <row r="10" spans="1:14" s="706" customFormat="1" ht="12" customHeight="1" x14ac:dyDescent="0.2">
      <c r="A10" s="497" t="s">
        <v>477</v>
      </c>
      <c r="B10" s="547">
        <v>3.8461538461538471E-2</v>
      </c>
      <c r="C10" s="964" t="s">
        <v>1130</v>
      </c>
      <c r="D10" s="498"/>
      <c r="E10" s="547"/>
      <c r="F10" s="1099"/>
      <c r="G10" s="746">
        <v>3.8461538461538471E-2</v>
      </c>
      <c r="H10" s="1216" t="s">
        <v>1130</v>
      </c>
      <c r="I10" s="519"/>
      <c r="J10" s="519"/>
      <c r="K10" s="519"/>
      <c r="L10" s="519"/>
      <c r="M10" s="519"/>
      <c r="N10" s="1210"/>
    </row>
    <row r="11" spans="1:14" s="706" customFormat="1" ht="12" customHeight="1" x14ac:dyDescent="0.2">
      <c r="A11" s="497" t="s">
        <v>200</v>
      </c>
      <c r="B11" s="547">
        <v>18.475073313782989</v>
      </c>
      <c r="C11" s="964" t="s">
        <v>1130</v>
      </c>
      <c r="D11" s="498"/>
      <c r="E11" s="547"/>
      <c r="F11" s="1099"/>
      <c r="G11" s="746">
        <v>18.475073313782989</v>
      </c>
      <c r="H11" s="1216" t="s">
        <v>1130</v>
      </c>
      <c r="I11" s="519"/>
      <c r="J11" s="519"/>
      <c r="K11" s="519"/>
      <c r="L11" s="519"/>
      <c r="M11" s="519"/>
      <c r="N11" s="1210"/>
    </row>
    <row r="12" spans="1:14" s="706" customFormat="1" ht="12" customHeight="1" x14ac:dyDescent="0.2">
      <c r="A12" s="497" t="s">
        <v>478</v>
      </c>
      <c r="B12" s="547">
        <v>0.51319648093841652</v>
      </c>
      <c r="C12" s="964" t="s">
        <v>1130</v>
      </c>
      <c r="D12" s="498"/>
      <c r="E12" s="547"/>
      <c r="F12" s="1099"/>
      <c r="G12" s="746">
        <v>0.51319648093841652</v>
      </c>
      <c r="H12" s="1216" t="s">
        <v>1130</v>
      </c>
      <c r="I12" s="519"/>
      <c r="J12" s="519"/>
      <c r="K12" s="519"/>
      <c r="L12" s="519"/>
      <c r="M12" s="519"/>
      <c r="N12" s="1210"/>
    </row>
    <row r="13" spans="1:14" s="706" customFormat="1" ht="12" customHeight="1" x14ac:dyDescent="0.2">
      <c r="A13" s="497" t="s">
        <v>479</v>
      </c>
      <c r="B13" s="547">
        <v>14.615384615384617</v>
      </c>
      <c r="C13" s="964" t="s">
        <v>1130</v>
      </c>
      <c r="D13" s="498"/>
      <c r="E13" s="547"/>
      <c r="F13" s="1099"/>
      <c r="G13" s="746">
        <v>14.615384615384617</v>
      </c>
      <c r="H13" s="1216" t="s">
        <v>1130</v>
      </c>
      <c r="I13" s="519"/>
      <c r="J13" s="519"/>
      <c r="K13" s="519"/>
      <c r="L13" s="519"/>
      <c r="M13" s="519"/>
      <c r="N13" s="1210"/>
    </row>
    <row r="14" spans="1:14" s="706" customFormat="1" ht="12" customHeight="1" x14ac:dyDescent="0.2">
      <c r="A14" s="497" t="s">
        <v>480</v>
      </c>
      <c r="B14" s="547">
        <v>1.5384615384615383</v>
      </c>
      <c r="C14" s="964" t="s">
        <v>1130</v>
      </c>
      <c r="D14" s="498"/>
      <c r="E14" s="547"/>
      <c r="F14" s="1099"/>
      <c r="G14" s="746">
        <v>1.5384615384615383</v>
      </c>
      <c r="H14" s="1216" t="s">
        <v>1130</v>
      </c>
      <c r="I14" s="519"/>
      <c r="J14" s="519"/>
      <c r="K14" s="519"/>
      <c r="L14" s="519"/>
      <c r="M14" s="519"/>
      <c r="N14" s="1210"/>
    </row>
    <row r="15" spans="1:14" s="706" customFormat="1" ht="12" customHeight="1" x14ac:dyDescent="0.2">
      <c r="A15" s="497" t="s">
        <v>481</v>
      </c>
      <c r="B15" s="547">
        <v>1.9230769230769231</v>
      </c>
      <c r="C15" s="964" t="s">
        <v>1130</v>
      </c>
      <c r="D15" s="498"/>
      <c r="E15" s="547"/>
      <c r="F15" s="1099"/>
      <c r="G15" s="746">
        <v>1.9230769230769231</v>
      </c>
      <c r="H15" s="1216" t="s">
        <v>1130</v>
      </c>
      <c r="I15" s="519"/>
      <c r="J15" s="519"/>
      <c r="K15" s="519"/>
      <c r="L15" s="519"/>
      <c r="M15" s="519"/>
      <c r="N15" s="1210"/>
    </row>
    <row r="16" spans="1:14" s="706" customFormat="1" ht="12" customHeight="1" x14ac:dyDescent="0.2">
      <c r="A16" s="497" t="s">
        <v>482</v>
      </c>
      <c r="B16" s="547">
        <v>7.6923076923076941E-2</v>
      </c>
      <c r="C16" s="964" t="s">
        <v>1130</v>
      </c>
      <c r="D16" s="498"/>
      <c r="E16" s="547"/>
      <c r="F16" s="1099"/>
      <c r="G16" s="746">
        <v>7.6923076923076941E-2</v>
      </c>
      <c r="H16" s="1216" t="s">
        <v>1130</v>
      </c>
      <c r="I16" s="519"/>
      <c r="J16" s="519"/>
      <c r="K16" s="519"/>
      <c r="L16" s="519"/>
      <c r="M16" s="519"/>
      <c r="N16" s="1210"/>
    </row>
    <row r="17" spans="1:14" s="706" customFormat="1" ht="12" customHeight="1" x14ac:dyDescent="0.2">
      <c r="A17" s="497" t="s">
        <v>483</v>
      </c>
      <c r="B17" s="547">
        <v>4.0000000000000001E-3</v>
      </c>
      <c r="C17" s="964" t="s">
        <v>1136</v>
      </c>
      <c r="D17" s="498">
        <v>4.0000000000000001E-3</v>
      </c>
      <c r="E17" s="547"/>
      <c r="F17" s="1099" t="s">
        <v>671</v>
      </c>
      <c r="G17" s="746">
        <v>1.1538461538461539E-2</v>
      </c>
      <c r="H17" s="1216" t="s">
        <v>1130</v>
      </c>
      <c r="I17" s="519"/>
      <c r="J17" s="519"/>
      <c r="K17" s="519"/>
      <c r="L17" s="519"/>
      <c r="M17" s="519"/>
      <c r="N17" s="1210"/>
    </row>
    <row r="18" spans="1:14" s="706" customFormat="1" ht="12" customHeight="1" x14ac:dyDescent="0.2">
      <c r="A18" s="497" t="s">
        <v>484</v>
      </c>
      <c r="B18" s="547">
        <v>0.01</v>
      </c>
      <c r="C18" s="964" t="s">
        <v>1136</v>
      </c>
      <c r="D18" s="498">
        <v>0.01</v>
      </c>
      <c r="E18" s="547"/>
      <c r="F18" s="1099" t="s">
        <v>670</v>
      </c>
      <c r="G18" s="746">
        <v>1.1538461538461539E-2</v>
      </c>
      <c r="H18" s="1216" t="s">
        <v>1130</v>
      </c>
      <c r="I18" s="519"/>
      <c r="J18" s="519"/>
      <c r="K18" s="519"/>
      <c r="L18" s="519"/>
      <c r="M18" s="519"/>
      <c r="N18" s="1210"/>
    </row>
    <row r="19" spans="1:14" s="706" customFormat="1" ht="12" customHeight="1" x14ac:dyDescent="0.2">
      <c r="A19" s="497" t="s">
        <v>485</v>
      </c>
      <c r="B19" s="547">
        <v>7.6923076923076927E-3</v>
      </c>
      <c r="C19" s="964" t="s">
        <v>1130</v>
      </c>
      <c r="D19" s="498"/>
      <c r="E19" s="547"/>
      <c r="F19" s="1099"/>
      <c r="G19" s="746">
        <v>7.6923076923076927E-3</v>
      </c>
      <c r="H19" s="1216" t="s">
        <v>1130</v>
      </c>
      <c r="I19" s="519"/>
      <c r="J19" s="519"/>
      <c r="K19" s="519"/>
      <c r="L19" s="519"/>
      <c r="M19" s="519"/>
      <c r="N19" s="1210"/>
    </row>
    <row r="20" spans="1:14" s="706" customFormat="1" ht="12" customHeight="1" x14ac:dyDescent="0.2">
      <c r="A20" s="497" t="s">
        <v>486</v>
      </c>
      <c r="B20" s="547">
        <v>1.9230769230769235E-2</v>
      </c>
      <c r="C20" s="964" t="s">
        <v>1130</v>
      </c>
      <c r="D20" s="498"/>
      <c r="E20" s="547"/>
      <c r="F20" s="1099"/>
      <c r="G20" s="746">
        <v>1.9230769230769235E-2</v>
      </c>
      <c r="H20" s="1216" t="s">
        <v>1130</v>
      </c>
      <c r="I20" s="519"/>
      <c r="J20" s="519"/>
      <c r="K20" s="519"/>
      <c r="L20" s="519"/>
      <c r="M20" s="519"/>
      <c r="N20" s="1210"/>
    </row>
    <row r="21" spans="1:14" s="706" customFormat="1" ht="12" customHeight="1" x14ac:dyDescent="0.2">
      <c r="A21" s="497" t="s">
        <v>487</v>
      </c>
      <c r="B21" s="547">
        <v>2.5769230769230766E-2</v>
      </c>
      <c r="C21" s="964" t="s">
        <v>1130</v>
      </c>
      <c r="D21" s="498"/>
      <c r="E21" s="547"/>
      <c r="F21" s="1099"/>
      <c r="G21" s="746">
        <v>2.5769230769230766E-2</v>
      </c>
      <c r="H21" s="1216" t="s">
        <v>1130</v>
      </c>
      <c r="I21" s="519"/>
      <c r="J21" s="519"/>
      <c r="K21" s="519"/>
      <c r="L21" s="519"/>
      <c r="M21" s="519"/>
      <c r="N21" s="1210"/>
    </row>
    <row r="22" spans="1:14" s="706" customFormat="1" ht="12" customHeight="1" x14ac:dyDescent="0.2">
      <c r="A22" s="497" t="s">
        <v>488</v>
      </c>
      <c r="B22" s="547">
        <v>2.5769230769230766E-2</v>
      </c>
      <c r="C22" s="964" t="s">
        <v>1130</v>
      </c>
      <c r="D22" s="498"/>
      <c r="E22" s="547"/>
      <c r="F22" s="1099"/>
      <c r="G22" s="746">
        <v>2.5769230769230766E-2</v>
      </c>
      <c r="H22" s="1216" t="s">
        <v>1130</v>
      </c>
      <c r="I22" s="519"/>
      <c r="J22" s="519"/>
      <c r="K22" s="519"/>
      <c r="L22" s="519"/>
      <c r="M22" s="519"/>
      <c r="N22" s="1210"/>
    </row>
    <row r="23" spans="1:14" s="706" customFormat="1" ht="12" customHeight="1" x14ac:dyDescent="0.2">
      <c r="A23" s="497" t="s">
        <v>489</v>
      </c>
      <c r="B23" s="547">
        <v>0.25769230769230772</v>
      </c>
      <c r="C23" s="964" t="s">
        <v>1130</v>
      </c>
      <c r="D23" s="498"/>
      <c r="E23" s="547"/>
      <c r="F23" s="1099"/>
      <c r="G23" s="746">
        <v>0.25769230769230772</v>
      </c>
      <c r="H23" s="1216" t="s">
        <v>1130</v>
      </c>
      <c r="I23" s="519"/>
      <c r="J23" s="519"/>
      <c r="K23" s="519"/>
      <c r="L23" s="519"/>
      <c r="M23" s="519"/>
      <c r="N23" s="1210"/>
    </row>
    <row r="24" spans="1:14" s="706" customFormat="1" ht="12" customHeight="1" x14ac:dyDescent="0.2">
      <c r="A24" s="497" t="s">
        <v>490</v>
      </c>
      <c r="B24" s="547">
        <v>4.6153846153846156E-2</v>
      </c>
      <c r="C24" s="964" t="s">
        <v>1130</v>
      </c>
      <c r="D24" s="498"/>
      <c r="E24" s="547"/>
      <c r="F24" s="1099"/>
      <c r="G24" s="746">
        <v>4.6153846153846156E-2</v>
      </c>
      <c r="H24" s="1216" t="s">
        <v>1130</v>
      </c>
      <c r="I24" s="519"/>
      <c r="J24" s="519"/>
      <c r="K24" s="519"/>
      <c r="L24" s="519"/>
      <c r="M24" s="519"/>
      <c r="N24" s="1210"/>
    </row>
    <row r="25" spans="1:14" s="706" customFormat="1" ht="12" customHeight="1" x14ac:dyDescent="0.2">
      <c r="A25" s="497" t="s">
        <v>491</v>
      </c>
      <c r="B25" s="547">
        <v>0.01</v>
      </c>
      <c r="C25" s="964" t="s">
        <v>1136</v>
      </c>
      <c r="D25" s="498">
        <v>0.01</v>
      </c>
      <c r="E25" s="547"/>
      <c r="F25" s="1099" t="s">
        <v>670</v>
      </c>
      <c r="G25" s="746">
        <v>1.1538461538461539E-2</v>
      </c>
      <c r="H25" s="1216" t="s">
        <v>1130</v>
      </c>
      <c r="I25" s="519"/>
      <c r="J25" s="519"/>
      <c r="K25" s="519"/>
      <c r="L25" s="519"/>
      <c r="M25" s="519"/>
      <c r="N25" s="1210"/>
    </row>
    <row r="26" spans="1:14" s="706" customFormat="1" ht="12" customHeight="1" x14ac:dyDescent="0.2">
      <c r="A26" s="497" t="s">
        <v>492</v>
      </c>
      <c r="B26" s="547">
        <v>1.5</v>
      </c>
      <c r="C26" s="964" t="s">
        <v>1130</v>
      </c>
      <c r="D26" s="498"/>
      <c r="E26" s="547"/>
      <c r="F26" s="1099"/>
      <c r="G26" s="746">
        <v>1.5</v>
      </c>
      <c r="H26" s="1216" t="s">
        <v>1130</v>
      </c>
      <c r="I26" s="519"/>
      <c r="J26" s="519"/>
      <c r="K26" s="519"/>
      <c r="L26" s="519"/>
      <c r="M26" s="519"/>
      <c r="N26" s="1210"/>
    </row>
    <row r="27" spans="1:14" s="706" customFormat="1" ht="12" customHeight="1" x14ac:dyDescent="0.2">
      <c r="A27" s="497" t="s">
        <v>493</v>
      </c>
      <c r="B27" s="547">
        <v>1.153846153846154</v>
      </c>
      <c r="C27" s="964" t="s">
        <v>1130</v>
      </c>
      <c r="D27" s="498"/>
      <c r="E27" s="547"/>
      <c r="F27" s="1099"/>
      <c r="G27" s="746">
        <v>1.153846153846154</v>
      </c>
      <c r="H27" s="1216" t="s">
        <v>1130</v>
      </c>
      <c r="I27" s="519"/>
      <c r="J27" s="519"/>
      <c r="K27" s="519"/>
      <c r="L27" s="519"/>
      <c r="M27" s="519"/>
      <c r="N27" s="1210"/>
    </row>
    <row r="28" spans="1:14" s="706" customFormat="1" ht="12" customHeight="1" x14ac:dyDescent="0.2">
      <c r="A28" s="497" t="s">
        <v>494</v>
      </c>
      <c r="B28" s="547">
        <v>5</v>
      </c>
      <c r="C28" s="964" t="s">
        <v>1130</v>
      </c>
      <c r="D28" s="498"/>
      <c r="E28" s="547"/>
      <c r="F28" s="1099"/>
      <c r="G28" s="746">
        <v>5</v>
      </c>
      <c r="H28" s="1216" t="s">
        <v>1130</v>
      </c>
      <c r="I28" s="519"/>
      <c r="J28" s="519"/>
      <c r="K28" s="519"/>
      <c r="L28" s="519"/>
      <c r="M28" s="519"/>
      <c r="N28" s="1210"/>
    </row>
    <row r="29" spans="1:14" s="706" customFormat="1" ht="12" customHeight="1" x14ac:dyDescent="0.2">
      <c r="A29" s="497" t="s">
        <v>495</v>
      </c>
      <c r="B29" s="547">
        <v>4.2307692307692308</v>
      </c>
      <c r="C29" s="964" t="s">
        <v>1130</v>
      </c>
      <c r="D29" s="498"/>
      <c r="E29" s="547"/>
      <c r="F29" s="1099"/>
      <c r="G29" s="746">
        <v>4.2307692307692308</v>
      </c>
      <c r="H29" s="1216" t="s">
        <v>1130</v>
      </c>
      <c r="I29" s="519"/>
      <c r="J29" s="519"/>
      <c r="K29" s="519"/>
      <c r="L29" s="519"/>
      <c r="M29" s="519"/>
      <c r="N29" s="1210"/>
    </row>
    <row r="30" spans="1:14" s="706" customFormat="1" ht="12" customHeight="1" thickBot="1" x14ac:dyDescent="0.25">
      <c r="A30" s="507" t="s">
        <v>496</v>
      </c>
      <c r="B30" s="553">
        <v>1.9230769230769231</v>
      </c>
      <c r="C30" s="965" t="s">
        <v>1130</v>
      </c>
      <c r="D30" s="508"/>
      <c r="E30" s="553"/>
      <c r="F30" s="1217"/>
      <c r="G30" s="750">
        <v>1.9230769230769231</v>
      </c>
      <c r="H30" s="1218" t="s">
        <v>1130</v>
      </c>
      <c r="I30" s="519"/>
      <c r="J30" s="519"/>
      <c r="K30" s="519"/>
      <c r="L30" s="519"/>
      <c r="M30" s="519"/>
      <c r="N30" s="1210"/>
    </row>
    <row r="31" spans="1:14" ht="11.25" customHeight="1" thickTop="1" x14ac:dyDescent="0.2">
      <c r="A31" s="514" t="s">
        <v>672</v>
      </c>
      <c r="H31" s="1169"/>
    </row>
    <row r="32" spans="1:14" ht="22.5" customHeight="1" x14ac:dyDescent="0.2">
      <c r="A32" s="1526" t="s">
        <v>673</v>
      </c>
      <c r="B32" s="1523"/>
      <c r="C32" s="1523"/>
      <c r="D32" s="1523"/>
      <c r="E32" s="1523"/>
      <c r="F32" s="1523"/>
      <c r="G32" s="1523"/>
      <c r="H32" s="1524"/>
    </row>
    <row r="33" spans="1:8" ht="11.25" customHeight="1" x14ac:dyDescent="0.2">
      <c r="A33" s="521"/>
      <c r="H33" s="1169"/>
    </row>
    <row r="34" spans="1:8" ht="11.25" customHeight="1" x14ac:dyDescent="0.2">
      <c r="A34" s="514" t="s">
        <v>238</v>
      </c>
      <c r="H34" s="1169"/>
    </row>
    <row r="35" spans="1:8" ht="11.25" customHeight="1" x14ac:dyDescent="0.2">
      <c r="A35" s="521" t="s">
        <v>674</v>
      </c>
      <c r="H35" s="1169"/>
    </row>
    <row r="36" spans="1:8" ht="11.25" customHeight="1" thickBot="1" x14ac:dyDescent="0.25">
      <c r="A36" s="521" t="s">
        <v>616</v>
      </c>
      <c r="H36" s="1169"/>
    </row>
    <row r="37" spans="1:8" ht="11.25" customHeight="1" thickTop="1" x14ac:dyDescent="0.2">
      <c r="A37" s="1141"/>
      <c r="B37" s="559"/>
      <c r="C37" s="821"/>
      <c r="D37" s="559"/>
      <c r="E37" s="559"/>
      <c r="F37" s="1140"/>
      <c r="G37" s="559"/>
      <c r="H37" s="821"/>
    </row>
  </sheetData>
  <sheetProtection algorithmName="SHA-512" hashValue="dqqN7OAlnovSSZh5W5RDjox9gSVOJy5L+u6FvjuYzykJYh41FFSONSti5Z72rlT/DqWhwfkmPcfxCBv1mxeVVA==" saltValue="yGzynErFEVNddOmvvCOgwg==" spinCount="100000" sheet="1" objects="1" scenarios="1"/>
  <mergeCells count="2">
    <mergeCell ref="A1:H1"/>
    <mergeCell ref="A32:H32"/>
  </mergeCells>
  <phoneticPr fontId="0" type="noConversion"/>
  <printOptions horizontalCentered="1"/>
  <pageMargins left="0.15748031496063" right="0.15748031496063" top="0.511811023622047" bottom="0.98425196850393704" header="0.511811023622047" footer="0.511811023622047"/>
  <pageSetup scale="92" fitToHeight="4" orientation="landscape" r:id="rId1"/>
  <headerFooter alignWithMargins="0">
    <oddFooter>&amp;LHawai'i DOH
PFASs November 2024&amp;C&amp;8Page &amp;P of &amp;N&amp;R&amp;A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indexed="29"/>
    <pageSetUpPr fitToPage="1"/>
  </sheetPr>
  <dimension ref="A1:F37"/>
  <sheetViews>
    <sheetView zoomScaleNormal="100" workbookViewId="0">
      <selection activeCell="A5" sqref="A5"/>
    </sheetView>
  </sheetViews>
  <sheetFormatPr defaultColWidth="9.140625" defaultRowHeight="11.25" x14ac:dyDescent="0.2"/>
  <cols>
    <col min="1" max="1" width="50.5703125" style="470" customWidth="1"/>
    <col min="2" max="2" width="13.140625" style="515" customWidth="1"/>
    <col min="3" max="3" width="20.7109375" style="710" customWidth="1"/>
    <col min="4" max="4" width="14.7109375" style="710" customWidth="1"/>
    <col min="5" max="6" width="14.7109375" style="505" customWidth="1"/>
    <col min="7" max="16384" width="9.140625" style="517"/>
  </cols>
  <sheetData>
    <row r="1" spans="1:6" s="1055" customFormat="1" ht="15.75" x14ac:dyDescent="0.25">
      <c r="A1" s="471" t="s">
        <v>675</v>
      </c>
      <c r="B1" s="972"/>
      <c r="C1" s="471"/>
      <c r="D1" s="471"/>
      <c r="E1" s="972"/>
      <c r="F1" s="972"/>
    </row>
    <row r="2" spans="1:6" s="1055" customFormat="1" ht="15" x14ac:dyDescent="0.25">
      <c r="A2" s="1062" t="s">
        <v>639</v>
      </c>
      <c r="B2" s="1060"/>
      <c r="C2" s="1062"/>
      <c r="D2" s="1062"/>
      <c r="E2" s="1060"/>
      <c r="F2" s="1060"/>
    </row>
    <row r="3" spans="1:6" s="706" customFormat="1" ht="12" thickBot="1" x14ac:dyDescent="0.25">
      <c r="A3" s="473"/>
      <c r="B3" s="568"/>
      <c r="C3" s="634"/>
      <c r="D3" s="634"/>
      <c r="E3" s="468"/>
      <c r="F3" s="468"/>
    </row>
    <row r="4" spans="1:6" s="1191" customFormat="1" ht="37.5" thickTop="1" thickBot="1" x14ac:dyDescent="0.25">
      <c r="A4" s="1186" t="s">
        <v>469</v>
      </c>
      <c r="B4" s="1187" t="s">
        <v>676</v>
      </c>
      <c r="C4" s="1188" t="s">
        <v>405</v>
      </c>
      <c r="D4" s="1189" t="s">
        <v>677</v>
      </c>
      <c r="E4" s="1189" t="s">
        <v>678</v>
      </c>
      <c r="F4" s="1190" t="s">
        <v>679</v>
      </c>
    </row>
    <row r="5" spans="1:6" s="1191" customFormat="1" ht="12" customHeight="1" x14ac:dyDescent="0.2">
      <c r="A5" s="1192" t="s">
        <v>472</v>
      </c>
      <c r="B5" s="605">
        <v>1.6949152542372883</v>
      </c>
      <c r="C5" s="1193" t="s">
        <v>1130</v>
      </c>
      <c r="D5" s="606" t="s">
        <v>240</v>
      </c>
      <c r="E5" s="606" t="s">
        <v>240</v>
      </c>
      <c r="F5" s="607">
        <v>1.6949152542372883</v>
      </c>
    </row>
    <row r="6" spans="1:6" s="1191" customFormat="1" ht="12" customHeight="1" x14ac:dyDescent="0.2">
      <c r="A6" s="1194" t="s">
        <v>473</v>
      </c>
      <c r="B6" s="613">
        <v>0.58076923076923059</v>
      </c>
      <c r="C6" s="1195" t="s">
        <v>1130</v>
      </c>
      <c r="D6" s="614" t="s">
        <v>240</v>
      </c>
      <c r="E6" s="614" t="s">
        <v>240</v>
      </c>
      <c r="F6" s="615">
        <v>0.58076923076923059</v>
      </c>
    </row>
    <row r="7" spans="1:6" s="1191" customFormat="1" ht="12" customHeight="1" x14ac:dyDescent="0.2">
      <c r="A7" s="1194" t="s">
        <v>474</v>
      </c>
      <c r="B7" s="613">
        <v>7.6923076923076927E-3</v>
      </c>
      <c r="C7" s="1195" t="s">
        <v>1130</v>
      </c>
      <c r="D7" s="614" t="s">
        <v>240</v>
      </c>
      <c r="E7" s="614" t="s">
        <v>240</v>
      </c>
      <c r="F7" s="615">
        <v>7.6923076923076927E-3</v>
      </c>
    </row>
    <row r="8" spans="1:6" s="1191" customFormat="1" ht="12" customHeight="1" x14ac:dyDescent="0.2">
      <c r="A8" s="1194" t="s">
        <v>475</v>
      </c>
      <c r="B8" s="613">
        <v>3.8461538461538471E-2</v>
      </c>
      <c r="C8" s="1195" t="s">
        <v>1130</v>
      </c>
      <c r="D8" s="614" t="s">
        <v>240</v>
      </c>
      <c r="E8" s="614" t="s">
        <v>240</v>
      </c>
      <c r="F8" s="615">
        <v>3.8461538461538471E-2</v>
      </c>
    </row>
    <row r="9" spans="1:6" s="1191" customFormat="1" ht="12" customHeight="1" x14ac:dyDescent="0.2">
      <c r="A9" s="1194" t="s">
        <v>476</v>
      </c>
      <c r="B9" s="613">
        <v>7.6923076923076927E-3</v>
      </c>
      <c r="C9" s="1195" t="s">
        <v>1130</v>
      </c>
      <c r="D9" s="614" t="s">
        <v>240</v>
      </c>
      <c r="E9" s="614" t="s">
        <v>240</v>
      </c>
      <c r="F9" s="615">
        <v>7.6923076923076927E-3</v>
      </c>
    </row>
    <row r="10" spans="1:6" s="1191" customFormat="1" ht="12" customHeight="1" x14ac:dyDescent="0.2">
      <c r="A10" s="1194" t="s">
        <v>477</v>
      </c>
      <c r="B10" s="613">
        <v>3.8461538461538471E-2</v>
      </c>
      <c r="C10" s="1195" t="s">
        <v>1130</v>
      </c>
      <c r="D10" s="614" t="s">
        <v>240</v>
      </c>
      <c r="E10" s="614" t="s">
        <v>240</v>
      </c>
      <c r="F10" s="615">
        <v>3.8461538461538471E-2</v>
      </c>
    </row>
    <row r="11" spans="1:6" s="1191" customFormat="1" ht="12" customHeight="1" x14ac:dyDescent="0.2">
      <c r="A11" s="1194" t="s">
        <v>200</v>
      </c>
      <c r="B11" s="613">
        <v>18.475073313782989</v>
      </c>
      <c r="C11" s="1195" t="s">
        <v>1130</v>
      </c>
      <c r="D11" s="614" t="s">
        <v>240</v>
      </c>
      <c r="E11" s="614" t="s">
        <v>240</v>
      </c>
      <c r="F11" s="615">
        <v>18.475073313782989</v>
      </c>
    </row>
    <row r="12" spans="1:6" s="1191" customFormat="1" ht="12" customHeight="1" x14ac:dyDescent="0.2">
      <c r="A12" s="1194" t="s">
        <v>478</v>
      </c>
      <c r="B12" s="613">
        <v>0.51319648093841652</v>
      </c>
      <c r="C12" s="1195" t="s">
        <v>1130</v>
      </c>
      <c r="D12" s="614" t="s">
        <v>240</v>
      </c>
      <c r="E12" s="614" t="s">
        <v>240</v>
      </c>
      <c r="F12" s="615">
        <v>0.51319648093841652</v>
      </c>
    </row>
    <row r="13" spans="1:6" s="1191" customFormat="1" ht="12" customHeight="1" x14ac:dyDescent="0.2">
      <c r="A13" s="1194" t="s">
        <v>479</v>
      </c>
      <c r="B13" s="613">
        <v>14.615384615384617</v>
      </c>
      <c r="C13" s="1195" t="s">
        <v>1130</v>
      </c>
      <c r="D13" s="614" t="s">
        <v>240</v>
      </c>
      <c r="E13" s="614" t="s">
        <v>240</v>
      </c>
      <c r="F13" s="615">
        <v>14.615384615384617</v>
      </c>
    </row>
    <row r="14" spans="1:6" s="1191" customFormat="1" ht="12" customHeight="1" x14ac:dyDescent="0.2">
      <c r="A14" s="1194" t="s">
        <v>480</v>
      </c>
      <c r="B14" s="613">
        <v>1.5384615384615383</v>
      </c>
      <c r="C14" s="1195" t="s">
        <v>1130</v>
      </c>
      <c r="D14" s="614" t="s">
        <v>240</v>
      </c>
      <c r="E14" s="614" t="s">
        <v>240</v>
      </c>
      <c r="F14" s="615">
        <v>1.5384615384615383</v>
      </c>
    </row>
    <row r="15" spans="1:6" s="1191" customFormat="1" ht="12" customHeight="1" x14ac:dyDescent="0.2">
      <c r="A15" s="1194" t="s">
        <v>481</v>
      </c>
      <c r="B15" s="613">
        <v>1.9230769230769231</v>
      </c>
      <c r="C15" s="1195" t="s">
        <v>1130</v>
      </c>
      <c r="D15" s="614" t="s">
        <v>240</v>
      </c>
      <c r="E15" s="614" t="s">
        <v>240</v>
      </c>
      <c r="F15" s="615">
        <v>1.9230769230769231</v>
      </c>
    </row>
    <row r="16" spans="1:6" s="1191" customFormat="1" ht="12" customHeight="1" x14ac:dyDescent="0.2">
      <c r="A16" s="1194" t="s">
        <v>482</v>
      </c>
      <c r="B16" s="613">
        <v>7.6923076923076941E-2</v>
      </c>
      <c r="C16" s="1195" t="s">
        <v>1130</v>
      </c>
      <c r="D16" s="614" t="s">
        <v>240</v>
      </c>
      <c r="E16" s="614" t="s">
        <v>240</v>
      </c>
      <c r="F16" s="615">
        <v>7.6923076923076941E-2</v>
      </c>
    </row>
    <row r="17" spans="1:6" s="1191" customFormat="1" ht="12" customHeight="1" x14ac:dyDescent="0.2">
      <c r="A17" s="1194" t="s">
        <v>483</v>
      </c>
      <c r="B17" s="613">
        <v>1.1538461538461539E-2</v>
      </c>
      <c r="C17" s="1195" t="s">
        <v>1130</v>
      </c>
      <c r="D17" s="614" t="s">
        <v>240</v>
      </c>
      <c r="E17" s="614" t="s">
        <v>240</v>
      </c>
      <c r="F17" s="615">
        <v>1.1538461538461539E-2</v>
      </c>
    </row>
    <row r="18" spans="1:6" s="1191" customFormat="1" ht="12" customHeight="1" x14ac:dyDescent="0.2">
      <c r="A18" s="1194" t="s">
        <v>484</v>
      </c>
      <c r="B18" s="613">
        <v>1.1538461538461539E-2</v>
      </c>
      <c r="C18" s="1195" t="s">
        <v>1130</v>
      </c>
      <c r="D18" s="614" t="s">
        <v>240</v>
      </c>
      <c r="E18" s="614" t="s">
        <v>240</v>
      </c>
      <c r="F18" s="615">
        <v>1.1538461538461539E-2</v>
      </c>
    </row>
    <row r="19" spans="1:6" s="1191" customFormat="1" ht="12" customHeight="1" x14ac:dyDescent="0.2">
      <c r="A19" s="1194" t="s">
        <v>485</v>
      </c>
      <c r="B19" s="613">
        <v>7.6923076923076927E-3</v>
      </c>
      <c r="C19" s="1195" t="s">
        <v>1130</v>
      </c>
      <c r="D19" s="614" t="s">
        <v>240</v>
      </c>
      <c r="E19" s="614" t="s">
        <v>240</v>
      </c>
      <c r="F19" s="615">
        <v>7.6923076923076927E-3</v>
      </c>
    </row>
    <row r="20" spans="1:6" s="1191" customFormat="1" ht="12" customHeight="1" x14ac:dyDescent="0.2">
      <c r="A20" s="1194" t="s">
        <v>486</v>
      </c>
      <c r="B20" s="613">
        <v>1.9230769230769235E-2</v>
      </c>
      <c r="C20" s="1195" t="s">
        <v>1130</v>
      </c>
      <c r="D20" s="614" t="s">
        <v>240</v>
      </c>
      <c r="E20" s="614" t="s">
        <v>240</v>
      </c>
      <c r="F20" s="615">
        <v>1.9230769230769235E-2</v>
      </c>
    </row>
    <row r="21" spans="1:6" s="1191" customFormat="1" ht="12" customHeight="1" x14ac:dyDescent="0.2">
      <c r="A21" s="1194" t="s">
        <v>487</v>
      </c>
      <c r="B21" s="613">
        <v>2.5769230769230766E-2</v>
      </c>
      <c r="C21" s="1195" t="s">
        <v>1130</v>
      </c>
      <c r="D21" s="614" t="s">
        <v>240</v>
      </c>
      <c r="E21" s="614" t="s">
        <v>240</v>
      </c>
      <c r="F21" s="615">
        <v>2.5769230769230766E-2</v>
      </c>
    </row>
    <row r="22" spans="1:6" s="1191" customFormat="1" ht="12" customHeight="1" x14ac:dyDescent="0.2">
      <c r="A22" s="1194" t="s">
        <v>488</v>
      </c>
      <c r="B22" s="613">
        <v>2.5769230769230766E-2</v>
      </c>
      <c r="C22" s="1195" t="s">
        <v>1130</v>
      </c>
      <c r="D22" s="614" t="s">
        <v>240</v>
      </c>
      <c r="E22" s="614" t="s">
        <v>240</v>
      </c>
      <c r="F22" s="615">
        <v>2.5769230769230766E-2</v>
      </c>
    </row>
    <row r="23" spans="1:6" s="1191" customFormat="1" ht="12" customHeight="1" x14ac:dyDescent="0.2">
      <c r="A23" s="1194" t="s">
        <v>489</v>
      </c>
      <c r="B23" s="613">
        <v>0.25769230769230772</v>
      </c>
      <c r="C23" s="1195" t="s">
        <v>1130</v>
      </c>
      <c r="D23" s="614" t="s">
        <v>240</v>
      </c>
      <c r="E23" s="614" t="s">
        <v>240</v>
      </c>
      <c r="F23" s="615">
        <v>0.25769230769230772</v>
      </c>
    </row>
    <row r="24" spans="1:6" s="1191" customFormat="1" ht="12" customHeight="1" x14ac:dyDescent="0.2">
      <c r="A24" s="1194" t="s">
        <v>490</v>
      </c>
      <c r="B24" s="613">
        <v>4.6153846153846156E-2</v>
      </c>
      <c r="C24" s="1195" t="s">
        <v>1130</v>
      </c>
      <c r="D24" s="614" t="s">
        <v>240</v>
      </c>
      <c r="E24" s="614" t="s">
        <v>240</v>
      </c>
      <c r="F24" s="615">
        <v>4.6153846153846156E-2</v>
      </c>
    </row>
    <row r="25" spans="1:6" s="1191" customFormat="1" ht="12" customHeight="1" x14ac:dyDescent="0.2">
      <c r="A25" s="1196" t="s">
        <v>491</v>
      </c>
      <c r="B25" s="613">
        <v>1.1538461538461539E-2</v>
      </c>
      <c r="C25" s="1195" t="s">
        <v>1130</v>
      </c>
      <c r="D25" s="614" t="s">
        <v>240</v>
      </c>
      <c r="E25" s="614" t="s">
        <v>240</v>
      </c>
      <c r="F25" s="615">
        <v>1.1538461538461539E-2</v>
      </c>
    </row>
    <row r="26" spans="1:6" s="1191" customFormat="1" ht="12" customHeight="1" x14ac:dyDescent="0.2">
      <c r="A26" s="1196" t="s">
        <v>492</v>
      </c>
      <c r="B26" s="613">
        <v>1.5</v>
      </c>
      <c r="C26" s="1195" t="s">
        <v>1130</v>
      </c>
      <c r="D26" s="614" t="s">
        <v>240</v>
      </c>
      <c r="E26" s="614" t="s">
        <v>240</v>
      </c>
      <c r="F26" s="615">
        <v>1.5</v>
      </c>
    </row>
    <row r="27" spans="1:6" s="1191" customFormat="1" ht="12" customHeight="1" x14ac:dyDescent="0.2">
      <c r="A27" s="1196" t="s">
        <v>493</v>
      </c>
      <c r="B27" s="613">
        <v>1.153846153846154</v>
      </c>
      <c r="C27" s="1195" t="s">
        <v>1130</v>
      </c>
      <c r="D27" s="614" t="s">
        <v>240</v>
      </c>
      <c r="E27" s="614" t="s">
        <v>240</v>
      </c>
      <c r="F27" s="615">
        <v>1.153846153846154</v>
      </c>
    </row>
    <row r="28" spans="1:6" s="1191" customFormat="1" ht="12" customHeight="1" x14ac:dyDescent="0.2">
      <c r="A28" s="1196" t="s">
        <v>494</v>
      </c>
      <c r="B28" s="613">
        <v>5</v>
      </c>
      <c r="C28" s="1195" t="s">
        <v>1130</v>
      </c>
      <c r="D28" s="614" t="s">
        <v>240</v>
      </c>
      <c r="E28" s="614" t="s">
        <v>240</v>
      </c>
      <c r="F28" s="615">
        <v>5</v>
      </c>
    </row>
    <row r="29" spans="1:6" s="1191" customFormat="1" ht="12" customHeight="1" x14ac:dyDescent="0.2">
      <c r="A29" s="1196" t="s">
        <v>495</v>
      </c>
      <c r="B29" s="613">
        <v>4.2307692307692308</v>
      </c>
      <c r="C29" s="1195" t="s">
        <v>1130</v>
      </c>
      <c r="D29" s="614" t="s">
        <v>240</v>
      </c>
      <c r="E29" s="614" t="s">
        <v>240</v>
      </c>
      <c r="F29" s="615">
        <v>4.2307692307692308</v>
      </c>
    </row>
    <row r="30" spans="1:6" s="1191" customFormat="1" ht="12" customHeight="1" thickBot="1" x14ac:dyDescent="0.25">
      <c r="A30" s="1197" t="s">
        <v>496</v>
      </c>
      <c r="B30" s="621">
        <v>1.9230769230769231</v>
      </c>
      <c r="C30" s="1198" t="s">
        <v>1130</v>
      </c>
      <c r="D30" s="622" t="s">
        <v>240</v>
      </c>
      <c r="E30" s="622" t="s">
        <v>240</v>
      </c>
      <c r="F30" s="623">
        <v>1.9230769230769231</v>
      </c>
    </row>
    <row r="31" spans="1:6" s="1204" customFormat="1" ht="11.25" customHeight="1" thickTop="1" x14ac:dyDescent="0.2">
      <c r="A31" s="1199" t="s">
        <v>672</v>
      </c>
      <c r="B31" s="1200"/>
      <c r="C31" s="1201"/>
      <c r="D31" s="1201"/>
      <c r="E31" s="1202"/>
      <c r="F31" s="1203"/>
    </row>
    <row r="32" spans="1:6" s="1204" customFormat="1" ht="11.25" customHeight="1" x14ac:dyDescent="0.2">
      <c r="A32" s="1590" t="s">
        <v>680</v>
      </c>
      <c r="B32" s="1591"/>
      <c r="C32" s="1591"/>
      <c r="D32" s="1591"/>
      <c r="E32" s="1592"/>
      <c r="F32" s="1593"/>
    </row>
    <row r="33" spans="1:6" s="1204" customFormat="1" ht="11.25" customHeight="1" x14ac:dyDescent="0.2">
      <c r="A33" s="1594"/>
      <c r="B33" s="1595"/>
      <c r="C33" s="1595"/>
      <c r="D33" s="1595"/>
      <c r="E33" s="1595"/>
      <c r="F33" s="1596"/>
    </row>
    <row r="34" spans="1:6" s="1204" customFormat="1" ht="11.25" customHeight="1" x14ac:dyDescent="0.2">
      <c r="A34" s="1199" t="s">
        <v>238</v>
      </c>
      <c r="B34" s="1200"/>
      <c r="C34" s="1201"/>
      <c r="D34" s="1201"/>
      <c r="E34" s="1202"/>
      <c r="F34" s="1203"/>
    </row>
    <row r="35" spans="1:6" s="1204" customFormat="1" ht="38.1" customHeight="1" x14ac:dyDescent="0.2">
      <c r="A35" s="1532" t="s">
        <v>681</v>
      </c>
      <c r="B35" s="1523"/>
      <c r="C35" s="1523"/>
      <c r="D35" s="1523"/>
      <c r="E35" s="1523"/>
      <c r="F35" s="1524"/>
    </row>
    <row r="36" spans="1:6" s="1204" customFormat="1" ht="12.75" thickBot="1" x14ac:dyDescent="0.25">
      <c r="A36" s="1205" t="s">
        <v>682</v>
      </c>
      <c r="B36" s="1206"/>
      <c r="C36" s="1207"/>
      <c r="D36" s="1207"/>
      <c r="E36" s="1208"/>
      <c r="F36" s="1209"/>
    </row>
    <row r="37" spans="1:6" ht="12" thickTop="1" x14ac:dyDescent="0.2"/>
  </sheetData>
  <sheetProtection algorithmName="SHA-512" hashValue="dNI3hjEcAUBbiQeJXr9KJHPMnh5QulZFqaGGYhmxZEeGhwtcVLmxRzfI1bOluaXD8Aeq0bw6WQpuAjD2LbcH/g==" saltValue="L72Ti7JRPChHm5a23qIgzQ==" spinCount="100000" sheet="1" objects="1" scenarios="1"/>
  <mergeCells count="3">
    <mergeCell ref="A32:F32"/>
    <mergeCell ref="A33:F33"/>
    <mergeCell ref="A35:F35"/>
  </mergeCells>
  <phoneticPr fontId="0" type="noConversion"/>
  <printOptions horizontalCentered="1"/>
  <pageMargins left="0.69488189" right="0.39370078740157499" top="0.511811023622047" bottom="0.98425196850393704" header="0.511811023622047" footer="0.511811023622047"/>
  <pageSetup scale="75" fitToHeight="3" orientation="portrait" r:id="rId1"/>
  <headerFooter alignWithMargins="0">
    <oddFooter>&amp;LHawai'i DOH
PFASs November 2024&amp;C&amp;8Page &amp;P of &amp;N&amp;R&amp;A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indexed="29"/>
    <pageSetUpPr fitToPage="1"/>
  </sheetPr>
  <dimension ref="A1:H34"/>
  <sheetViews>
    <sheetView zoomScaleNormal="100" workbookViewId="0">
      <selection activeCell="F24" sqref="F24"/>
    </sheetView>
  </sheetViews>
  <sheetFormatPr defaultColWidth="8.7109375" defaultRowHeight="12.75" x14ac:dyDescent="0.2"/>
  <cols>
    <col min="1" max="1" width="50.5703125" style="470" customWidth="1"/>
    <col min="2" max="3" width="13.7109375" style="515" customWidth="1"/>
    <col min="4" max="7" width="13.7109375" style="505" customWidth="1"/>
    <col min="8" max="8" width="11.42578125" style="1180" customWidth="1"/>
    <col min="9" max="16384" width="8.7109375" style="470"/>
  </cols>
  <sheetData>
    <row r="1" spans="1:7" ht="15.75" x14ac:dyDescent="0.25">
      <c r="A1" s="471" t="s">
        <v>683</v>
      </c>
      <c r="B1" s="972"/>
      <c r="C1" s="972"/>
      <c r="D1" s="472"/>
      <c r="E1" s="472"/>
      <c r="F1" s="472"/>
      <c r="G1" s="472"/>
    </row>
    <row r="2" spans="1:7" ht="12" customHeight="1" thickBot="1" x14ac:dyDescent="0.25"/>
    <row r="3" spans="1:7" ht="15" customHeight="1" thickTop="1" thickBot="1" x14ac:dyDescent="0.25">
      <c r="A3" s="720"/>
      <c r="B3" s="569" t="s">
        <v>684</v>
      </c>
      <c r="C3" s="737"/>
      <c r="D3" s="1181" t="s">
        <v>685</v>
      </c>
      <c r="E3" s="1182"/>
      <c r="F3" s="1183" t="s">
        <v>686</v>
      </c>
      <c r="G3" s="1184"/>
    </row>
    <row r="4" spans="1:7" ht="46.5" thickTop="1" thickBot="1" x14ac:dyDescent="0.25">
      <c r="A4" s="1088" t="s">
        <v>469</v>
      </c>
      <c r="B4" s="1095" t="s">
        <v>687</v>
      </c>
      <c r="C4" s="1185" t="s">
        <v>688</v>
      </c>
      <c r="D4" s="1095" t="s">
        <v>687</v>
      </c>
      <c r="E4" s="1185" t="s">
        <v>688</v>
      </c>
      <c r="F4" s="1095" t="s">
        <v>687</v>
      </c>
      <c r="G4" s="826" t="s">
        <v>688</v>
      </c>
    </row>
    <row r="5" spans="1:7" ht="12" customHeight="1" x14ac:dyDescent="0.2">
      <c r="A5" s="490" t="s">
        <v>472</v>
      </c>
      <c r="B5" s="542">
        <v>127000</v>
      </c>
      <c r="C5" s="495">
        <v>127000</v>
      </c>
      <c r="D5" s="542">
        <v>502000</v>
      </c>
      <c r="E5" s="963">
        <v>886000</v>
      </c>
      <c r="F5" s="542">
        <v>127000</v>
      </c>
      <c r="G5" s="545">
        <v>127000</v>
      </c>
    </row>
    <row r="6" spans="1:7" ht="12" customHeight="1" x14ac:dyDescent="0.2">
      <c r="A6" s="497" t="s">
        <v>473</v>
      </c>
      <c r="B6" s="547">
        <v>0.58076923076923059</v>
      </c>
      <c r="C6" s="502">
        <v>0.58076923076923059</v>
      </c>
      <c r="D6" s="547">
        <v>0.58076923076923059</v>
      </c>
      <c r="E6" s="836">
        <v>0.58076923076923059</v>
      </c>
      <c r="F6" s="547">
        <v>0.58076923076923059</v>
      </c>
      <c r="G6" s="550">
        <v>0.58076923076923059</v>
      </c>
    </row>
    <row r="7" spans="1:7" ht="12" customHeight="1" x14ac:dyDescent="0.2">
      <c r="A7" s="497" t="s">
        <v>474</v>
      </c>
      <c r="B7" s="547">
        <v>10</v>
      </c>
      <c r="C7" s="502">
        <v>10</v>
      </c>
      <c r="D7" s="547">
        <v>10</v>
      </c>
      <c r="E7" s="836">
        <v>10</v>
      </c>
      <c r="F7" s="547">
        <v>10</v>
      </c>
      <c r="G7" s="550">
        <v>10</v>
      </c>
    </row>
    <row r="8" spans="1:7" ht="12" customHeight="1" x14ac:dyDescent="0.2">
      <c r="A8" s="497" t="s">
        <v>475</v>
      </c>
      <c r="B8" s="547">
        <v>3.8461538461538471E-2</v>
      </c>
      <c r="C8" s="502">
        <v>3.8461538461538471E-2</v>
      </c>
      <c r="D8" s="547">
        <v>3.8461538461538471E-2</v>
      </c>
      <c r="E8" s="836">
        <v>3.8461538461538471E-2</v>
      </c>
      <c r="F8" s="547">
        <v>3.8461538461538471E-2</v>
      </c>
      <c r="G8" s="550">
        <v>3.8461538461538471E-2</v>
      </c>
    </row>
    <row r="9" spans="1:7" ht="12" customHeight="1" x14ac:dyDescent="0.2">
      <c r="A9" s="497" t="s">
        <v>476</v>
      </c>
      <c r="B9" s="547">
        <v>1.1000000000000001</v>
      </c>
      <c r="C9" s="502">
        <v>31</v>
      </c>
      <c r="D9" s="547">
        <v>2.2999999999999998</v>
      </c>
      <c r="E9" s="836">
        <v>31</v>
      </c>
      <c r="F9" s="547">
        <v>1.1000000000000001</v>
      </c>
      <c r="G9" s="550">
        <v>130</v>
      </c>
    </row>
    <row r="10" spans="1:7" ht="12" customHeight="1" x14ac:dyDescent="0.2">
      <c r="A10" s="497" t="s">
        <v>477</v>
      </c>
      <c r="B10" s="547">
        <v>3.8461538461538471E-2</v>
      </c>
      <c r="C10" s="502">
        <v>3.8461538461538471E-2</v>
      </c>
      <c r="D10" s="547">
        <v>3.8461538461538471E-2</v>
      </c>
      <c r="E10" s="836">
        <v>3.8461538461538471E-2</v>
      </c>
      <c r="F10" s="547">
        <v>3.8461538461538471E-2</v>
      </c>
      <c r="G10" s="550">
        <v>3.8461538461538471E-2</v>
      </c>
    </row>
    <row r="11" spans="1:7" ht="12" customHeight="1" x14ac:dyDescent="0.2">
      <c r="A11" s="497" t="s">
        <v>200</v>
      </c>
      <c r="B11" s="547">
        <v>100</v>
      </c>
      <c r="C11" s="502">
        <v>100</v>
      </c>
      <c r="D11" s="547">
        <v>100</v>
      </c>
      <c r="E11" s="836">
        <v>100</v>
      </c>
      <c r="F11" s="547">
        <v>100</v>
      </c>
      <c r="G11" s="550">
        <v>100</v>
      </c>
    </row>
    <row r="12" spans="1:7" ht="12" customHeight="1" x14ac:dyDescent="0.2">
      <c r="A12" s="497" t="s">
        <v>478</v>
      </c>
      <c r="B12" s="547">
        <v>0.51319648093841652</v>
      </c>
      <c r="C12" s="502">
        <v>0.51319648093841652</v>
      </c>
      <c r="D12" s="547">
        <v>0.51319648093841652</v>
      </c>
      <c r="E12" s="836">
        <v>0.51319648093841652</v>
      </c>
      <c r="F12" s="547">
        <v>0.51319648093841652</v>
      </c>
      <c r="G12" s="550">
        <v>0.51319648093841652</v>
      </c>
    </row>
    <row r="13" spans="1:7" ht="12" customHeight="1" x14ac:dyDescent="0.2">
      <c r="A13" s="497" t="s">
        <v>479</v>
      </c>
      <c r="B13" s="547">
        <v>830</v>
      </c>
      <c r="C13" s="502">
        <v>4200</v>
      </c>
      <c r="D13" s="547">
        <v>830</v>
      </c>
      <c r="E13" s="836">
        <v>4200</v>
      </c>
      <c r="F13" s="547">
        <v>4200</v>
      </c>
      <c r="G13" s="550">
        <v>4200</v>
      </c>
    </row>
    <row r="14" spans="1:7" ht="12" customHeight="1" x14ac:dyDescent="0.2">
      <c r="A14" s="497" t="s">
        <v>480</v>
      </c>
      <c r="B14" s="547">
        <v>1.5384615384615383</v>
      </c>
      <c r="C14" s="502">
        <v>1.5384615384615383</v>
      </c>
      <c r="D14" s="547">
        <v>1.5384615384615383</v>
      </c>
      <c r="E14" s="836">
        <v>1.5384615384615383</v>
      </c>
      <c r="F14" s="547">
        <v>1.5384615384615383</v>
      </c>
      <c r="G14" s="550">
        <v>1.5384615384615383</v>
      </c>
    </row>
    <row r="15" spans="1:7" ht="12" customHeight="1" x14ac:dyDescent="0.2">
      <c r="A15" s="497" t="s">
        <v>481</v>
      </c>
      <c r="B15" s="547">
        <v>6300</v>
      </c>
      <c r="C15" s="502">
        <v>48000</v>
      </c>
      <c r="D15" s="547">
        <v>6300</v>
      </c>
      <c r="E15" s="836">
        <v>48000</v>
      </c>
      <c r="F15" s="547">
        <v>48000</v>
      </c>
      <c r="G15" s="550">
        <v>48000</v>
      </c>
    </row>
    <row r="16" spans="1:7" ht="12" customHeight="1" x14ac:dyDescent="0.2">
      <c r="A16" s="497" t="s">
        <v>482</v>
      </c>
      <c r="B16" s="547">
        <v>7.6923076923076941E-2</v>
      </c>
      <c r="C16" s="502">
        <v>7.6923076923076941E-2</v>
      </c>
      <c r="D16" s="547">
        <v>7.6923076923076941E-2</v>
      </c>
      <c r="E16" s="836">
        <v>7.6923076923076941E-2</v>
      </c>
      <c r="F16" s="547">
        <v>7.6923076923076941E-2</v>
      </c>
      <c r="G16" s="550">
        <v>7.6923076923076941E-2</v>
      </c>
    </row>
    <row r="17" spans="1:7" ht="12" customHeight="1" x14ac:dyDescent="0.2">
      <c r="A17" s="497" t="s">
        <v>483</v>
      </c>
      <c r="B17" s="547">
        <v>8.3000000000000007</v>
      </c>
      <c r="C17" s="502">
        <v>119</v>
      </c>
      <c r="D17" s="547">
        <v>8.3000000000000007</v>
      </c>
      <c r="E17" s="836">
        <v>1824</v>
      </c>
      <c r="F17" s="547">
        <v>119</v>
      </c>
      <c r="G17" s="550">
        <v>119</v>
      </c>
    </row>
    <row r="18" spans="1:7" ht="12" customHeight="1" x14ac:dyDescent="0.2">
      <c r="A18" s="497" t="s">
        <v>484</v>
      </c>
      <c r="B18" s="547">
        <v>8</v>
      </c>
      <c r="C18" s="502">
        <v>10</v>
      </c>
      <c r="D18" s="547">
        <v>8</v>
      </c>
      <c r="E18" s="836">
        <v>1100</v>
      </c>
      <c r="F18" s="547">
        <v>10</v>
      </c>
      <c r="G18" s="550">
        <v>10</v>
      </c>
    </row>
    <row r="19" spans="1:7" ht="12" customHeight="1" x14ac:dyDescent="0.2">
      <c r="A19" s="497" t="s">
        <v>485</v>
      </c>
      <c r="B19" s="547">
        <v>10</v>
      </c>
      <c r="C19" s="502">
        <v>10</v>
      </c>
      <c r="D19" s="547">
        <v>10</v>
      </c>
      <c r="E19" s="836">
        <v>10</v>
      </c>
      <c r="F19" s="547">
        <v>39</v>
      </c>
      <c r="G19" s="550">
        <v>39</v>
      </c>
    </row>
    <row r="20" spans="1:7" ht="12" customHeight="1" x14ac:dyDescent="0.2">
      <c r="A20" s="497" t="s">
        <v>486</v>
      </c>
      <c r="B20" s="547">
        <v>10</v>
      </c>
      <c r="C20" s="502">
        <v>440</v>
      </c>
      <c r="D20" s="547">
        <v>10</v>
      </c>
      <c r="E20" s="836">
        <v>440</v>
      </c>
      <c r="F20" s="547">
        <v>440</v>
      </c>
      <c r="G20" s="550">
        <v>440</v>
      </c>
    </row>
    <row r="21" spans="1:7" ht="12" customHeight="1" x14ac:dyDescent="0.2">
      <c r="A21" s="497" t="s">
        <v>487</v>
      </c>
      <c r="B21" s="547">
        <v>20</v>
      </c>
      <c r="C21" s="502">
        <v>640</v>
      </c>
      <c r="D21" s="547">
        <v>20</v>
      </c>
      <c r="E21" s="836">
        <v>640</v>
      </c>
      <c r="F21" s="547">
        <v>640</v>
      </c>
      <c r="G21" s="550">
        <v>640</v>
      </c>
    </row>
    <row r="22" spans="1:7" ht="12" customHeight="1" x14ac:dyDescent="0.2">
      <c r="A22" s="497" t="s">
        <v>488</v>
      </c>
      <c r="B22" s="547">
        <v>2.5769230769230766E-2</v>
      </c>
      <c r="C22" s="502">
        <v>2.5769230769230766E-2</v>
      </c>
      <c r="D22" s="547">
        <v>2.5769230769230766E-2</v>
      </c>
      <c r="E22" s="836">
        <v>2.5769230769230766E-2</v>
      </c>
      <c r="F22" s="547">
        <v>2.5769230769230766E-2</v>
      </c>
      <c r="G22" s="550">
        <v>2.5769230769230766E-2</v>
      </c>
    </row>
    <row r="23" spans="1:7" ht="12" customHeight="1" x14ac:dyDescent="0.2">
      <c r="A23" s="497" t="s">
        <v>489</v>
      </c>
      <c r="B23" s="547">
        <v>0.25769230769230772</v>
      </c>
      <c r="C23" s="502">
        <v>0.25769230769230772</v>
      </c>
      <c r="D23" s="547">
        <v>0.25769230769230772</v>
      </c>
      <c r="E23" s="836">
        <v>0.25769230769230772</v>
      </c>
      <c r="F23" s="547">
        <v>0.25769230769230772</v>
      </c>
      <c r="G23" s="550">
        <v>0.25769230769230772</v>
      </c>
    </row>
    <row r="24" spans="1:7" ht="12" customHeight="1" x14ac:dyDescent="0.2">
      <c r="A24" s="497" t="s">
        <v>490</v>
      </c>
      <c r="B24" s="547">
        <v>4.6153846153846156E-2</v>
      </c>
      <c r="C24" s="502">
        <v>4.6153846153846156E-2</v>
      </c>
      <c r="D24" s="547">
        <v>4.6153846153846156E-2</v>
      </c>
      <c r="E24" s="836">
        <v>4.6153846153846156E-2</v>
      </c>
      <c r="F24" s="547">
        <v>4.6153846153846156E-2</v>
      </c>
      <c r="G24" s="550">
        <v>4.6153846153846156E-2</v>
      </c>
    </row>
    <row r="25" spans="1:7" ht="12" customHeight="1" x14ac:dyDescent="0.2">
      <c r="A25" s="497" t="s">
        <v>491</v>
      </c>
      <c r="B25" s="547">
        <v>0.01</v>
      </c>
      <c r="C25" s="502">
        <v>0.01</v>
      </c>
      <c r="D25" s="547">
        <v>0.01</v>
      </c>
      <c r="E25" s="836">
        <v>0.01</v>
      </c>
      <c r="F25" s="547">
        <v>0.01</v>
      </c>
      <c r="G25" s="550">
        <v>0.01</v>
      </c>
    </row>
    <row r="26" spans="1:7" ht="12" customHeight="1" x14ac:dyDescent="0.2">
      <c r="A26" s="497" t="s">
        <v>492</v>
      </c>
      <c r="B26" s="547">
        <v>260</v>
      </c>
      <c r="C26" s="502">
        <v>10800</v>
      </c>
      <c r="D26" s="547">
        <v>2600</v>
      </c>
      <c r="E26" s="836">
        <v>108000</v>
      </c>
      <c r="F26" s="547">
        <v>260</v>
      </c>
      <c r="G26" s="550">
        <v>10800</v>
      </c>
    </row>
    <row r="27" spans="1:7" ht="12" customHeight="1" x14ac:dyDescent="0.2">
      <c r="A27" s="497" t="s">
        <v>493</v>
      </c>
      <c r="B27" s="547">
        <v>10000</v>
      </c>
      <c r="C27" s="502">
        <v>10000</v>
      </c>
      <c r="D27" s="547">
        <v>100000</v>
      </c>
      <c r="E27" s="836">
        <v>100000</v>
      </c>
      <c r="F27" s="547">
        <v>10000</v>
      </c>
      <c r="G27" s="550">
        <v>10000</v>
      </c>
    </row>
    <row r="28" spans="1:7" ht="12" customHeight="1" x14ac:dyDescent="0.2">
      <c r="A28" s="497" t="s">
        <v>494</v>
      </c>
      <c r="B28" s="547">
        <v>5</v>
      </c>
      <c r="C28" s="502">
        <v>5</v>
      </c>
      <c r="D28" s="547">
        <v>5</v>
      </c>
      <c r="E28" s="836">
        <v>5</v>
      </c>
      <c r="F28" s="547">
        <v>5</v>
      </c>
      <c r="G28" s="550">
        <v>5</v>
      </c>
    </row>
    <row r="29" spans="1:7" ht="12" customHeight="1" x14ac:dyDescent="0.2">
      <c r="A29" s="497" t="s">
        <v>495</v>
      </c>
      <c r="B29" s="547">
        <v>4.2307692307692308</v>
      </c>
      <c r="C29" s="502">
        <v>4.2307692307692308</v>
      </c>
      <c r="D29" s="547">
        <v>6.7</v>
      </c>
      <c r="E29" s="836">
        <v>60</v>
      </c>
      <c r="F29" s="547">
        <v>4.2307692307692308</v>
      </c>
      <c r="G29" s="550">
        <v>4.2307692307692308</v>
      </c>
    </row>
    <row r="30" spans="1:7" ht="12" customHeight="1" thickBot="1" x14ac:dyDescent="0.25">
      <c r="A30" s="507" t="s">
        <v>496</v>
      </c>
      <c r="B30" s="553">
        <v>1.9230769230769231</v>
      </c>
      <c r="C30" s="512">
        <v>1.9230769230769231</v>
      </c>
      <c r="D30" s="553">
        <v>1.9230769230769231</v>
      </c>
      <c r="E30" s="966">
        <v>1.9230769230769231</v>
      </c>
      <c r="F30" s="553">
        <v>1.9230769230769231</v>
      </c>
      <c r="G30" s="556">
        <v>1.9230769230769231</v>
      </c>
    </row>
    <row r="31" spans="1:7" ht="13.5" thickTop="1" x14ac:dyDescent="0.2">
      <c r="A31" s="514" t="s">
        <v>238</v>
      </c>
      <c r="D31" s="515"/>
      <c r="E31" s="515"/>
      <c r="F31" s="515"/>
      <c r="G31" s="522"/>
    </row>
    <row r="32" spans="1:7" x14ac:dyDescent="0.2">
      <c r="A32" s="625" t="s">
        <v>689</v>
      </c>
      <c r="B32" s="568"/>
      <c r="C32" s="568"/>
      <c r="G32" s="1146"/>
    </row>
    <row r="33" spans="1:7" ht="24.6" customHeight="1" thickBot="1" x14ac:dyDescent="0.25">
      <c r="A33" s="1533" t="s">
        <v>690</v>
      </c>
      <c r="B33" s="1520"/>
      <c r="C33" s="1520"/>
      <c r="D33" s="1520"/>
      <c r="E33" s="1520"/>
      <c r="F33" s="1520"/>
      <c r="G33" s="1521"/>
    </row>
    <row r="34" spans="1:7" ht="13.5" thickTop="1" x14ac:dyDescent="0.2"/>
  </sheetData>
  <sheetProtection algorithmName="SHA-512" hashValue="dVMnigUJLKB2o8hygRWWyH4p4XbFeuRj2GFomhIH4NDo/8dlsdFwP+7VUufWnu9JE1TaqGwgb36gcUEyRkATgQ==" saltValue="+qVCBl33MjN4yUDDtkHoRw==" spinCount="100000" sheet="1" objects="1" scenarios="1"/>
  <mergeCells count="1">
    <mergeCell ref="A33:G33"/>
  </mergeCells>
  <phoneticPr fontId="16" type="noConversion"/>
  <printOptions horizontalCentered="1"/>
  <pageMargins left="0.74803149606299202" right="0.74803149606299202" top="0.62992125984252001" bottom="0.98425196850393704" header="0.511811023622047" footer="0.511811023622047"/>
  <pageSetup scale="93" fitToHeight="4" orientation="landscape" horizontalDpi="4294967293" r:id="rId1"/>
  <headerFooter alignWithMargins="0">
    <oddFooter>&amp;LHawai'i DOH
PFASs November 2024&amp;CPage &amp;P of &amp;N&amp;R&amp;A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indexed="29"/>
    <pageSetUpPr fitToPage="1"/>
  </sheetPr>
  <dimension ref="A1:G35"/>
  <sheetViews>
    <sheetView zoomScaleNormal="100" workbookViewId="0">
      <selection activeCell="F24" sqref="F24"/>
    </sheetView>
  </sheetViews>
  <sheetFormatPr defaultColWidth="50.5703125" defaultRowHeight="11.25" x14ac:dyDescent="0.2"/>
  <cols>
    <col min="1" max="1" width="50.5703125" style="517" customWidth="1"/>
    <col min="2" max="2" width="12.5703125" style="515" customWidth="1"/>
    <col min="3" max="3" width="30.5703125" style="470" customWidth="1"/>
    <col min="4" max="4" width="12.5703125" style="515" customWidth="1"/>
    <col min="5" max="5" width="30.5703125" style="710" customWidth="1"/>
    <col min="6" max="6" width="12.5703125" style="515" customWidth="1"/>
    <col min="7" max="7" width="30.5703125" style="710" customWidth="1"/>
    <col min="8" max="16384" width="50.5703125" style="517"/>
  </cols>
  <sheetData>
    <row r="1" spans="1:7" s="706" customFormat="1" ht="15.75" x14ac:dyDescent="0.25">
      <c r="A1" s="566" t="s">
        <v>691</v>
      </c>
      <c r="B1" s="468"/>
      <c r="C1" s="473"/>
      <c r="D1" s="468"/>
      <c r="E1" s="473"/>
      <c r="F1" s="468"/>
      <c r="G1" s="473"/>
    </row>
    <row r="2" spans="1:7" s="706" customFormat="1" ht="12" thickBot="1" x14ac:dyDescent="0.25">
      <c r="A2" s="989"/>
      <c r="B2" s="468"/>
      <c r="C2" s="473"/>
      <c r="D2" s="568"/>
      <c r="E2" s="634"/>
      <c r="F2" s="568"/>
      <c r="G2" s="634"/>
    </row>
    <row r="3" spans="1:7" s="706" customFormat="1" ht="23.25" customHeight="1" thickTop="1" thickBot="1" x14ac:dyDescent="0.25">
      <c r="A3" s="697"/>
      <c r="B3" s="1158" t="s">
        <v>692</v>
      </c>
      <c r="C3" s="1159"/>
      <c r="D3" s="1160"/>
      <c r="E3" s="1159"/>
      <c r="F3" s="1161"/>
      <c r="G3" s="1162"/>
    </row>
    <row r="4" spans="1:7" s="706" customFormat="1" ht="68.25" customHeight="1" thickBot="1" x14ac:dyDescent="0.25">
      <c r="A4" s="1088" t="s">
        <v>469</v>
      </c>
      <c r="B4" s="1170" t="s">
        <v>693</v>
      </c>
      <c r="C4" s="1171" t="s">
        <v>405</v>
      </c>
      <c r="D4" s="1089" t="s">
        <v>694</v>
      </c>
      <c r="E4" s="1172" t="s">
        <v>405</v>
      </c>
      <c r="F4" s="1095" t="s">
        <v>695</v>
      </c>
      <c r="G4" s="1173" t="s">
        <v>405</v>
      </c>
    </row>
    <row r="5" spans="1:7" s="706" customFormat="1" ht="12" customHeight="1" x14ac:dyDescent="0.2">
      <c r="A5" s="490" t="s">
        <v>472</v>
      </c>
      <c r="B5" s="542">
        <v>127000</v>
      </c>
      <c r="C5" s="1174" t="s">
        <v>717</v>
      </c>
      <c r="D5" s="542">
        <v>502000</v>
      </c>
      <c r="E5" s="962" t="s">
        <v>715</v>
      </c>
      <c r="F5" s="542">
        <v>127000</v>
      </c>
      <c r="G5" s="1175" t="s">
        <v>717</v>
      </c>
    </row>
    <row r="6" spans="1:7" s="706" customFormat="1" ht="12" customHeight="1" x14ac:dyDescent="0.2">
      <c r="A6" s="497" t="s">
        <v>473</v>
      </c>
      <c r="B6" s="547">
        <v>0.58076923076923059</v>
      </c>
      <c r="C6" s="1176" t="s">
        <v>1133</v>
      </c>
      <c r="D6" s="547">
        <v>0.58076923076923059</v>
      </c>
      <c r="E6" s="964" t="s">
        <v>1134</v>
      </c>
      <c r="F6" s="547">
        <v>0.58076923076923059</v>
      </c>
      <c r="G6" s="1177" t="s">
        <v>1133</v>
      </c>
    </row>
    <row r="7" spans="1:7" s="706" customFormat="1" ht="12" customHeight="1" x14ac:dyDescent="0.2">
      <c r="A7" s="497" t="s">
        <v>474</v>
      </c>
      <c r="B7" s="547">
        <v>10</v>
      </c>
      <c r="C7" s="1176" t="s">
        <v>720</v>
      </c>
      <c r="D7" s="547">
        <v>10</v>
      </c>
      <c r="E7" s="964" t="s">
        <v>719</v>
      </c>
      <c r="F7" s="547">
        <v>10</v>
      </c>
      <c r="G7" s="1177" t="s">
        <v>720</v>
      </c>
    </row>
    <row r="8" spans="1:7" s="706" customFormat="1" ht="12" customHeight="1" x14ac:dyDescent="0.2">
      <c r="A8" s="497" t="s">
        <v>475</v>
      </c>
      <c r="B8" s="547">
        <v>3.8461538461538471E-2</v>
      </c>
      <c r="C8" s="1176" t="s">
        <v>1133</v>
      </c>
      <c r="D8" s="547">
        <v>3.8461538461538471E-2</v>
      </c>
      <c r="E8" s="964" t="s">
        <v>1134</v>
      </c>
      <c r="F8" s="547">
        <v>3.8461538461538471E-2</v>
      </c>
      <c r="G8" s="1177" t="s">
        <v>1133</v>
      </c>
    </row>
    <row r="9" spans="1:7" s="706" customFormat="1" ht="12" customHeight="1" x14ac:dyDescent="0.2">
      <c r="A9" s="497" t="s">
        <v>476</v>
      </c>
      <c r="B9" s="547">
        <v>1.1000000000000001</v>
      </c>
      <c r="C9" s="1176" t="s">
        <v>723</v>
      </c>
      <c r="D9" s="547">
        <v>2.2999999999999998</v>
      </c>
      <c r="E9" s="964" t="s">
        <v>721</v>
      </c>
      <c r="F9" s="547">
        <v>1.1000000000000001</v>
      </c>
      <c r="G9" s="1177" t="s">
        <v>723</v>
      </c>
    </row>
    <row r="10" spans="1:7" s="706" customFormat="1" ht="12" customHeight="1" x14ac:dyDescent="0.2">
      <c r="A10" s="497" t="s">
        <v>477</v>
      </c>
      <c r="B10" s="547">
        <v>3.8461538461538471E-2</v>
      </c>
      <c r="C10" s="1176" t="s">
        <v>1133</v>
      </c>
      <c r="D10" s="547">
        <v>3.8461538461538471E-2</v>
      </c>
      <c r="E10" s="964" t="s">
        <v>1134</v>
      </c>
      <c r="F10" s="547">
        <v>3.8461538461538471E-2</v>
      </c>
      <c r="G10" s="1177" t="s">
        <v>1133</v>
      </c>
    </row>
    <row r="11" spans="1:7" s="706" customFormat="1" ht="12" customHeight="1" x14ac:dyDescent="0.2">
      <c r="A11" s="497" t="s">
        <v>200</v>
      </c>
      <c r="B11" s="547">
        <v>100</v>
      </c>
      <c r="C11" s="1176" t="s">
        <v>724</v>
      </c>
      <c r="D11" s="547">
        <v>100</v>
      </c>
      <c r="E11" s="964" t="s">
        <v>720</v>
      </c>
      <c r="F11" s="547">
        <v>100</v>
      </c>
      <c r="G11" s="1177" t="s">
        <v>724</v>
      </c>
    </row>
    <row r="12" spans="1:7" s="706" customFormat="1" ht="12" customHeight="1" x14ac:dyDescent="0.2">
      <c r="A12" s="497" t="s">
        <v>478</v>
      </c>
      <c r="B12" s="547">
        <v>0.51319648093841652</v>
      </c>
      <c r="C12" s="1176" t="s">
        <v>1133</v>
      </c>
      <c r="D12" s="547">
        <v>0.51319648093841652</v>
      </c>
      <c r="E12" s="964" t="s">
        <v>1134</v>
      </c>
      <c r="F12" s="547">
        <v>0.51319648093841652</v>
      </c>
      <c r="G12" s="1177" t="s">
        <v>1133</v>
      </c>
    </row>
    <row r="13" spans="1:7" s="706" customFormat="1" ht="12" customHeight="1" x14ac:dyDescent="0.2">
      <c r="A13" s="497" t="s">
        <v>479</v>
      </c>
      <c r="B13" s="547">
        <v>830</v>
      </c>
      <c r="C13" s="1176" t="s">
        <v>721</v>
      </c>
      <c r="D13" s="547">
        <v>830</v>
      </c>
      <c r="E13" s="964" t="s">
        <v>721</v>
      </c>
      <c r="F13" s="547">
        <v>4200</v>
      </c>
      <c r="G13" s="1177" t="s">
        <v>720</v>
      </c>
    </row>
    <row r="14" spans="1:7" s="706" customFormat="1" ht="12" customHeight="1" x14ac:dyDescent="0.2">
      <c r="A14" s="497" t="s">
        <v>480</v>
      </c>
      <c r="B14" s="547">
        <v>1.5384615384615383</v>
      </c>
      <c r="C14" s="1176" t="s">
        <v>1133</v>
      </c>
      <c r="D14" s="547">
        <v>1.5384615384615383</v>
      </c>
      <c r="E14" s="964" t="s">
        <v>1134</v>
      </c>
      <c r="F14" s="547">
        <v>1.5384615384615383</v>
      </c>
      <c r="G14" s="1177" t="s">
        <v>1133</v>
      </c>
    </row>
    <row r="15" spans="1:7" s="706" customFormat="1" ht="12" customHeight="1" x14ac:dyDescent="0.2">
      <c r="A15" s="497" t="s">
        <v>481</v>
      </c>
      <c r="B15" s="547">
        <v>6300</v>
      </c>
      <c r="C15" s="1176" t="s">
        <v>726</v>
      </c>
      <c r="D15" s="547">
        <v>6300</v>
      </c>
      <c r="E15" s="964" t="s">
        <v>726</v>
      </c>
      <c r="F15" s="547">
        <v>48000</v>
      </c>
      <c r="G15" s="1177" t="s">
        <v>720</v>
      </c>
    </row>
    <row r="16" spans="1:7" s="706" customFormat="1" ht="12" customHeight="1" x14ac:dyDescent="0.2">
      <c r="A16" s="497" t="s">
        <v>482</v>
      </c>
      <c r="B16" s="547">
        <v>7.6923076923076941E-2</v>
      </c>
      <c r="C16" s="1176" t="s">
        <v>1133</v>
      </c>
      <c r="D16" s="547">
        <v>7.6923076923076941E-2</v>
      </c>
      <c r="E16" s="964" t="s">
        <v>1134</v>
      </c>
      <c r="F16" s="547">
        <v>7.6923076923076941E-2</v>
      </c>
      <c r="G16" s="1177" t="s">
        <v>1133</v>
      </c>
    </row>
    <row r="17" spans="1:7" s="706" customFormat="1" ht="12" customHeight="1" x14ac:dyDescent="0.2">
      <c r="A17" s="497" t="s">
        <v>483</v>
      </c>
      <c r="B17" s="547">
        <v>8.3000000000000007</v>
      </c>
      <c r="C17" s="1176" t="s">
        <v>728</v>
      </c>
      <c r="D17" s="547">
        <v>8.3000000000000007</v>
      </c>
      <c r="E17" s="964" t="s">
        <v>728</v>
      </c>
      <c r="F17" s="547">
        <v>119</v>
      </c>
      <c r="G17" s="1177" t="s">
        <v>721</v>
      </c>
    </row>
    <row r="18" spans="1:7" s="706" customFormat="1" ht="12" customHeight="1" x14ac:dyDescent="0.2">
      <c r="A18" s="497" t="s">
        <v>484</v>
      </c>
      <c r="B18" s="547">
        <v>8</v>
      </c>
      <c r="C18" s="1176" t="s">
        <v>715</v>
      </c>
      <c r="D18" s="547">
        <v>8</v>
      </c>
      <c r="E18" s="964" t="s">
        <v>715</v>
      </c>
      <c r="F18" s="547">
        <v>10</v>
      </c>
      <c r="G18" s="1177" t="s">
        <v>721</v>
      </c>
    </row>
    <row r="19" spans="1:7" s="706" customFormat="1" ht="12" customHeight="1" x14ac:dyDescent="0.2">
      <c r="A19" s="497" t="s">
        <v>485</v>
      </c>
      <c r="B19" s="547">
        <v>10</v>
      </c>
      <c r="C19" s="1176" t="s">
        <v>730</v>
      </c>
      <c r="D19" s="547">
        <v>10</v>
      </c>
      <c r="E19" s="964" t="s">
        <v>730</v>
      </c>
      <c r="F19" s="547">
        <v>39</v>
      </c>
      <c r="G19" s="1177" t="s">
        <v>732</v>
      </c>
    </row>
    <row r="20" spans="1:7" s="706" customFormat="1" ht="12" customHeight="1" x14ac:dyDescent="0.2">
      <c r="A20" s="497" t="s">
        <v>486</v>
      </c>
      <c r="B20" s="547">
        <v>10</v>
      </c>
      <c r="C20" s="1176" t="s">
        <v>721</v>
      </c>
      <c r="D20" s="547">
        <v>10</v>
      </c>
      <c r="E20" s="964" t="s">
        <v>721</v>
      </c>
      <c r="F20" s="547">
        <v>440</v>
      </c>
      <c r="G20" s="1177" t="s">
        <v>720</v>
      </c>
    </row>
    <row r="21" spans="1:7" s="706" customFormat="1" ht="12" customHeight="1" x14ac:dyDescent="0.2">
      <c r="A21" s="497" t="s">
        <v>487</v>
      </c>
      <c r="B21" s="547">
        <v>20</v>
      </c>
      <c r="C21" s="1176" t="s">
        <v>721</v>
      </c>
      <c r="D21" s="547">
        <v>20</v>
      </c>
      <c r="E21" s="964" t="s">
        <v>721</v>
      </c>
      <c r="F21" s="547">
        <v>640</v>
      </c>
      <c r="G21" s="1177" t="s">
        <v>720</v>
      </c>
    </row>
    <row r="22" spans="1:7" s="706" customFormat="1" ht="12" customHeight="1" x14ac:dyDescent="0.2">
      <c r="A22" s="497" t="s">
        <v>488</v>
      </c>
      <c r="B22" s="547">
        <v>2.5769230769230766E-2</v>
      </c>
      <c r="C22" s="1176" t="s">
        <v>1133</v>
      </c>
      <c r="D22" s="547">
        <v>2.5769230769230766E-2</v>
      </c>
      <c r="E22" s="964" t="s">
        <v>1134</v>
      </c>
      <c r="F22" s="547">
        <v>2.5769230769230766E-2</v>
      </c>
      <c r="G22" s="1177" t="s">
        <v>1133</v>
      </c>
    </row>
    <row r="23" spans="1:7" s="706" customFormat="1" ht="12" customHeight="1" x14ac:dyDescent="0.2">
      <c r="A23" s="497" t="s">
        <v>489</v>
      </c>
      <c r="B23" s="547">
        <v>0.25769230769230772</v>
      </c>
      <c r="C23" s="1176" t="s">
        <v>1133</v>
      </c>
      <c r="D23" s="547">
        <v>0.25769230769230772</v>
      </c>
      <c r="E23" s="964" t="s">
        <v>1134</v>
      </c>
      <c r="F23" s="547">
        <v>0.25769230769230772</v>
      </c>
      <c r="G23" s="1177" t="s">
        <v>1133</v>
      </c>
    </row>
    <row r="24" spans="1:7" s="706" customFormat="1" ht="12" customHeight="1" x14ac:dyDescent="0.2">
      <c r="A24" s="497" t="s">
        <v>490</v>
      </c>
      <c r="B24" s="547">
        <v>4.6153846153846156E-2</v>
      </c>
      <c r="C24" s="1176" t="s">
        <v>1133</v>
      </c>
      <c r="D24" s="547">
        <v>4.6153846153846156E-2</v>
      </c>
      <c r="E24" s="964" t="s">
        <v>1134</v>
      </c>
      <c r="F24" s="547">
        <v>4.6153846153846156E-2</v>
      </c>
      <c r="G24" s="1177" t="s">
        <v>1133</v>
      </c>
    </row>
    <row r="25" spans="1:7" s="706" customFormat="1" ht="12" customHeight="1" x14ac:dyDescent="0.2">
      <c r="A25" s="497" t="s">
        <v>491</v>
      </c>
      <c r="B25" s="547">
        <v>0.01</v>
      </c>
      <c r="C25" s="1176" t="s">
        <v>1133</v>
      </c>
      <c r="D25" s="547">
        <v>0.01</v>
      </c>
      <c r="E25" s="964" t="s">
        <v>1134</v>
      </c>
      <c r="F25" s="547">
        <v>0.01</v>
      </c>
      <c r="G25" s="1177" t="s">
        <v>1133</v>
      </c>
    </row>
    <row r="26" spans="1:7" s="706" customFormat="1" ht="12" customHeight="1" x14ac:dyDescent="0.2">
      <c r="A26" s="497" t="s">
        <v>492</v>
      </c>
      <c r="B26" s="547">
        <v>260</v>
      </c>
      <c r="C26" s="1176" t="s">
        <v>1135</v>
      </c>
      <c r="D26" s="547">
        <v>2600</v>
      </c>
      <c r="E26" s="964" t="s">
        <v>733</v>
      </c>
      <c r="F26" s="547">
        <v>260</v>
      </c>
      <c r="G26" s="1177" t="s">
        <v>1135</v>
      </c>
    </row>
    <row r="27" spans="1:7" s="706" customFormat="1" ht="12" customHeight="1" x14ac:dyDescent="0.2">
      <c r="A27" s="497" t="s">
        <v>493</v>
      </c>
      <c r="B27" s="547">
        <v>10000</v>
      </c>
      <c r="C27" s="1176" t="s">
        <v>1135</v>
      </c>
      <c r="D27" s="547">
        <v>100000</v>
      </c>
      <c r="E27" s="964" t="s">
        <v>736</v>
      </c>
      <c r="F27" s="547">
        <v>10000</v>
      </c>
      <c r="G27" s="1177" t="s">
        <v>1135</v>
      </c>
    </row>
    <row r="28" spans="1:7" s="706" customFormat="1" ht="12" customHeight="1" x14ac:dyDescent="0.2">
      <c r="A28" s="497" t="s">
        <v>494</v>
      </c>
      <c r="B28" s="547">
        <v>5</v>
      </c>
      <c r="C28" s="1176" t="s">
        <v>1133</v>
      </c>
      <c r="D28" s="547">
        <v>5</v>
      </c>
      <c r="E28" s="964" t="s">
        <v>1134</v>
      </c>
      <c r="F28" s="547">
        <v>5</v>
      </c>
      <c r="G28" s="1177" t="s">
        <v>1133</v>
      </c>
    </row>
    <row r="29" spans="1:7" s="706" customFormat="1" ht="12" customHeight="1" x14ac:dyDescent="0.2">
      <c r="A29" s="497" t="s">
        <v>495</v>
      </c>
      <c r="B29" s="547">
        <v>4.2307692307692308</v>
      </c>
      <c r="C29" s="1176" t="s">
        <v>1133</v>
      </c>
      <c r="D29" s="547">
        <v>6.7</v>
      </c>
      <c r="E29" s="964" t="s">
        <v>725</v>
      </c>
      <c r="F29" s="547">
        <v>4.2307692307692308</v>
      </c>
      <c r="G29" s="1177" t="s">
        <v>1133</v>
      </c>
    </row>
    <row r="30" spans="1:7" s="706" customFormat="1" ht="12" customHeight="1" thickBot="1" x14ac:dyDescent="0.25">
      <c r="A30" s="507" t="s">
        <v>496</v>
      </c>
      <c r="B30" s="553">
        <v>1.9230769230769231</v>
      </c>
      <c r="C30" s="1178" t="s">
        <v>1133</v>
      </c>
      <c r="D30" s="553">
        <v>1.9230769230769231</v>
      </c>
      <c r="E30" s="965" t="s">
        <v>1134</v>
      </c>
      <c r="F30" s="553">
        <v>1.9230769230769231</v>
      </c>
      <c r="G30" s="1179" t="s">
        <v>1133</v>
      </c>
    </row>
    <row r="31" spans="1:7" ht="11.25" customHeight="1" thickTop="1" x14ac:dyDescent="0.2">
      <c r="A31" s="514" t="s">
        <v>238</v>
      </c>
      <c r="G31" s="1169"/>
    </row>
    <row r="32" spans="1:7" ht="11.25" customHeight="1" x14ac:dyDescent="0.2">
      <c r="A32" s="521" t="s">
        <v>696</v>
      </c>
      <c r="G32" s="1169"/>
    </row>
    <row r="33" spans="1:7" ht="11.25" customHeight="1" x14ac:dyDescent="0.2">
      <c r="A33" s="521" t="s">
        <v>697</v>
      </c>
      <c r="G33" s="1169"/>
    </row>
    <row r="34" spans="1:7" ht="22.35" customHeight="1" thickBot="1" x14ac:dyDescent="0.25">
      <c r="A34" s="1533" t="s">
        <v>698</v>
      </c>
      <c r="B34" s="1520"/>
      <c r="C34" s="1520"/>
      <c r="D34" s="1520"/>
      <c r="E34" s="1520"/>
      <c r="F34" s="1520"/>
      <c r="G34" s="1521"/>
    </row>
    <row r="35" spans="1:7" ht="12" thickTop="1" x14ac:dyDescent="0.2"/>
  </sheetData>
  <sheetProtection algorithmName="SHA-512" hashValue="IDxE8FrSUMrYt87MrO9sM6PFdA4BrUPpLoB8+cBhYCEwmXET+oiKUjDtvj/oJEinNK9D8PGSjBxsVXNlJNNvaA==" saltValue="lfmT2DjWUaYjhpvoYqkr5g==" spinCount="100000" sheet="1" objects="1" scenarios="1"/>
  <mergeCells count="1">
    <mergeCell ref="A34:G34"/>
  </mergeCells>
  <phoneticPr fontId="0" type="noConversion"/>
  <printOptions horizontalCentered="1"/>
  <pageMargins left="0.15748031496063" right="0.15748031496063" top="0.511811023622047" bottom="0.98425196850393704" header="0.511811023622047" footer="0.511811023622047"/>
  <pageSetup scale="77" orientation="landscape" r:id="rId1"/>
  <headerFooter alignWithMargins="0">
    <oddFooter>&amp;LHawai'i DOH
PFASs November 2024&amp;C&amp;8Page &amp;P of &amp;N&amp;R&amp;A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indexed="29"/>
    <pageSetUpPr fitToPage="1"/>
  </sheetPr>
  <dimension ref="A1:G35"/>
  <sheetViews>
    <sheetView zoomScaleNormal="100" workbookViewId="0">
      <selection activeCell="F24" sqref="F24"/>
    </sheetView>
  </sheetViews>
  <sheetFormatPr defaultColWidth="9.140625" defaultRowHeight="11.25" x14ac:dyDescent="0.2"/>
  <cols>
    <col min="1" max="1" width="50.5703125" style="517" customWidth="1"/>
    <col min="2" max="2" width="12.7109375" style="504" customWidth="1"/>
    <col min="3" max="3" width="30.5703125" style="710" customWidth="1"/>
    <col min="4" max="4" width="12.7109375" style="515" customWidth="1"/>
    <col min="5" max="5" width="30.5703125" style="710" customWidth="1"/>
    <col min="6" max="6" width="12.7109375" style="515" customWidth="1"/>
    <col min="7" max="7" width="30.5703125" style="710" customWidth="1"/>
    <col min="8" max="16384" width="9.140625" style="517"/>
  </cols>
  <sheetData>
    <row r="1" spans="1:7" s="706" customFormat="1" ht="15.75" x14ac:dyDescent="0.25">
      <c r="A1" s="566" t="s">
        <v>699</v>
      </c>
      <c r="B1" s="471"/>
      <c r="C1" s="471"/>
      <c r="D1" s="468"/>
      <c r="E1" s="473"/>
      <c r="F1" s="468"/>
      <c r="G1" s="473"/>
    </row>
    <row r="2" spans="1:7" s="706" customFormat="1" ht="15.75" thickBot="1" x14ac:dyDescent="0.3">
      <c r="A2" s="1056"/>
      <c r="B2" s="1062"/>
      <c r="C2" s="1062"/>
      <c r="D2" s="468"/>
      <c r="E2" s="473"/>
      <c r="F2" s="468"/>
      <c r="G2" s="473"/>
    </row>
    <row r="3" spans="1:7" s="706" customFormat="1" ht="23.25" customHeight="1" thickTop="1" thickBot="1" x14ac:dyDescent="0.25">
      <c r="A3" s="1574" t="s">
        <v>624</v>
      </c>
      <c r="B3" s="1158" t="s">
        <v>692</v>
      </c>
      <c r="C3" s="1159"/>
      <c r="D3" s="1160"/>
      <c r="E3" s="1159"/>
      <c r="F3" s="1161"/>
      <c r="G3" s="1162"/>
    </row>
    <row r="4" spans="1:7" s="706" customFormat="1" ht="68.25" customHeight="1" thickTop="1" thickBot="1" x14ac:dyDescent="0.25">
      <c r="A4" s="1575"/>
      <c r="B4" s="537" t="s">
        <v>700</v>
      </c>
      <c r="C4" s="1163" t="s">
        <v>405</v>
      </c>
      <c r="D4" s="1164" t="s">
        <v>701</v>
      </c>
      <c r="E4" s="1163" t="s">
        <v>405</v>
      </c>
      <c r="F4" s="992" t="s">
        <v>702</v>
      </c>
      <c r="G4" s="1165" t="s">
        <v>405</v>
      </c>
    </row>
    <row r="5" spans="1:7" s="706" customFormat="1" ht="12" customHeight="1" x14ac:dyDescent="0.2">
      <c r="A5" s="490" t="s">
        <v>472</v>
      </c>
      <c r="B5" s="743">
        <v>127000</v>
      </c>
      <c r="C5" s="996" t="s">
        <v>718</v>
      </c>
      <c r="D5" s="542">
        <v>886000</v>
      </c>
      <c r="E5" s="996" t="s">
        <v>716</v>
      </c>
      <c r="F5" s="743">
        <v>127000</v>
      </c>
      <c r="G5" s="1166" t="s">
        <v>718</v>
      </c>
    </row>
    <row r="6" spans="1:7" s="706" customFormat="1" ht="12" customHeight="1" x14ac:dyDescent="0.2">
      <c r="A6" s="497" t="s">
        <v>473</v>
      </c>
      <c r="B6" s="746">
        <v>0.58076923076923059</v>
      </c>
      <c r="C6" s="997" t="s">
        <v>1133</v>
      </c>
      <c r="D6" s="547">
        <v>0.58076923076923059</v>
      </c>
      <c r="E6" s="997" t="s">
        <v>1133</v>
      </c>
      <c r="F6" s="746">
        <v>0.58076923076923059</v>
      </c>
      <c r="G6" s="1167" t="s">
        <v>1133</v>
      </c>
    </row>
    <row r="7" spans="1:7" s="706" customFormat="1" ht="12" customHeight="1" x14ac:dyDescent="0.2">
      <c r="A7" s="497" t="s">
        <v>474</v>
      </c>
      <c r="B7" s="746">
        <v>10</v>
      </c>
      <c r="C7" s="997" t="s">
        <v>720</v>
      </c>
      <c r="D7" s="547">
        <v>10</v>
      </c>
      <c r="E7" s="997" t="s">
        <v>720</v>
      </c>
      <c r="F7" s="746">
        <v>10</v>
      </c>
      <c r="G7" s="1167" t="s">
        <v>720</v>
      </c>
    </row>
    <row r="8" spans="1:7" s="706" customFormat="1" ht="12" customHeight="1" x14ac:dyDescent="0.2">
      <c r="A8" s="497" t="s">
        <v>475</v>
      </c>
      <c r="B8" s="746">
        <v>3.8461538461538471E-2</v>
      </c>
      <c r="C8" s="997" t="s">
        <v>1133</v>
      </c>
      <c r="D8" s="547">
        <v>3.8461538461538471E-2</v>
      </c>
      <c r="E8" s="997" t="s">
        <v>1133</v>
      </c>
      <c r="F8" s="746">
        <v>3.8461538461538471E-2</v>
      </c>
      <c r="G8" s="1167" t="s">
        <v>1133</v>
      </c>
    </row>
    <row r="9" spans="1:7" s="706" customFormat="1" ht="12" customHeight="1" x14ac:dyDescent="0.2">
      <c r="A9" s="497" t="s">
        <v>476</v>
      </c>
      <c r="B9" s="746">
        <v>31</v>
      </c>
      <c r="C9" s="997" t="s">
        <v>722</v>
      </c>
      <c r="D9" s="547">
        <v>31</v>
      </c>
      <c r="E9" s="997" t="s">
        <v>722</v>
      </c>
      <c r="F9" s="746">
        <v>130</v>
      </c>
      <c r="G9" s="1167" t="s">
        <v>722</v>
      </c>
    </row>
    <row r="10" spans="1:7" s="706" customFormat="1" ht="12" customHeight="1" x14ac:dyDescent="0.2">
      <c r="A10" s="497" t="s">
        <v>477</v>
      </c>
      <c r="B10" s="746">
        <v>3.8461538461538471E-2</v>
      </c>
      <c r="C10" s="997" t="s">
        <v>1133</v>
      </c>
      <c r="D10" s="547">
        <v>3.8461538461538471E-2</v>
      </c>
      <c r="E10" s="997" t="s">
        <v>1133</v>
      </c>
      <c r="F10" s="746">
        <v>3.8461538461538471E-2</v>
      </c>
      <c r="G10" s="1167" t="s">
        <v>1133</v>
      </c>
    </row>
    <row r="11" spans="1:7" s="706" customFormat="1" ht="12" customHeight="1" x14ac:dyDescent="0.2">
      <c r="A11" s="497" t="s">
        <v>200</v>
      </c>
      <c r="B11" s="746">
        <v>100</v>
      </c>
      <c r="C11" s="997" t="s">
        <v>720</v>
      </c>
      <c r="D11" s="547">
        <v>100</v>
      </c>
      <c r="E11" s="997" t="s">
        <v>720</v>
      </c>
      <c r="F11" s="746">
        <v>100</v>
      </c>
      <c r="G11" s="1167" t="s">
        <v>720</v>
      </c>
    </row>
    <row r="12" spans="1:7" s="706" customFormat="1" ht="12" customHeight="1" x14ac:dyDescent="0.2">
      <c r="A12" s="497" t="s">
        <v>478</v>
      </c>
      <c r="B12" s="746">
        <v>0.51319648093841652</v>
      </c>
      <c r="C12" s="997" t="s">
        <v>1133</v>
      </c>
      <c r="D12" s="547">
        <v>0.51319648093841652</v>
      </c>
      <c r="E12" s="997" t="s">
        <v>1133</v>
      </c>
      <c r="F12" s="746">
        <v>0.51319648093841652</v>
      </c>
      <c r="G12" s="1167" t="s">
        <v>1133</v>
      </c>
    </row>
    <row r="13" spans="1:7" s="706" customFormat="1" ht="12" customHeight="1" x14ac:dyDescent="0.2">
      <c r="A13" s="497" t="s">
        <v>479</v>
      </c>
      <c r="B13" s="746">
        <v>4200</v>
      </c>
      <c r="C13" s="997" t="s">
        <v>720</v>
      </c>
      <c r="D13" s="547">
        <v>4200</v>
      </c>
      <c r="E13" s="997" t="s">
        <v>725</v>
      </c>
      <c r="F13" s="746">
        <v>4200</v>
      </c>
      <c r="G13" s="1167" t="s">
        <v>720</v>
      </c>
    </row>
    <row r="14" spans="1:7" s="706" customFormat="1" ht="12" customHeight="1" x14ac:dyDescent="0.2">
      <c r="A14" s="497" t="s">
        <v>480</v>
      </c>
      <c r="B14" s="746">
        <v>1.5384615384615383</v>
      </c>
      <c r="C14" s="997" t="s">
        <v>1133</v>
      </c>
      <c r="D14" s="547">
        <v>1.5384615384615383</v>
      </c>
      <c r="E14" s="997" t="s">
        <v>1133</v>
      </c>
      <c r="F14" s="746">
        <v>1.5384615384615383</v>
      </c>
      <c r="G14" s="1167" t="s">
        <v>1133</v>
      </c>
    </row>
    <row r="15" spans="1:7" s="706" customFormat="1" ht="12" customHeight="1" x14ac:dyDescent="0.2">
      <c r="A15" s="497" t="s">
        <v>481</v>
      </c>
      <c r="B15" s="746">
        <v>48000</v>
      </c>
      <c r="C15" s="997" t="s">
        <v>720</v>
      </c>
      <c r="D15" s="547">
        <v>48000</v>
      </c>
      <c r="E15" s="997" t="s">
        <v>727</v>
      </c>
      <c r="F15" s="746">
        <v>48000</v>
      </c>
      <c r="G15" s="1167" t="s">
        <v>720</v>
      </c>
    </row>
    <row r="16" spans="1:7" s="706" customFormat="1" ht="12" customHeight="1" x14ac:dyDescent="0.2">
      <c r="A16" s="497" t="s">
        <v>482</v>
      </c>
      <c r="B16" s="746">
        <v>7.6923076923076941E-2</v>
      </c>
      <c r="C16" s="997" t="s">
        <v>1133</v>
      </c>
      <c r="D16" s="547">
        <v>7.6923076923076941E-2</v>
      </c>
      <c r="E16" s="997" t="s">
        <v>1133</v>
      </c>
      <c r="F16" s="746">
        <v>7.6923076923076941E-2</v>
      </c>
      <c r="G16" s="1167" t="s">
        <v>1133</v>
      </c>
    </row>
    <row r="17" spans="1:7" s="706" customFormat="1" ht="12" customHeight="1" x14ac:dyDescent="0.2">
      <c r="A17" s="497" t="s">
        <v>483</v>
      </c>
      <c r="B17" s="746">
        <v>119</v>
      </c>
      <c r="C17" s="997" t="s">
        <v>729</v>
      </c>
      <c r="D17" s="547">
        <v>1824</v>
      </c>
      <c r="E17" s="997" t="s">
        <v>722</v>
      </c>
      <c r="F17" s="746">
        <v>119</v>
      </c>
      <c r="G17" s="1167" t="s">
        <v>729</v>
      </c>
    </row>
    <row r="18" spans="1:7" s="706" customFormat="1" ht="12" customHeight="1" x14ac:dyDescent="0.2">
      <c r="A18" s="497" t="s">
        <v>484</v>
      </c>
      <c r="B18" s="746">
        <v>10</v>
      </c>
      <c r="C18" s="997" t="s">
        <v>729</v>
      </c>
      <c r="D18" s="547">
        <v>1100</v>
      </c>
      <c r="E18" s="997" t="s">
        <v>725</v>
      </c>
      <c r="F18" s="746">
        <v>10</v>
      </c>
      <c r="G18" s="1167" t="s">
        <v>729</v>
      </c>
    </row>
    <row r="19" spans="1:7" s="706" customFormat="1" ht="12" customHeight="1" x14ac:dyDescent="0.2">
      <c r="A19" s="497" t="s">
        <v>485</v>
      </c>
      <c r="B19" s="746">
        <v>10</v>
      </c>
      <c r="C19" s="997" t="s">
        <v>731</v>
      </c>
      <c r="D19" s="547">
        <v>10</v>
      </c>
      <c r="E19" s="997" t="s">
        <v>731</v>
      </c>
      <c r="F19" s="746">
        <v>39</v>
      </c>
      <c r="G19" s="1167" t="s">
        <v>729</v>
      </c>
    </row>
    <row r="20" spans="1:7" s="706" customFormat="1" ht="12" customHeight="1" x14ac:dyDescent="0.2">
      <c r="A20" s="497" t="s">
        <v>486</v>
      </c>
      <c r="B20" s="746">
        <v>440</v>
      </c>
      <c r="C20" s="997" t="s">
        <v>720</v>
      </c>
      <c r="D20" s="547">
        <v>440</v>
      </c>
      <c r="E20" s="997" t="s">
        <v>725</v>
      </c>
      <c r="F20" s="746">
        <v>440</v>
      </c>
      <c r="G20" s="1167" t="s">
        <v>720</v>
      </c>
    </row>
    <row r="21" spans="1:7" s="706" customFormat="1" ht="12" customHeight="1" x14ac:dyDescent="0.2">
      <c r="A21" s="497" t="s">
        <v>487</v>
      </c>
      <c r="B21" s="746">
        <v>640</v>
      </c>
      <c r="C21" s="997" t="s">
        <v>720</v>
      </c>
      <c r="D21" s="547">
        <v>640</v>
      </c>
      <c r="E21" s="997" t="s">
        <v>725</v>
      </c>
      <c r="F21" s="746">
        <v>640</v>
      </c>
      <c r="G21" s="1167" t="s">
        <v>720</v>
      </c>
    </row>
    <row r="22" spans="1:7" s="706" customFormat="1" ht="12" customHeight="1" x14ac:dyDescent="0.2">
      <c r="A22" s="497" t="s">
        <v>488</v>
      </c>
      <c r="B22" s="746">
        <v>2.5769230769230766E-2</v>
      </c>
      <c r="C22" s="997" t="s">
        <v>1133</v>
      </c>
      <c r="D22" s="547">
        <v>2.5769230769230766E-2</v>
      </c>
      <c r="E22" s="997" t="s">
        <v>1133</v>
      </c>
      <c r="F22" s="746">
        <v>2.5769230769230766E-2</v>
      </c>
      <c r="G22" s="1167" t="s">
        <v>1133</v>
      </c>
    </row>
    <row r="23" spans="1:7" s="706" customFormat="1" ht="12" customHeight="1" x14ac:dyDescent="0.2">
      <c r="A23" s="497" t="s">
        <v>489</v>
      </c>
      <c r="B23" s="746">
        <v>0.25769230769230772</v>
      </c>
      <c r="C23" s="997" t="s">
        <v>1133</v>
      </c>
      <c r="D23" s="547">
        <v>0.25769230769230772</v>
      </c>
      <c r="E23" s="997" t="s">
        <v>1133</v>
      </c>
      <c r="F23" s="746">
        <v>0.25769230769230772</v>
      </c>
      <c r="G23" s="1167" t="s">
        <v>1133</v>
      </c>
    </row>
    <row r="24" spans="1:7" s="706" customFormat="1" ht="12" customHeight="1" x14ac:dyDescent="0.2">
      <c r="A24" s="497" t="s">
        <v>490</v>
      </c>
      <c r="B24" s="746">
        <v>4.6153846153846156E-2</v>
      </c>
      <c r="C24" s="997" t="s">
        <v>1133</v>
      </c>
      <c r="D24" s="547">
        <v>4.6153846153846156E-2</v>
      </c>
      <c r="E24" s="997" t="s">
        <v>1133</v>
      </c>
      <c r="F24" s="746">
        <v>4.6153846153846156E-2</v>
      </c>
      <c r="G24" s="1167" t="s">
        <v>1133</v>
      </c>
    </row>
    <row r="25" spans="1:7" s="706" customFormat="1" ht="12" customHeight="1" x14ac:dyDescent="0.2">
      <c r="A25" s="497" t="s">
        <v>491</v>
      </c>
      <c r="B25" s="746">
        <v>0.01</v>
      </c>
      <c r="C25" s="997" t="s">
        <v>1133</v>
      </c>
      <c r="D25" s="547">
        <v>0.01</v>
      </c>
      <c r="E25" s="997" t="s">
        <v>1133</v>
      </c>
      <c r="F25" s="746">
        <v>0.01</v>
      </c>
      <c r="G25" s="1167" t="s">
        <v>1133</v>
      </c>
    </row>
    <row r="26" spans="1:7" s="706" customFormat="1" ht="12" customHeight="1" x14ac:dyDescent="0.2">
      <c r="A26" s="497" t="s">
        <v>492</v>
      </c>
      <c r="B26" s="746">
        <v>10800</v>
      </c>
      <c r="C26" s="997" t="s">
        <v>735</v>
      </c>
      <c r="D26" s="547">
        <v>108000</v>
      </c>
      <c r="E26" s="997" t="s">
        <v>733</v>
      </c>
      <c r="F26" s="746">
        <v>10800</v>
      </c>
      <c r="G26" s="1167" t="s">
        <v>735</v>
      </c>
    </row>
    <row r="27" spans="1:7" s="706" customFormat="1" ht="12" customHeight="1" x14ac:dyDescent="0.2">
      <c r="A27" s="497" t="s">
        <v>493</v>
      </c>
      <c r="B27" s="746">
        <v>10000</v>
      </c>
      <c r="C27" s="997" t="s">
        <v>735</v>
      </c>
      <c r="D27" s="547">
        <v>100000</v>
      </c>
      <c r="E27" s="997" t="s">
        <v>737</v>
      </c>
      <c r="F27" s="746">
        <v>10000</v>
      </c>
      <c r="G27" s="1167" t="s">
        <v>735</v>
      </c>
    </row>
    <row r="28" spans="1:7" s="706" customFormat="1" ht="12" customHeight="1" x14ac:dyDescent="0.2">
      <c r="A28" s="497" t="s">
        <v>494</v>
      </c>
      <c r="B28" s="746">
        <v>5</v>
      </c>
      <c r="C28" s="997" t="s">
        <v>1133</v>
      </c>
      <c r="D28" s="547">
        <v>5</v>
      </c>
      <c r="E28" s="997" t="s">
        <v>1133</v>
      </c>
      <c r="F28" s="746">
        <v>5</v>
      </c>
      <c r="G28" s="1167" t="s">
        <v>1133</v>
      </c>
    </row>
    <row r="29" spans="1:7" s="706" customFormat="1" ht="12" customHeight="1" x14ac:dyDescent="0.2">
      <c r="A29" s="497" t="s">
        <v>495</v>
      </c>
      <c r="B29" s="746">
        <v>4.2307692307692308</v>
      </c>
      <c r="C29" s="997" t="s">
        <v>1133</v>
      </c>
      <c r="D29" s="547">
        <v>60</v>
      </c>
      <c r="E29" s="997" t="s">
        <v>725</v>
      </c>
      <c r="F29" s="746">
        <v>4.2307692307692308</v>
      </c>
      <c r="G29" s="1167" t="s">
        <v>1133</v>
      </c>
    </row>
    <row r="30" spans="1:7" s="706" customFormat="1" ht="12" customHeight="1" thickBot="1" x14ac:dyDescent="0.25">
      <c r="A30" s="507" t="s">
        <v>496</v>
      </c>
      <c r="B30" s="750">
        <v>1.9230769230769231</v>
      </c>
      <c r="C30" s="998" t="s">
        <v>1133</v>
      </c>
      <c r="D30" s="553">
        <v>1.9230769230769231</v>
      </c>
      <c r="E30" s="998" t="s">
        <v>1133</v>
      </c>
      <c r="F30" s="750">
        <v>1.9230769230769231</v>
      </c>
      <c r="G30" s="1168" t="s">
        <v>1133</v>
      </c>
    </row>
    <row r="31" spans="1:7" ht="11.25" customHeight="1" thickTop="1" x14ac:dyDescent="0.2">
      <c r="A31" s="514" t="s">
        <v>238</v>
      </c>
      <c r="B31" s="515"/>
      <c r="C31" s="470"/>
      <c r="G31" s="1169"/>
    </row>
    <row r="32" spans="1:7" ht="11.25" customHeight="1" x14ac:dyDescent="0.2">
      <c r="A32" s="521" t="s">
        <v>696</v>
      </c>
      <c r="B32" s="515"/>
      <c r="C32" s="470"/>
      <c r="G32" s="1169"/>
    </row>
    <row r="33" spans="1:7" ht="11.25" customHeight="1" x14ac:dyDescent="0.2">
      <c r="A33" s="521" t="s">
        <v>697</v>
      </c>
      <c r="B33" s="515"/>
      <c r="C33" s="470"/>
      <c r="G33" s="1169"/>
    </row>
    <row r="34" spans="1:7" ht="23.1" customHeight="1" thickBot="1" x14ac:dyDescent="0.25">
      <c r="A34" s="1533" t="s">
        <v>698</v>
      </c>
      <c r="B34" s="1520"/>
      <c r="C34" s="1520"/>
      <c r="D34" s="1520"/>
      <c r="E34" s="1520"/>
      <c r="F34" s="1520"/>
      <c r="G34" s="1521"/>
    </row>
    <row r="35" spans="1:7" ht="12" thickTop="1" x14ac:dyDescent="0.2"/>
  </sheetData>
  <sheetProtection algorithmName="SHA-512" hashValue="su6v/D1gWmB4ytg5kR/kXv+e6w781GuUgu7qORSVJTnWArtBtkHEBuolNJTx43d4lYDSZH+XnPL/mJQMdwVKbQ==" saltValue="8JZVAxdSUKVtBWsWGq3psg==" spinCount="100000" sheet="1" objects="1" scenarios="1"/>
  <mergeCells count="2">
    <mergeCell ref="A3:A4"/>
    <mergeCell ref="A34:G34"/>
  </mergeCells>
  <phoneticPr fontId="16" type="noConversion"/>
  <printOptions horizontalCentered="1"/>
  <pageMargins left="0.74803149606299202" right="0.74803149606299202" top="0.59055118110236204" bottom="0.98425196850393704" header="0.511811023622047" footer="0.511811023622047"/>
  <pageSetup scale="68" fitToHeight="4" orientation="landscape" r:id="rId1"/>
  <headerFooter alignWithMargins="0">
    <oddFooter>&amp;LHawai'i DOH
PFASs November 2024&amp;CPage &amp;P of &amp;N&amp;R&amp;A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indexed="29"/>
    <pageSetUpPr fitToPage="1"/>
  </sheetPr>
  <dimension ref="A1:F33"/>
  <sheetViews>
    <sheetView zoomScaleNormal="100" workbookViewId="0">
      <selection activeCell="F24" sqref="F24"/>
    </sheetView>
  </sheetViews>
  <sheetFormatPr defaultColWidth="9.140625" defaultRowHeight="12.75" x14ac:dyDescent="0.2"/>
  <cols>
    <col min="1" max="1" width="50.5703125" style="517" customWidth="1"/>
    <col min="2" max="4" width="12.7109375" style="505" customWidth="1"/>
    <col min="5" max="5" width="13.28515625" style="505" customWidth="1"/>
    <col min="6" max="6" width="9.140625" style="627"/>
    <col min="7" max="16384" width="9.140625" style="517"/>
  </cols>
  <sheetData>
    <row r="1" spans="1:6" s="706" customFormat="1" ht="31.5" x14ac:dyDescent="0.25">
      <c r="A1" s="566" t="s">
        <v>703</v>
      </c>
      <c r="B1" s="468"/>
      <c r="C1" s="468"/>
      <c r="D1" s="468"/>
      <c r="E1" s="468"/>
      <c r="F1" s="469"/>
    </row>
    <row r="2" spans="1:6" s="706" customFormat="1" ht="13.5" thickBot="1" x14ac:dyDescent="0.25">
      <c r="A2" s="989"/>
      <c r="B2" s="968"/>
      <c r="C2" s="968"/>
      <c r="D2" s="968"/>
      <c r="E2" s="968"/>
      <c r="F2" s="469"/>
    </row>
    <row r="3" spans="1:6" s="706" customFormat="1" ht="23.25" customHeight="1" thickTop="1" x14ac:dyDescent="0.2">
      <c r="A3" s="1148"/>
      <c r="B3" s="1149" t="s">
        <v>704</v>
      </c>
      <c r="C3" s="1150"/>
      <c r="D3" s="1151" t="s">
        <v>705</v>
      </c>
      <c r="E3" s="1152"/>
      <c r="F3" s="469"/>
    </row>
    <row r="4" spans="1:6" s="706" customFormat="1" ht="12.75" customHeight="1" thickBot="1" x14ac:dyDescent="0.25">
      <c r="A4" s="1153" t="s">
        <v>624</v>
      </c>
      <c r="B4" s="1154" t="s">
        <v>706</v>
      </c>
      <c r="C4" s="1155" t="s">
        <v>707</v>
      </c>
      <c r="D4" s="1154" t="s">
        <v>706</v>
      </c>
      <c r="E4" s="1156" t="s">
        <v>707</v>
      </c>
    </row>
    <row r="5" spans="1:6" s="706" customFormat="1" ht="12" customHeight="1" x14ac:dyDescent="0.2">
      <c r="A5" s="490" t="s">
        <v>472</v>
      </c>
      <c r="B5" s="494"/>
      <c r="C5" s="543"/>
      <c r="D5" s="542"/>
      <c r="E5" s="545"/>
    </row>
    <row r="6" spans="1:6" s="706" customFormat="1" ht="12" customHeight="1" x14ac:dyDescent="0.2">
      <c r="A6" s="497" t="s">
        <v>473</v>
      </c>
      <c r="B6" s="501"/>
      <c r="C6" s="548"/>
      <c r="D6" s="547"/>
      <c r="E6" s="550"/>
    </row>
    <row r="7" spans="1:6" s="706" customFormat="1" ht="12" customHeight="1" x14ac:dyDescent="0.2">
      <c r="A7" s="497" t="s">
        <v>474</v>
      </c>
      <c r="B7" s="501"/>
      <c r="C7" s="548"/>
      <c r="D7" s="547"/>
      <c r="E7" s="550"/>
    </row>
    <row r="8" spans="1:6" s="706" customFormat="1" ht="12" customHeight="1" x14ac:dyDescent="0.2">
      <c r="A8" s="497" t="s">
        <v>475</v>
      </c>
      <c r="B8" s="501"/>
      <c r="C8" s="548"/>
      <c r="D8" s="547"/>
      <c r="E8" s="550"/>
    </row>
    <row r="9" spans="1:6" s="706" customFormat="1" ht="12" customHeight="1" x14ac:dyDescent="0.2">
      <c r="A9" s="497" t="s">
        <v>476</v>
      </c>
      <c r="B9" s="501"/>
      <c r="C9" s="548"/>
      <c r="D9" s="547"/>
      <c r="E9" s="550"/>
    </row>
    <row r="10" spans="1:6" s="706" customFormat="1" ht="12" customHeight="1" x14ac:dyDescent="0.2">
      <c r="A10" s="497" t="s">
        <v>477</v>
      </c>
      <c r="B10" s="501"/>
      <c r="C10" s="548"/>
      <c r="D10" s="547"/>
      <c r="E10" s="550"/>
    </row>
    <row r="11" spans="1:6" s="706" customFormat="1" ht="12" customHeight="1" x14ac:dyDescent="0.2">
      <c r="A11" s="497" t="s">
        <v>200</v>
      </c>
      <c r="B11" s="501"/>
      <c r="C11" s="548"/>
      <c r="D11" s="547"/>
      <c r="E11" s="550"/>
    </row>
    <row r="12" spans="1:6" s="706" customFormat="1" ht="12" customHeight="1" x14ac:dyDescent="0.2">
      <c r="A12" s="497" t="s">
        <v>478</v>
      </c>
      <c r="B12" s="501"/>
      <c r="C12" s="548"/>
      <c r="D12" s="547"/>
      <c r="E12" s="550"/>
    </row>
    <row r="13" spans="1:6" s="706" customFormat="1" ht="12" customHeight="1" x14ac:dyDescent="0.2">
      <c r="A13" s="497" t="s">
        <v>479</v>
      </c>
      <c r="B13" s="501"/>
      <c r="C13" s="548"/>
      <c r="D13" s="547"/>
      <c r="E13" s="550"/>
    </row>
    <row r="14" spans="1:6" s="706" customFormat="1" ht="12" customHeight="1" x14ac:dyDescent="0.2">
      <c r="A14" s="497" t="s">
        <v>480</v>
      </c>
      <c r="B14" s="501"/>
      <c r="C14" s="548"/>
      <c r="D14" s="547"/>
      <c r="E14" s="550"/>
    </row>
    <row r="15" spans="1:6" s="706" customFormat="1" ht="12" customHeight="1" x14ac:dyDescent="0.2">
      <c r="A15" s="497" t="s">
        <v>481</v>
      </c>
      <c r="B15" s="501"/>
      <c r="C15" s="548"/>
      <c r="D15" s="547"/>
      <c r="E15" s="550"/>
    </row>
    <row r="16" spans="1:6" s="706" customFormat="1" ht="12" customHeight="1" x14ac:dyDescent="0.2">
      <c r="A16" s="497" t="s">
        <v>482</v>
      </c>
      <c r="B16" s="501"/>
      <c r="C16" s="548"/>
      <c r="D16" s="547"/>
      <c r="E16" s="550"/>
    </row>
    <row r="17" spans="1:5" s="706" customFormat="1" ht="12" customHeight="1" x14ac:dyDescent="0.2">
      <c r="A17" s="497" t="s">
        <v>483</v>
      </c>
      <c r="B17" s="501"/>
      <c r="C17" s="548"/>
      <c r="D17" s="547"/>
      <c r="E17" s="550"/>
    </row>
    <row r="18" spans="1:5" s="706" customFormat="1" ht="12" customHeight="1" x14ac:dyDescent="0.2">
      <c r="A18" s="497" t="s">
        <v>484</v>
      </c>
      <c r="B18" s="501"/>
      <c r="C18" s="548"/>
      <c r="D18" s="547"/>
      <c r="E18" s="550"/>
    </row>
    <row r="19" spans="1:5" s="706" customFormat="1" ht="12" customHeight="1" x14ac:dyDescent="0.2">
      <c r="A19" s="497" t="s">
        <v>485</v>
      </c>
      <c r="B19" s="501"/>
      <c r="C19" s="548"/>
      <c r="D19" s="547"/>
      <c r="E19" s="550"/>
    </row>
    <row r="20" spans="1:5" s="706" customFormat="1" ht="12" customHeight="1" x14ac:dyDescent="0.2">
      <c r="A20" s="497" t="s">
        <v>486</v>
      </c>
      <c r="B20" s="501"/>
      <c r="C20" s="548"/>
      <c r="D20" s="547"/>
      <c r="E20" s="550"/>
    </row>
    <row r="21" spans="1:5" s="706" customFormat="1" ht="12" customHeight="1" x14ac:dyDescent="0.2">
      <c r="A21" s="497" t="s">
        <v>487</v>
      </c>
      <c r="B21" s="501"/>
      <c r="C21" s="548"/>
      <c r="D21" s="547"/>
      <c r="E21" s="550"/>
    </row>
    <row r="22" spans="1:5" s="706" customFormat="1" ht="12" customHeight="1" x14ac:dyDescent="0.2">
      <c r="A22" s="497" t="s">
        <v>488</v>
      </c>
      <c r="B22" s="501"/>
      <c r="C22" s="548"/>
      <c r="D22" s="547"/>
      <c r="E22" s="550"/>
    </row>
    <row r="23" spans="1:5" s="706" customFormat="1" ht="12" customHeight="1" x14ac:dyDescent="0.2">
      <c r="A23" s="497" t="s">
        <v>489</v>
      </c>
      <c r="B23" s="501"/>
      <c r="C23" s="548"/>
      <c r="D23" s="547"/>
      <c r="E23" s="550"/>
    </row>
    <row r="24" spans="1:5" s="706" customFormat="1" ht="12" customHeight="1" x14ac:dyDescent="0.2">
      <c r="A24" s="497" t="s">
        <v>490</v>
      </c>
      <c r="B24" s="501"/>
      <c r="C24" s="548"/>
      <c r="D24" s="547"/>
      <c r="E24" s="550"/>
    </row>
    <row r="25" spans="1:5" ht="12" customHeight="1" x14ac:dyDescent="0.2">
      <c r="A25" s="497" t="s">
        <v>491</v>
      </c>
      <c r="B25" s="501"/>
      <c r="C25" s="548"/>
      <c r="D25" s="547"/>
      <c r="E25" s="550"/>
    </row>
    <row r="26" spans="1:5" ht="12" customHeight="1" x14ac:dyDescent="0.2">
      <c r="A26" s="497" t="s">
        <v>492</v>
      </c>
      <c r="B26" s="501"/>
      <c r="C26" s="548"/>
      <c r="D26" s="547"/>
      <c r="E26" s="550"/>
    </row>
    <row r="27" spans="1:5" ht="12" customHeight="1" x14ac:dyDescent="0.2">
      <c r="A27" s="497" t="s">
        <v>493</v>
      </c>
      <c r="B27" s="501"/>
      <c r="C27" s="548"/>
      <c r="D27" s="547"/>
      <c r="E27" s="550"/>
    </row>
    <row r="28" spans="1:5" ht="12" customHeight="1" x14ac:dyDescent="0.2">
      <c r="A28" s="497" t="s">
        <v>494</v>
      </c>
      <c r="B28" s="501"/>
      <c r="C28" s="548"/>
      <c r="D28" s="547"/>
      <c r="E28" s="550"/>
    </row>
    <row r="29" spans="1:5" ht="12" customHeight="1" x14ac:dyDescent="0.2">
      <c r="A29" s="497" t="s">
        <v>495</v>
      </c>
      <c r="B29" s="501"/>
      <c r="C29" s="548"/>
      <c r="D29" s="547"/>
      <c r="E29" s="550"/>
    </row>
    <row r="30" spans="1:5" ht="12" customHeight="1" thickBot="1" x14ac:dyDescent="0.25">
      <c r="A30" s="507" t="s">
        <v>496</v>
      </c>
      <c r="B30" s="511"/>
      <c r="C30" s="554"/>
      <c r="D30" s="553"/>
      <c r="E30" s="556"/>
    </row>
    <row r="31" spans="1:5" ht="11.25" customHeight="1" thickTop="1" x14ac:dyDescent="0.2">
      <c r="A31" s="514" t="s">
        <v>708</v>
      </c>
      <c r="B31" s="968"/>
      <c r="C31" s="968"/>
      <c r="D31" s="706"/>
      <c r="E31" s="1157"/>
    </row>
    <row r="32" spans="1:5" ht="23.85" customHeight="1" thickBot="1" x14ac:dyDescent="0.25">
      <c r="A32" s="1533" t="s">
        <v>709</v>
      </c>
      <c r="B32" s="1597"/>
      <c r="C32" s="1597"/>
      <c r="D32" s="1597"/>
      <c r="E32" s="1598"/>
    </row>
    <row r="33" ht="13.5" thickTop="1" x14ac:dyDescent="0.2"/>
  </sheetData>
  <sheetProtection algorithmName="SHA-512" hashValue="Dn9WyEPIoBksjOvt/NnMMRamVlG078ATyNfPRjeYNpnWWN5M+bC2CS1XqysMem1Wop8djOIT6RBiV8vpy3tHzQ==" saltValue="+aRsNnVSjOpQsQQkcl/zVQ==" spinCount="100000" sheet="1" objects="1" scenarios="1"/>
  <mergeCells count="1">
    <mergeCell ref="A32:E32"/>
  </mergeCells>
  <phoneticPr fontId="16" type="noConversion"/>
  <printOptions horizontalCentered="1"/>
  <pageMargins left="0.74803149606299202" right="0.74803149606299202" top="0.511811023622047" bottom="0.98425196850393704" header="0.511811023622047" footer="0.511811023622047"/>
  <pageSetup scale="89" fitToHeight="4" orientation="portrait" r:id="rId1"/>
  <headerFooter alignWithMargins="0">
    <oddFooter>&amp;LHawai'i DOH
PFASs November 2024&amp;CPage &amp;P of &amp;N&amp;R&amp;A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29"/>
    <pageSetUpPr fitToPage="1"/>
  </sheetPr>
  <dimension ref="A1:Q54"/>
  <sheetViews>
    <sheetView zoomScaleNormal="100" workbookViewId="0">
      <selection activeCell="D5" sqref="D5"/>
    </sheetView>
  </sheetViews>
  <sheetFormatPr defaultColWidth="50.5703125" defaultRowHeight="12.75" x14ac:dyDescent="0.2"/>
  <cols>
    <col min="1" max="1" width="50.5703125" style="517" customWidth="1"/>
    <col min="2" max="4" width="12.5703125" style="505" customWidth="1"/>
    <col min="5" max="5" width="30.5703125" style="784" customWidth="1"/>
    <col min="6" max="6" width="12.5703125" style="505" customWidth="1"/>
    <col min="7" max="7" width="30.5703125" style="505" customWidth="1"/>
    <col min="8" max="10" width="12.5703125" style="505" customWidth="1"/>
    <col min="11" max="11" width="30.5703125" style="770" customWidth="1"/>
    <col min="12" max="12" width="12.5703125" style="505" customWidth="1"/>
    <col min="13" max="13" width="30.5703125" style="505" customWidth="1"/>
    <col min="14" max="15" width="50.5703125" style="469"/>
    <col min="16" max="16" width="50.5703125" style="517"/>
    <col min="17" max="17" width="50.5703125" style="470"/>
    <col min="18" max="16384" width="50.5703125" style="517"/>
  </cols>
  <sheetData>
    <row r="1" spans="1:17" s="706" customFormat="1" ht="15.75" x14ac:dyDescent="0.25">
      <c r="A1" s="566" t="s">
        <v>710</v>
      </c>
      <c r="B1" s="468"/>
      <c r="C1" s="468"/>
      <c r="D1" s="468"/>
      <c r="E1" s="468"/>
      <c r="F1" s="468"/>
      <c r="G1" s="468"/>
      <c r="H1" s="468"/>
      <c r="I1" s="468"/>
      <c r="J1" s="468"/>
      <c r="K1" s="989"/>
      <c r="L1" s="468"/>
      <c r="M1" s="468"/>
      <c r="Q1" s="565"/>
    </row>
    <row r="2" spans="1:17" s="706" customFormat="1" ht="15" x14ac:dyDescent="0.25">
      <c r="A2" s="1056" t="s">
        <v>639</v>
      </c>
      <c r="B2" s="468"/>
      <c r="C2" s="468"/>
      <c r="D2" s="468"/>
      <c r="E2" s="468"/>
      <c r="F2" s="468"/>
      <c r="G2" s="468"/>
      <c r="H2" s="468"/>
      <c r="I2" s="468"/>
      <c r="J2" s="468"/>
      <c r="K2" s="989"/>
      <c r="L2" s="468"/>
      <c r="M2" s="468"/>
      <c r="Q2" s="565"/>
    </row>
    <row r="3" spans="1:17" s="706" customFormat="1" ht="12" thickBot="1" x14ac:dyDescent="0.25">
      <c r="A3" s="989"/>
      <c r="B3" s="968"/>
      <c r="C3" s="968"/>
      <c r="D3" s="968"/>
      <c r="E3" s="990"/>
      <c r="F3" s="968"/>
      <c r="G3" s="968"/>
      <c r="H3" s="968"/>
      <c r="I3" s="968"/>
      <c r="J3" s="968"/>
      <c r="K3" s="1055"/>
      <c r="L3" s="968"/>
      <c r="M3" s="968"/>
      <c r="Q3" s="565"/>
    </row>
    <row r="4" spans="1:17" s="706" customFormat="1" ht="23.25" customHeight="1" thickTop="1" thickBot="1" x14ac:dyDescent="0.25">
      <c r="A4" s="697"/>
      <c r="B4" s="1599" t="s">
        <v>685</v>
      </c>
      <c r="C4" s="1600"/>
      <c r="D4" s="1600"/>
      <c r="E4" s="1600"/>
      <c r="F4" s="1600"/>
      <c r="G4" s="1601"/>
      <c r="H4" s="1602" t="s">
        <v>686</v>
      </c>
      <c r="I4" s="1603"/>
      <c r="J4" s="1603"/>
      <c r="K4" s="1603"/>
      <c r="L4" s="1603"/>
      <c r="M4" s="1604"/>
      <c r="Q4" s="565"/>
    </row>
    <row r="5" spans="1:17" s="706" customFormat="1" ht="60" customHeight="1" thickBot="1" x14ac:dyDescent="0.25">
      <c r="A5" s="1088" t="s">
        <v>624</v>
      </c>
      <c r="B5" s="1089" t="s">
        <v>711</v>
      </c>
      <c r="C5" s="1090" t="s">
        <v>712</v>
      </c>
      <c r="D5" s="1095" t="s">
        <v>713</v>
      </c>
      <c r="E5" s="1091" t="s">
        <v>714</v>
      </c>
      <c r="F5" s="1092" t="s">
        <v>707</v>
      </c>
      <c r="G5" s="1093" t="s">
        <v>714</v>
      </c>
      <c r="H5" s="1094" t="s">
        <v>711</v>
      </c>
      <c r="I5" s="1090" t="s">
        <v>712</v>
      </c>
      <c r="J5" s="1095" t="s">
        <v>713</v>
      </c>
      <c r="K5" s="1091" t="s">
        <v>714</v>
      </c>
      <c r="L5" s="1092" t="s">
        <v>707</v>
      </c>
      <c r="M5" s="1096" t="s">
        <v>714</v>
      </c>
      <c r="Q5" s="565"/>
    </row>
    <row r="6" spans="1:17" s="706" customFormat="1" ht="12" customHeight="1" x14ac:dyDescent="0.2">
      <c r="A6" s="490" t="s">
        <v>472</v>
      </c>
      <c r="B6" s="746"/>
      <c r="C6" s="548"/>
      <c r="D6" s="547">
        <v>502000</v>
      </c>
      <c r="E6" s="1097" t="s">
        <v>715</v>
      </c>
      <c r="F6" s="501">
        <v>886000</v>
      </c>
      <c r="G6" s="1098" t="s">
        <v>716</v>
      </c>
      <c r="H6" s="747"/>
      <c r="I6" s="548"/>
      <c r="J6" s="547">
        <v>127000</v>
      </c>
      <c r="K6" s="1099" t="s">
        <v>717</v>
      </c>
      <c r="L6" s="501">
        <v>127000</v>
      </c>
      <c r="M6" s="1100" t="s">
        <v>718</v>
      </c>
      <c r="Q6" s="565"/>
    </row>
    <row r="7" spans="1:17" s="706" customFormat="1" ht="12" customHeight="1" x14ac:dyDescent="0.2">
      <c r="A7" s="497" t="s">
        <v>473</v>
      </c>
      <c r="B7" s="746"/>
      <c r="C7" s="548"/>
      <c r="D7" s="547"/>
      <c r="E7" s="1099"/>
      <c r="F7" s="501"/>
      <c r="G7" s="1101"/>
      <c r="H7" s="747"/>
      <c r="I7" s="548"/>
      <c r="J7" s="547"/>
      <c r="K7" s="1102"/>
      <c r="L7" s="501"/>
      <c r="M7" s="1100"/>
      <c r="Q7" s="565"/>
    </row>
    <row r="8" spans="1:17" s="706" customFormat="1" ht="12" customHeight="1" x14ac:dyDescent="0.2">
      <c r="A8" s="497" t="s">
        <v>474</v>
      </c>
      <c r="B8" s="746"/>
      <c r="C8" s="548"/>
      <c r="D8" s="547">
        <v>10</v>
      </c>
      <c r="E8" s="1099" t="s">
        <v>719</v>
      </c>
      <c r="F8" s="501">
        <v>10</v>
      </c>
      <c r="G8" s="1101" t="s">
        <v>720</v>
      </c>
      <c r="H8" s="747"/>
      <c r="I8" s="548"/>
      <c r="J8" s="547">
        <v>10</v>
      </c>
      <c r="K8" s="1102" t="s">
        <v>720</v>
      </c>
      <c r="L8" s="501">
        <v>10</v>
      </c>
      <c r="M8" s="1100" t="s">
        <v>720</v>
      </c>
      <c r="Q8" s="565"/>
    </row>
    <row r="9" spans="1:17" s="706" customFormat="1" ht="12" customHeight="1" x14ac:dyDescent="0.2">
      <c r="A9" s="497" t="s">
        <v>475</v>
      </c>
      <c r="B9" s="746"/>
      <c r="C9" s="548"/>
      <c r="D9" s="547"/>
      <c r="E9" s="1099"/>
      <c r="F9" s="501"/>
      <c r="G9" s="1101"/>
      <c r="H9" s="747"/>
      <c r="I9" s="548"/>
      <c r="J9" s="547"/>
      <c r="K9" s="1102"/>
      <c r="L9" s="501"/>
      <c r="M9" s="1100"/>
      <c r="Q9" s="565"/>
    </row>
    <row r="10" spans="1:17" s="706" customFormat="1" ht="12" customHeight="1" x14ac:dyDescent="0.2">
      <c r="A10" s="497" t="s">
        <v>476</v>
      </c>
      <c r="B10" s="1103"/>
      <c r="C10" s="1104"/>
      <c r="D10" s="547">
        <v>2.2999999999999998</v>
      </c>
      <c r="E10" s="1099" t="s">
        <v>721</v>
      </c>
      <c r="F10" s="501">
        <v>31</v>
      </c>
      <c r="G10" s="1101" t="s">
        <v>722</v>
      </c>
      <c r="H10" s="747"/>
      <c r="I10" s="548"/>
      <c r="J10" s="547">
        <v>1.1000000000000001</v>
      </c>
      <c r="K10" s="1102" t="s">
        <v>723</v>
      </c>
      <c r="L10" s="501">
        <v>130</v>
      </c>
      <c r="M10" s="1100" t="s">
        <v>722</v>
      </c>
      <c r="Q10" s="565"/>
    </row>
    <row r="11" spans="1:17" s="706" customFormat="1" ht="12" customHeight="1" x14ac:dyDescent="0.2">
      <c r="A11" s="497" t="s">
        <v>477</v>
      </c>
      <c r="B11" s="1103"/>
      <c r="C11" s="1104"/>
      <c r="D11" s="547"/>
      <c r="E11" s="1099"/>
      <c r="F11" s="501"/>
      <c r="G11" s="1101"/>
      <c r="H11" s="747"/>
      <c r="I11" s="548"/>
      <c r="J11" s="547"/>
      <c r="K11" s="1102"/>
      <c r="L11" s="501"/>
      <c r="M11" s="1100"/>
      <c r="Q11" s="565"/>
    </row>
    <row r="12" spans="1:17" s="706" customFormat="1" ht="12" customHeight="1" x14ac:dyDescent="0.2">
      <c r="A12" s="497" t="s">
        <v>200</v>
      </c>
      <c r="B12" s="1103"/>
      <c r="C12" s="1104"/>
      <c r="D12" s="547">
        <v>100</v>
      </c>
      <c r="E12" s="1099" t="s">
        <v>720</v>
      </c>
      <c r="F12" s="547">
        <v>100</v>
      </c>
      <c r="G12" s="1099" t="s">
        <v>720</v>
      </c>
      <c r="H12" s="747"/>
      <c r="I12" s="548"/>
      <c r="J12" s="547">
        <v>100</v>
      </c>
      <c r="K12" s="1102" t="s">
        <v>724</v>
      </c>
      <c r="L12" s="547">
        <v>100</v>
      </c>
      <c r="M12" s="1100" t="s">
        <v>720</v>
      </c>
      <c r="Q12" s="565"/>
    </row>
    <row r="13" spans="1:17" s="706" customFormat="1" ht="12" customHeight="1" x14ac:dyDescent="0.2">
      <c r="A13" s="497" t="s">
        <v>478</v>
      </c>
      <c r="B13" s="1103"/>
      <c r="C13" s="1104"/>
      <c r="D13" s="547"/>
      <c r="E13" s="1099"/>
      <c r="F13" s="501"/>
      <c r="G13" s="1101"/>
      <c r="H13" s="747"/>
      <c r="I13" s="548"/>
      <c r="J13" s="547"/>
      <c r="K13" s="1102"/>
      <c r="L13" s="501"/>
      <c r="M13" s="1100"/>
      <c r="Q13" s="565"/>
    </row>
    <row r="14" spans="1:17" s="706" customFormat="1" ht="12" customHeight="1" x14ac:dyDescent="0.2">
      <c r="A14" s="497" t="s">
        <v>479</v>
      </c>
      <c r="B14" s="746"/>
      <c r="C14" s="548"/>
      <c r="D14" s="547">
        <v>830</v>
      </c>
      <c r="E14" s="1105" t="s">
        <v>721</v>
      </c>
      <c r="F14" s="1106">
        <v>4200</v>
      </c>
      <c r="G14" s="1107" t="s">
        <v>725</v>
      </c>
      <c r="H14" s="747"/>
      <c r="I14" s="548"/>
      <c r="J14" s="547">
        <v>4200</v>
      </c>
      <c r="K14" s="1102" t="s">
        <v>720</v>
      </c>
      <c r="L14" s="501">
        <v>4200</v>
      </c>
      <c r="M14" s="1100" t="s">
        <v>720</v>
      </c>
      <c r="Q14" s="565"/>
    </row>
    <row r="15" spans="1:17" s="706" customFormat="1" ht="12" customHeight="1" x14ac:dyDescent="0.2">
      <c r="A15" s="497" t="s">
        <v>480</v>
      </c>
      <c r="B15" s="746"/>
      <c r="C15" s="548"/>
      <c r="D15" s="547"/>
      <c r="E15" s="1105"/>
      <c r="F15" s="1106"/>
      <c r="G15" s="1107"/>
      <c r="H15" s="747"/>
      <c r="I15" s="548"/>
      <c r="J15" s="547"/>
      <c r="K15" s="1102"/>
      <c r="L15" s="501"/>
      <c r="M15" s="1100"/>
      <c r="Q15" s="565"/>
    </row>
    <row r="16" spans="1:17" s="706" customFormat="1" ht="12" customHeight="1" x14ac:dyDescent="0.2">
      <c r="A16" s="497" t="s">
        <v>481</v>
      </c>
      <c r="B16" s="746"/>
      <c r="C16" s="548"/>
      <c r="D16" s="547">
        <v>6300</v>
      </c>
      <c r="E16" s="1105" t="s">
        <v>726</v>
      </c>
      <c r="F16" s="1106">
        <v>48000</v>
      </c>
      <c r="G16" s="1107" t="s">
        <v>727</v>
      </c>
      <c r="H16" s="747"/>
      <c r="I16" s="548"/>
      <c r="J16" s="547">
        <v>48000</v>
      </c>
      <c r="K16" s="1102" t="s">
        <v>720</v>
      </c>
      <c r="L16" s="501">
        <v>48000</v>
      </c>
      <c r="M16" s="1100" t="s">
        <v>720</v>
      </c>
      <c r="Q16" s="565"/>
    </row>
    <row r="17" spans="1:17" s="706" customFormat="1" ht="12" customHeight="1" x14ac:dyDescent="0.2">
      <c r="A17" s="497" t="s">
        <v>482</v>
      </c>
      <c r="B17" s="1103"/>
      <c r="C17" s="1104"/>
      <c r="D17" s="547"/>
      <c r="E17" s="1105"/>
      <c r="F17" s="1106"/>
      <c r="G17" s="1107"/>
      <c r="H17" s="747"/>
      <c r="I17" s="548"/>
      <c r="J17" s="547"/>
      <c r="K17" s="1102"/>
      <c r="L17" s="501"/>
      <c r="M17" s="1100"/>
      <c r="Q17" s="565"/>
    </row>
    <row r="18" spans="1:17" s="706" customFormat="1" ht="12" customHeight="1" x14ac:dyDescent="0.2">
      <c r="A18" s="497" t="s">
        <v>483</v>
      </c>
      <c r="B18" s="746"/>
      <c r="C18" s="548"/>
      <c r="D18" s="547">
        <v>8.3000000000000007</v>
      </c>
      <c r="E18" s="1105" t="s">
        <v>728</v>
      </c>
      <c r="F18" s="1106">
        <v>1824</v>
      </c>
      <c r="G18" s="1108" t="s">
        <v>722</v>
      </c>
      <c r="H18" s="747"/>
      <c r="I18" s="548"/>
      <c r="J18" s="547">
        <v>119</v>
      </c>
      <c r="K18" s="1099" t="s">
        <v>721</v>
      </c>
      <c r="L18" s="501">
        <v>119</v>
      </c>
      <c r="M18" s="1100" t="s">
        <v>729</v>
      </c>
      <c r="Q18" s="565"/>
    </row>
    <row r="19" spans="1:17" s="706" customFormat="1" ht="12" customHeight="1" x14ac:dyDescent="0.2">
      <c r="A19" s="497" t="s">
        <v>484</v>
      </c>
      <c r="B19" s="746"/>
      <c r="C19" s="548"/>
      <c r="D19" s="1109">
        <v>8</v>
      </c>
      <c r="E19" s="1105" t="s">
        <v>715</v>
      </c>
      <c r="F19" s="1110">
        <v>1100</v>
      </c>
      <c r="G19" s="1107" t="s">
        <v>725</v>
      </c>
      <c r="H19" s="1111"/>
      <c r="I19" s="1104"/>
      <c r="J19" s="1109">
        <v>10</v>
      </c>
      <c r="K19" s="1102" t="s">
        <v>721</v>
      </c>
      <c r="L19" s="501">
        <v>10</v>
      </c>
      <c r="M19" s="1100" t="s">
        <v>729</v>
      </c>
      <c r="Q19" s="565"/>
    </row>
    <row r="20" spans="1:17" s="706" customFormat="1" ht="12" customHeight="1" x14ac:dyDescent="0.2">
      <c r="A20" s="497" t="s">
        <v>485</v>
      </c>
      <c r="B20" s="746"/>
      <c r="C20" s="548"/>
      <c r="D20" s="547">
        <v>10</v>
      </c>
      <c r="E20" s="1105" t="s">
        <v>730</v>
      </c>
      <c r="F20" s="1106">
        <v>10</v>
      </c>
      <c r="G20" s="1107" t="s">
        <v>731</v>
      </c>
      <c r="H20" s="747"/>
      <c r="I20" s="548"/>
      <c r="J20" s="547">
        <v>39</v>
      </c>
      <c r="K20" s="1099" t="s">
        <v>732</v>
      </c>
      <c r="L20" s="501">
        <v>39</v>
      </c>
      <c r="M20" s="1100" t="s">
        <v>729</v>
      </c>
      <c r="Q20" s="565"/>
    </row>
    <row r="21" spans="1:17" s="706" customFormat="1" ht="12" customHeight="1" x14ac:dyDescent="0.2">
      <c r="A21" s="497" t="s">
        <v>486</v>
      </c>
      <c r="B21" s="746"/>
      <c r="C21" s="548"/>
      <c r="D21" s="547">
        <v>10</v>
      </c>
      <c r="E21" s="1112" t="s">
        <v>721</v>
      </c>
      <c r="F21" s="1106">
        <v>440</v>
      </c>
      <c r="G21" s="1107" t="s">
        <v>725</v>
      </c>
      <c r="H21" s="747"/>
      <c r="I21" s="548"/>
      <c r="J21" s="547">
        <v>440</v>
      </c>
      <c r="K21" s="1099" t="s">
        <v>720</v>
      </c>
      <c r="L21" s="501">
        <v>440</v>
      </c>
      <c r="M21" s="1100" t="s">
        <v>720</v>
      </c>
      <c r="Q21" s="565"/>
    </row>
    <row r="22" spans="1:17" s="706" customFormat="1" ht="12" customHeight="1" x14ac:dyDescent="0.2">
      <c r="A22" s="497" t="s">
        <v>487</v>
      </c>
      <c r="B22" s="746"/>
      <c r="C22" s="548"/>
      <c r="D22" s="547">
        <v>20</v>
      </c>
      <c r="E22" s="1112" t="s">
        <v>721</v>
      </c>
      <c r="F22" s="1106">
        <v>640</v>
      </c>
      <c r="G22" s="1107" t="s">
        <v>725</v>
      </c>
      <c r="H22" s="747"/>
      <c r="I22" s="548"/>
      <c r="J22" s="547">
        <v>640</v>
      </c>
      <c r="K22" s="1099" t="s">
        <v>720</v>
      </c>
      <c r="L22" s="501">
        <v>640</v>
      </c>
      <c r="M22" s="1100" t="s">
        <v>720</v>
      </c>
      <c r="Q22" s="565"/>
    </row>
    <row r="23" spans="1:17" s="706" customFormat="1" ht="12" customHeight="1" x14ac:dyDescent="0.2">
      <c r="A23" s="497" t="s">
        <v>488</v>
      </c>
      <c r="B23" s="746"/>
      <c r="C23" s="548"/>
      <c r="D23" s="547"/>
      <c r="E23" s="1105"/>
      <c r="F23" s="1106"/>
      <c r="G23" s="1107"/>
      <c r="H23" s="747"/>
      <c r="I23" s="548"/>
      <c r="J23" s="547"/>
      <c r="K23" s="1099"/>
      <c r="L23" s="501"/>
      <c r="M23" s="1100"/>
      <c r="Q23" s="565"/>
    </row>
    <row r="24" spans="1:17" s="706" customFormat="1" ht="12" customHeight="1" x14ac:dyDescent="0.2">
      <c r="A24" s="497" t="s">
        <v>489</v>
      </c>
      <c r="B24" s="746"/>
      <c r="C24" s="548"/>
      <c r="D24" s="547"/>
      <c r="E24" s="1105"/>
      <c r="F24" s="1106"/>
      <c r="G24" s="1107"/>
      <c r="H24" s="747"/>
      <c r="I24" s="548"/>
      <c r="J24" s="547"/>
      <c r="K24" s="1099"/>
      <c r="L24" s="501"/>
      <c r="M24" s="1100"/>
      <c r="Q24" s="565"/>
    </row>
    <row r="25" spans="1:17" s="706" customFormat="1" ht="12" customHeight="1" x14ac:dyDescent="0.2">
      <c r="A25" s="497" t="s">
        <v>490</v>
      </c>
      <c r="B25" s="746"/>
      <c r="C25" s="548"/>
      <c r="D25" s="547"/>
      <c r="E25" s="1105"/>
      <c r="F25" s="1106"/>
      <c r="G25" s="1107"/>
      <c r="H25" s="747"/>
      <c r="I25" s="548"/>
      <c r="J25" s="547"/>
      <c r="K25" s="1099"/>
      <c r="L25" s="501"/>
      <c r="M25" s="1100"/>
      <c r="Q25" s="565"/>
    </row>
    <row r="26" spans="1:17" s="1113" customFormat="1" ht="12" customHeight="1" x14ac:dyDescent="0.2">
      <c r="A26" s="497" t="s">
        <v>491</v>
      </c>
      <c r="B26" s="746"/>
      <c r="C26" s="548"/>
      <c r="D26" s="547"/>
      <c r="E26" s="1105"/>
      <c r="F26" s="1106"/>
      <c r="G26" s="1107"/>
      <c r="H26" s="747"/>
      <c r="I26" s="548"/>
      <c r="J26" s="547"/>
      <c r="K26" s="1099"/>
      <c r="L26" s="501"/>
      <c r="M26" s="1100"/>
      <c r="Q26" s="1114"/>
    </row>
    <row r="27" spans="1:17" s="1113" customFormat="1" ht="12" customHeight="1" x14ac:dyDescent="0.2">
      <c r="A27" s="497" t="s">
        <v>492</v>
      </c>
      <c r="B27" s="1103"/>
      <c r="C27" s="1104"/>
      <c r="D27" s="1109">
        <v>2600</v>
      </c>
      <c r="E27" s="1112" t="s">
        <v>733</v>
      </c>
      <c r="F27" s="1115">
        <v>108000</v>
      </c>
      <c r="G27" s="1116" t="s">
        <v>733</v>
      </c>
      <c r="H27" s="1111"/>
      <c r="I27" s="1104"/>
      <c r="J27" s="1109">
        <v>260</v>
      </c>
      <c r="K27" s="1102" t="s">
        <v>734</v>
      </c>
      <c r="L27" s="1117">
        <v>10800</v>
      </c>
      <c r="M27" s="1100" t="s">
        <v>735</v>
      </c>
      <c r="Q27" s="1114"/>
    </row>
    <row r="28" spans="1:17" s="1113" customFormat="1" ht="12" customHeight="1" x14ac:dyDescent="0.2">
      <c r="A28" s="497" t="s">
        <v>493</v>
      </c>
      <c r="B28" s="1118"/>
      <c r="C28" s="1119"/>
      <c r="D28" s="1120">
        <v>100000</v>
      </c>
      <c r="E28" s="1121" t="s">
        <v>736</v>
      </c>
      <c r="F28" s="1122">
        <v>100000</v>
      </c>
      <c r="G28" s="1123" t="s">
        <v>737</v>
      </c>
      <c r="H28" s="1124"/>
      <c r="I28" s="1119"/>
      <c r="J28" s="1125">
        <v>10000</v>
      </c>
      <c r="K28" s="1126" t="s">
        <v>734</v>
      </c>
      <c r="L28" s="1127">
        <v>10000</v>
      </c>
      <c r="M28" s="1128" t="s">
        <v>735</v>
      </c>
      <c r="Q28" s="1114"/>
    </row>
    <row r="29" spans="1:17" s="1113" customFormat="1" ht="12" customHeight="1" x14ac:dyDescent="0.2">
      <c r="A29" s="497" t="s">
        <v>494</v>
      </c>
      <c r="B29" s="1118"/>
      <c r="C29" s="1119"/>
      <c r="D29" s="1125"/>
      <c r="E29" s="1129"/>
      <c r="F29" s="1130"/>
      <c r="G29" s="1131"/>
      <c r="H29" s="1127"/>
      <c r="I29" s="1119"/>
      <c r="J29" s="1125"/>
      <c r="K29" s="1126"/>
      <c r="L29" s="1127"/>
      <c r="M29" s="1128"/>
      <c r="Q29" s="1114"/>
    </row>
    <row r="30" spans="1:17" s="1113" customFormat="1" ht="12" customHeight="1" x14ac:dyDescent="0.2">
      <c r="A30" s="497" t="s">
        <v>495</v>
      </c>
      <c r="B30" s="1118"/>
      <c r="C30" s="1119"/>
      <c r="D30" s="1125">
        <v>6.7</v>
      </c>
      <c r="E30" s="1107" t="s">
        <v>725</v>
      </c>
      <c r="F30" s="1130">
        <v>60</v>
      </c>
      <c r="G30" s="1107" t="s">
        <v>725</v>
      </c>
      <c r="H30" s="1127"/>
      <c r="I30" s="1119"/>
      <c r="J30" s="1125"/>
      <c r="K30" s="1126"/>
      <c r="L30" s="1127"/>
      <c r="M30" s="1128"/>
      <c r="Q30" s="1114"/>
    </row>
    <row r="31" spans="1:17" s="1113" customFormat="1" ht="12" customHeight="1" thickBot="1" x14ac:dyDescent="0.25">
      <c r="A31" s="507" t="s">
        <v>496</v>
      </c>
      <c r="B31" s="1132"/>
      <c r="C31" s="1133"/>
      <c r="D31" s="1134"/>
      <c r="E31" s="1135"/>
      <c r="F31" s="1134"/>
      <c r="G31" s="1136"/>
      <c r="H31" s="1137"/>
      <c r="I31" s="1133"/>
      <c r="J31" s="1134"/>
      <c r="K31" s="1135"/>
      <c r="L31" s="1137"/>
      <c r="M31" s="1138"/>
      <c r="Q31" s="1114"/>
    </row>
    <row r="32" spans="1:17" ht="11.25" customHeight="1" thickTop="1" x14ac:dyDescent="0.2">
      <c r="A32" s="697" t="s">
        <v>238</v>
      </c>
      <c r="B32" s="1139"/>
      <c r="C32" s="1140"/>
      <c r="D32" s="1139"/>
      <c r="E32" s="1140"/>
      <c r="F32" s="1139"/>
      <c r="G32" s="1140"/>
      <c r="H32" s="1139"/>
      <c r="I32" s="1140"/>
      <c r="J32" s="1141"/>
      <c r="K32" s="1141"/>
      <c r="L32" s="1141"/>
      <c r="M32" s="1142"/>
      <c r="N32" s="517"/>
      <c r="O32" s="517"/>
      <c r="Q32" s="517"/>
    </row>
    <row r="33" spans="1:17" ht="15.6" customHeight="1" x14ac:dyDescent="0.2">
      <c r="A33" s="1522" t="s">
        <v>738</v>
      </c>
      <c r="B33" s="1573"/>
      <c r="C33" s="1573"/>
      <c r="D33" s="1573"/>
      <c r="E33" s="1573"/>
      <c r="F33" s="1523"/>
      <c r="G33" s="1523"/>
      <c r="H33" s="1523"/>
      <c r="I33" s="1523"/>
      <c r="J33" s="517"/>
      <c r="K33" s="517"/>
      <c r="L33" s="517"/>
      <c r="M33" s="561"/>
      <c r="N33" s="517"/>
      <c r="O33" s="517"/>
      <c r="Q33" s="517"/>
    </row>
    <row r="34" spans="1:17" ht="11.45" customHeight="1" x14ac:dyDescent="0.2">
      <c r="A34" s="1143" t="s">
        <v>739</v>
      </c>
      <c r="B34" s="1144"/>
      <c r="C34" s="921"/>
      <c r="D34" s="921"/>
      <c r="E34" s="921"/>
      <c r="F34" s="469"/>
      <c r="G34" s="517"/>
      <c r="H34" s="517"/>
      <c r="I34" s="517"/>
      <c r="J34" s="517"/>
      <c r="K34" s="517"/>
      <c r="L34" s="517"/>
      <c r="M34" s="561"/>
      <c r="N34" s="517"/>
      <c r="O34" s="517"/>
      <c r="Q34" s="517"/>
    </row>
    <row r="35" spans="1:17" ht="15" customHeight="1" x14ac:dyDescent="0.2">
      <c r="A35" s="1522" t="s">
        <v>740</v>
      </c>
      <c r="B35" s="1523"/>
      <c r="C35" s="1523"/>
      <c r="D35" s="1523"/>
      <c r="E35" s="1523"/>
      <c r="F35" s="1523"/>
      <c r="G35" s="1523"/>
      <c r="H35" s="1523"/>
      <c r="I35" s="1523"/>
      <c r="J35" s="517"/>
      <c r="K35" s="517"/>
      <c r="L35" s="517"/>
      <c r="M35" s="561"/>
      <c r="N35" s="517"/>
      <c r="O35" s="517"/>
      <c r="Q35" s="517"/>
    </row>
    <row r="36" spans="1:17" ht="24.75" customHeight="1" x14ac:dyDescent="0.2">
      <c r="A36" s="1522" t="s">
        <v>741</v>
      </c>
      <c r="B36" s="1523"/>
      <c r="C36" s="1523"/>
      <c r="D36" s="1523"/>
      <c r="E36" s="1523"/>
      <c r="F36" s="1523"/>
      <c r="G36" s="1523"/>
      <c r="H36" s="1523"/>
      <c r="I36" s="1523"/>
      <c r="J36" s="921"/>
      <c r="K36" s="921"/>
      <c r="L36" s="921"/>
      <c r="M36" s="1145"/>
    </row>
    <row r="37" spans="1:17" ht="11.25" customHeight="1" x14ac:dyDescent="0.2">
      <c r="A37" s="1526" t="s">
        <v>742</v>
      </c>
      <c r="B37" s="1523"/>
      <c r="C37" s="1523"/>
      <c r="D37" s="1523"/>
      <c r="E37" s="1523"/>
      <c r="F37" s="1523"/>
      <c r="G37" s="1523"/>
      <c r="H37" s="1523"/>
      <c r="I37" s="1523"/>
      <c r="M37" s="1146"/>
    </row>
    <row r="38" spans="1:17" ht="11.25" customHeight="1" x14ac:dyDescent="0.2">
      <c r="A38" s="1526" t="s">
        <v>743</v>
      </c>
      <c r="B38" s="1523"/>
      <c r="C38" s="1523"/>
      <c r="D38" s="1523"/>
      <c r="E38" s="1523"/>
      <c r="F38" s="1523"/>
      <c r="G38" s="1523"/>
      <c r="H38" s="1523"/>
      <c r="I38" s="1523"/>
      <c r="M38" s="1146"/>
    </row>
    <row r="39" spans="1:17" ht="11.25" customHeight="1" x14ac:dyDescent="0.2">
      <c r="A39" s="1526" t="s">
        <v>744</v>
      </c>
      <c r="B39" s="1523"/>
      <c r="C39" s="1523"/>
      <c r="D39" s="1523"/>
      <c r="E39" s="1523"/>
      <c r="F39" s="1523"/>
      <c r="G39" s="1523"/>
      <c r="H39" s="1523"/>
      <c r="I39" s="1523"/>
      <c r="J39" s="1523"/>
      <c r="K39" s="1523"/>
      <c r="L39" s="1523"/>
      <c r="M39" s="1524"/>
    </row>
    <row r="40" spans="1:17" ht="11.25" customHeight="1" x14ac:dyDescent="0.2">
      <c r="A40" s="1526" t="s">
        <v>745</v>
      </c>
      <c r="B40" s="1523"/>
      <c r="C40" s="1523"/>
      <c r="D40" s="1523"/>
      <c r="E40" s="1523"/>
      <c r="F40" s="1523"/>
      <c r="G40" s="1523"/>
      <c r="H40" s="1523"/>
      <c r="I40" s="1523"/>
      <c r="J40" s="1523"/>
      <c r="K40" s="1523"/>
      <c r="L40" s="1523"/>
      <c r="M40" s="1524"/>
    </row>
    <row r="41" spans="1:17" ht="11.25" customHeight="1" x14ac:dyDescent="0.2">
      <c r="A41" s="514" t="s">
        <v>238</v>
      </c>
      <c r="C41" s="770"/>
      <c r="E41" s="770"/>
      <c r="G41" s="770"/>
      <c r="I41" s="770"/>
      <c r="J41" s="517"/>
      <c r="K41" s="517"/>
      <c r="L41" s="517"/>
      <c r="M41" s="561"/>
      <c r="N41" s="517"/>
      <c r="O41" s="517"/>
      <c r="Q41" s="517"/>
    </row>
    <row r="42" spans="1:17" ht="11.25" customHeight="1" x14ac:dyDescent="0.2">
      <c r="A42" s="521" t="s">
        <v>746</v>
      </c>
      <c r="C42" s="770"/>
      <c r="E42" s="770"/>
      <c r="G42" s="770"/>
      <c r="I42" s="770"/>
      <c r="J42" s="517"/>
      <c r="K42" s="517"/>
      <c r="L42" s="517"/>
      <c r="M42" s="561"/>
      <c r="N42" s="517"/>
      <c r="O42" s="517"/>
      <c r="Q42" s="517"/>
    </row>
    <row r="43" spans="1:17" ht="11.25" customHeight="1" x14ac:dyDescent="0.2">
      <c r="A43" s="521" t="s">
        <v>747</v>
      </c>
      <c r="C43" s="770"/>
      <c r="E43" s="770"/>
      <c r="G43" s="770"/>
      <c r="I43" s="770"/>
      <c r="J43" s="517"/>
      <c r="K43" s="517"/>
      <c r="L43" s="517"/>
      <c r="M43" s="561"/>
      <c r="N43" s="517"/>
      <c r="O43" s="517"/>
      <c r="Q43" s="517"/>
    </row>
    <row r="44" spans="1:17" ht="11.25" customHeight="1" x14ac:dyDescent="0.2">
      <c r="A44" s="521"/>
      <c r="C44" s="770"/>
      <c r="E44" s="770"/>
      <c r="G44" s="770"/>
      <c r="I44" s="770"/>
      <c r="J44" s="517"/>
      <c r="K44" s="517"/>
      <c r="L44" s="517"/>
      <c r="M44" s="561"/>
      <c r="N44" s="517"/>
      <c r="O44" s="517"/>
      <c r="Q44" s="517"/>
    </row>
    <row r="45" spans="1:17" ht="11.25" customHeight="1" x14ac:dyDescent="0.2">
      <c r="A45" s="521" t="s">
        <v>748</v>
      </c>
      <c r="C45" s="770"/>
      <c r="E45" s="770"/>
      <c r="G45" s="770"/>
      <c r="I45" s="770"/>
      <c r="J45" s="517"/>
      <c r="K45" s="517"/>
      <c r="L45" s="517"/>
      <c r="M45" s="561"/>
      <c r="N45" s="517"/>
      <c r="O45" s="517"/>
      <c r="Q45" s="517"/>
    </row>
    <row r="46" spans="1:17" ht="11.25" customHeight="1" x14ac:dyDescent="0.2">
      <c r="A46" s="521" t="s">
        <v>749</v>
      </c>
      <c r="C46" s="770"/>
      <c r="E46" s="770"/>
      <c r="G46" s="770"/>
      <c r="I46" s="770"/>
      <c r="J46" s="517"/>
      <c r="K46" s="517"/>
      <c r="L46" s="517"/>
      <c r="M46" s="561"/>
      <c r="N46" s="517"/>
      <c r="O46" s="517"/>
      <c r="Q46" s="517"/>
    </row>
    <row r="47" spans="1:17" ht="11.25" customHeight="1" x14ac:dyDescent="0.2">
      <c r="A47" s="521" t="s">
        <v>750</v>
      </c>
      <c r="C47" s="770"/>
      <c r="E47" s="770"/>
      <c r="G47" s="770"/>
      <c r="I47" s="770"/>
      <c r="J47" s="517"/>
      <c r="K47" s="517"/>
      <c r="L47" s="517"/>
      <c r="M47" s="561"/>
      <c r="N47" s="517"/>
      <c r="O47" s="517"/>
      <c r="Q47" s="517"/>
    </row>
    <row r="48" spans="1:17" ht="11.25" customHeight="1" x14ac:dyDescent="0.2">
      <c r="A48" s="521" t="s">
        <v>751</v>
      </c>
      <c r="C48" s="770"/>
      <c r="E48" s="770"/>
      <c r="G48" s="770"/>
      <c r="I48" s="770"/>
      <c r="J48" s="517"/>
      <c r="K48" s="517"/>
      <c r="L48" s="517"/>
      <c r="M48" s="561"/>
      <c r="N48" s="517"/>
      <c r="O48" s="517"/>
      <c r="Q48" s="517"/>
    </row>
    <row r="49" spans="1:17" ht="11.25" customHeight="1" x14ac:dyDescent="0.2">
      <c r="A49" s="521" t="s">
        <v>752</v>
      </c>
      <c r="C49" s="770"/>
      <c r="E49" s="770"/>
      <c r="G49" s="770"/>
      <c r="I49" s="770"/>
      <c r="J49" s="517"/>
      <c r="K49" s="517"/>
      <c r="L49" s="517"/>
      <c r="M49" s="561"/>
      <c r="N49" s="517"/>
      <c r="O49" s="517"/>
      <c r="Q49" s="517"/>
    </row>
    <row r="50" spans="1:17" ht="11.25" customHeight="1" x14ac:dyDescent="0.2">
      <c r="A50" s="521" t="s">
        <v>753</v>
      </c>
      <c r="C50" s="770"/>
      <c r="E50" s="770"/>
      <c r="G50" s="770"/>
      <c r="I50" s="770"/>
      <c r="J50" s="517"/>
      <c r="K50" s="517"/>
      <c r="L50" s="517"/>
      <c r="M50" s="561"/>
      <c r="N50" s="517"/>
      <c r="O50" s="517"/>
      <c r="Q50" s="517"/>
    </row>
    <row r="51" spans="1:17" ht="11.25" customHeight="1" thickBot="1" x14ac:dyDescent="0.25">
      <c r="A51" s="849"/>
      <c r="B51" s="786"/>
      <c r="C51" s="1147"/>
      <c r="D51" s="786"/>
      <c r="E51" s="1147"/>
      <c r="F51" s="786"/>
      <c r="G51" s="1147"/>
      <c r="H51" s="786"/>
      <c r="I51" s="1147"/>
      <c r="J51" s="850"/>
      <c r="K51" s="850"/>
      <c r="L51" s="850"/>
      <c r="M51" s="1059"/>
      <c r="N51" s="517"/>
      <c r="O51" s="517"/>
      <c r="Q51" s="517"/>
    </row>
    <row r="52" spans="1:17" ht="12" thickTop="1" x14ac:dyDescent="0.2">
      <c r="C52" s="770"/>
      <c r="E52" s="770"/>
      <c r="G52" s="770"/>
      <c r="I52" s="770"/>
      <c r="J52" s="517"/>
      <c r="K52" s="517"/>
      <c r="L52" s="517"/>
      <c r="M52" s="517"/>
      <c r="N52" s="517"/>
      <c r="O52" s="517"/>
      <c r="Q52" s="517"/>
    </row>
    <row r="53" spans="1:17" ht="11.25" x14ac:dyDescent="0.2">
      <c r="C53" s="770"/>
      <c r="E53" s="770"/>
      <c r="G53" s="770"/>
      <c r="I53" s="770"/>
      <c r="J53" s="517"/>
      <c r="K53" s="517"/>
      <c r="L53" s="517"/>
      <c r="M53" s="517"/>
      <c r="N53" s="517"/>
      <c r="O53" s="517"/>
      <c r="Q53" s="517"/>
    </row>
    <row r="54" spans="1:17" ht="11.25" x14ac:dyDescent="0.2">
      <c r="C54" s="770"/>
      <c r="E54" s="770"/>
      <c r="G54" s="770"/>
      <c r="I54" s="770"/>
      <c r="J54" s="517"/>
      <c r="K54" s="517"/>
      <c r="L54" s="517"/>
      <c r="M54" s="517"/>
      <c r="N54" s="517"/>
      <c r="O54" s="517"/>
      <c r="Q54" s="517"/>
    </row>
  </sheetData>
  <sheetProtection algorithmName="SHA-512" hashValue="6x8FiG/JPe2SUE/fFkloj2q+Amv2vQV0YnKV+bxUxlqVgd5dgKFm4pe4gX/fjXRtU/F6Q/54oo6amaUCauAKng==" saltValue="Oimpew5e8XHN3qsWwBNUWg==" spinCount="100000" sheet="1" objects="1" scenarios="1"/>
  <mergeCells count="9">
    <mergeCell ref="A40:M40"/>
    <mergeCell ref="A36:I36"/>
    <mergeCell ref="A37:I37"/>
    <mergeCell ref="A38:I38"/>
    <mergeCell ref="B4:G4"/>
    <mergeCell ref="H4:M4"/>
    <mergeCell ref="A33:I33"/>
    <mergeCell ref="A35:I35"/>
    <mergeCell ref="A39:M39"/>
  </mergeCells>
  <phoneticPr fontId="0" type="noConversion"/>
  <printOptions horizontalCentered="1"/>
  <pageMargins left="0.15748031496063" right="0.15748031496063" top="0.511811023622047" bottom="0.98425196850393704" header="0.511811023622047" footer="0.511811023622047"/>
  <pageSetup scale="50" orientation="landscape" r:id="rId1"/>
  <headerFooter alignWithMargins="0">
    <oddFooter>&amp;LHawai'i DOH
PFASs November 2024&amp;C&amp;8Page &amp;P of &amp;N&amp;R&amp;A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indexed="29"/>
    <pageSetUpPr fitToPage="1"/>
  </sheetPr>
  <dimension ref="A1:K37"/>
  <sheetViews>
    <sheetView zoomScaleNormal="100" workbookViewId="0">
      <selection activeCell="F24" sqref="F24"/>
    </sheetView>
  </sheetViews>
  <sheetFormatPr defaultColWidth="9.140625" defaultRowHeight="11.25" x14ac:dyDescent="0.2"/>
  <cols>
    <col min="1" max="1" width="50.5703125" style="517" customWidth="1"/>
    <col min="2" max="2" width="14.5703125" style="505" customWidth="1"/>
    <col min="3" max="4" width="15.5703125" style="505" customWidth="1"/>
    <col min="5" max="5" width="15.5703125" style="515" customWidth="1"/>
    <col min="6" max="6" width="10.5703125" style="517" customWidth="1"/>
    <col min="7" max="7" width="10.5703125" style="470" customWidth="1"/>
    <col min="8" max="8" width="15.5703125" style="517" customWidth="1"/>
    <col min="9" max="10" width="10.5703125" style="517" customWidth="1"/>
    <col min="11" max="11" width="15.5703125" style="781" customWidth="1"/>
    <col min="12" max="13" width="10.42578125" style="517" customWidth="1"/>
    <col min="14" max="16384" width="9.140625" style="517"/>
  </cols>
  <sheetData>
    <row r="1" spans="1:11" s="1055" customFormat="1" ht="47.25" x14ac:dyDescent="0.25">
      <c r="A1" s="566" t="s">
        <v>754</v>
      </c>
      <c r="B1" s="972"/>
      <c r="C1" s="972"/>
      <c r="D1" s="972"/>
      <c r="E1" s="972"/>
      <c r="F1" s="566"/>
      <c r="G1" s="471"/>
      <c r="H1" s="989"/>
      <c r="I1" s="989"/>
      <c r="J1" s="989"/>
      <c r="K1" s="989"/>
    </row>
    <row r="2" spans="1:11" s="1055" customFormat="1" ht="15.75" thickBot="1" x14ac:dyDescent="0.3">
      <c r="A2" s="1056"/>
      <c r="B2" s="1060"/>
      <c r="C2" s="1060"/>
      <c r="D2" s="1060"/>
      <c r="E2" s="1061"/>
      <c r="F2" s="1056"/>
      <c r="G2" s="1062"/>
    </row>
    <row r="3" spans="1:11" s="706" customFormat="1" ht="14.25" thickTop="1" thickBot="1" x14ac:dyDescent="0.25">
      <c r="A3" s="989"/>
      <c r="B3" s="1605" t="s">
        <v>685</v>
      </c>
      <c r="C3" s="1606"/>
      <c r="D3" s="1607" t="s">
        <v>686</v>
      </c>
      <c r="E3" s="1608"/>
      <c r="F3" s="1609" t="s">
        <v>685</v>
      </c>
      <c r="G3" s="1610"/>
      <c r="H3" s="1611"/>
      <c r="I3" s="1612" t="s">
        <v>686</v>
      </c>
      <c r="J3" s="1613"/>
      <c r="K3" s="1614"/>
    </row>
    <row r="4" spans="1:11" s="706" customFormat="1" ht="15" customHeight="1" thickTop="1" thickBot="1" x14ac:dyDescent="0.25">
      <c r="A4" s="991" t="s">
        <v>624</v>
      </c>
      <c r="B4" s="1063" t="s">
        <v>755</v>
      </c>
      <c r="C4" s="1064" t="s">
        <v>405</v>
      </c>
      <c r="D4" s="1065" t="s">
        <v>755</v>
      </c>
      <c r="E4" s="1066" t="s">
        <v>405</v>
      </c>
      <c r="F4" s="1067" t="s">
        <v>756</v>
      </c>
      <c r="G4" s="1068" t="s">
        <v>757</v>
      </c>
      <c r="H4" s="1069" t="s">
        <v>758</v>
      </c>
      <c r="I4" s="1070" t="s">
        <v>756</v>
      </c>
      <c r="J4" s="1071" t="s">
        <v>757</v>
      </c>
      <c r="K4" s="1072" t="s">
        <v>758</v>
      </c>
    </row>
    <row r="5" spans="1:11" s="706" customFormat="1" ht="12" customHeight="1" x14ac:dyDescent="0.2">
      <c r="A5" s="490" t="s">
        <v>472</v>
      </c>
      <c r="B5" s="743" t="s">
        <v>240</v>
      </c>
      <c r="C5" s="996" t="s">
        <v>240</v>
      </c>
      <c r="D5" s="743" t="s">
        <v>240</v>
      </c>
      <c r="E5" s="495" t="s">
        <v>240</v>
      </c>
      <c r="F5" s="547"/>
      <c r="G5" s="747"/>
      <c r="H5" s="1073"/>
      <c r="I5" s="1074"/>
      <c r="J5" s="1075"/>
      <c r="K5" s="1076"/>
    </row>
    <row r="6" spans="1:11" s="706" customFormat="1" ht="12" customHeight="1" x14ac:dyDescent="0.2">
      <c r="A6" s="497" t="s">
        <v>473</v>
      </c>
      <c r="B6" s="746" t="s">
        <v>240</v>
      </c>
      <c r="C6" s="997" t="s">
        <v>240</v>
      </c>
      <c r="D6" s="746" t="s">
        <v>240</v>
      </c>
      <c r="E6" s="502" t="s">
        <v>240</v>
      </c>
      <c r="F6" s="547"/>
      <c r="G6" s="747"/>
      <c r="H6" s="1077"/>
      <c r="I6" s="547"/>
      <c r="J6" s="836"/>
      <c r="K6" s="1078"/>
    </row>
    <row r="7" spans="1:11" s="706" customFormat="1" ht="12" customHeight="1" x14ac:dyDescent="0.2">
      <c r="A7" s="497" t="s">
        <v>474</v>
      </c>
      <c r="B7" s="746" t="s">
        <v>240</v>
      </c>
      <c r="C7" s="997" t="s">
        <v>240</v>
      </c>
      <c r="D7" s="746" t="s">
        <v>240</v>
      </c>
      <c r="E7" s="502" t="s">
        <v>240</v>
      </c>
      <c r="F7" s="547"/>
      <c r="G7" s="747"/>
      <c r="H7" s="1077"/>
      <c r="I7" s="547"/>
      <c r="J7" s="836"/>
      <c r="K7" s="1078"/>
    </row>
    <row r="8" spans="1:11" s="706" customFormat="1" ht="12" customHeight="1" x14ac:dyDescent="0.2">
      <c r="A8" s="497" t="s">
        <v>475</v>
      </c>
      <c r="B8" s="746">
        <v>2.3000000000000001E-4</v>
      </c>
      <c r="C8" s="997" t="s">
        <v>1132</v>
      </c>
      <c r="D8" s="746">
        <v>0.28999999999999998</v>
      </c>
      <c r="E8" s="502" t="s">
        <v>1132</v>
      </c>
      <c r="F8" s="547">
        <v>2.3000000000000001E-4</v>
      </c>
      <c r="G8" s="747"/>
      <c r="H8" s="1077"/>
      <c r="I8" s="547">
        <v>0.28999999999999998</v>
      </c>
      <c r="J8" s="836"/>
      <c r="K8" s="1078"/>
    </row>
    <row r="9" spans="1:11" s="706" customFormat="1" ht="12" customHeight="1" x14ac:dyDescent="0.2">
      <c r="A9" s="497" t="s">
        <v>476</v>
      </c>
      <c r="B9" s="746" t="s">
        <v>240</v>
      </c>
      <c r="C9" s="997" t="s">
        <v>240</v>
      </c>
      <c r="D9" s="746" t="s">
        <v>240</v>
      </c>
      <c r="E9" s="502" t="s">
        <v>240</v>
      </c>
      <c r="F9" s="547"/>
      <c r="G9" s="747"/>
      <c r="H9" s="1077"/>
      <c r="I9" s="547"/>
      <c r="J9" s="836"/>
      <c r="K9" s="1078"/>
    </row>
    <row r="10" spans="1:11" s="706" customFormat="1" ht="12" customHeight="1" x14ac:dyDescent="0.2">
      <c r="A10" s="497" t="s">
        <v>477</v>
      </c>
      <c r="B10" s="746" t="s">
        <v>240</v>
      </c>
      <c r="C10" s="997" t="s">
        <v>240</v>
      </c>
      <c r="D10" s="746" t="s">
        <v>240</v>
      </c>
      <c r="E10" s="502" t="s">
        <v>240</v>
      </c>
      <c r="F10" s="547"/>
      <c r="G10" s="747"/>
      <c r="H10" s="1077"/>
      <c r="I10" s="547"/>
      <c r="J10" s="836"/>
      <c r="K10" s="1078"/>
    </row>
    <row r="11" spans="1:11" s="706" customFormat="1" ht="12" customHeight="1" x14ac:dyDescent="0.2">
      <c r="A11" s="497" t="s">
        <v>200</v>
      </c>
      <c r="B11" s="746" t="s">
        <v>240</v>
      </c>
      <c r="C11" s="997" t="s">
        <v>240</v>
      </c>
      <c r="D11" s="746" t="s">
        <v>240</v>
      </c>
      <c r="E11" s="502" t="s">
        <v>240</v>
      </c>
      <c r="F11" s="547"/>
      <c r="G11" s="747"/>
      <c r="H11" s="1077"/>
      <c r="I11" s="547"/>
      <c r="J11" s="836"/>
      <c r="K11" s="1078"/>
    </row>
    <row r="12" spans="1:11" s="706" customFormat="1" ht="12" customHeight="1" x14ac:dyDescent="0.2">
      <c r="A12" s="497" t="s">
        <v>478</v>
      </c>
      <c r="B12" s="746" t="s">
        <v>240</v>
      </c>
      <c r="C12" s="997" t="s">
        <v>240</v>
      </c>
      <c r="D12" s="746" t="s">
        <v>240</v>
      </c>
      <c r="E12" s="502" t="s">
        <v>240</v>
      </c>
      <c r="F12" s="547"/>
      <c r="G12" s="747"/>
      <c r="H12" s="1077"/>
      <c r="I12" s="547"/>
      <c r="J12" s="836"/>
      <c r="K12" s="1078"/>
    </row>
    <row r="13" spans="1:11" s="706" customFormat="1" ht="12" customHeight="1" x14ac:dyDescent="0.2">
      <c r="A13" s="497" t="s">
        <v>479</v>
      </c>
      <c r="B13" s="746" t="s">
        <v>240</v>
      </c>
      <c r="C13" s="997" t="s">
        <v>240</v>
      </c>
      <c r="D13" s="746" t="s">
        <v>240</v>
      </c>
      <c r="E13" s="502" t="s">
        <v>240</v>
      </c>
      <c r="F13" s="547"/>
      <c r="G13" s="747"/>
      <c r="H13" s="1077"/>
      <c r="I13" s="547"/>
      <c r="J13" s="836"/>
      <c r="K13" s="1078"/>
    </row>
    <row r="14" spans="1:11" s="706" customFormat="1" ht="12" customHeight="1" x14ac:dyDescent="0.2">
      <c r="A14" s="497" t="s">
        <v>480</v>
      </c>
      <c r="B14" s="746" t="s">
        <v>240</v>
      </c>
      <c r="C14" s="997" t="s">
        <v>240</v>
      </c>
      <c r="D14" s="746" t="s">
        <v>240</v>
      </c>
      <c r="E14" s="502" t="s">
        <v>240</v>
      </c>
      <c r="F14" s="547"/>
      <c r="G14" s="747"/>
      <c r="H14" s="1077"/>
      <c r="I14" s="547"/>
      <c r="J14" s="836"/>
      <c r="K14" s="1078"/>
    </row>
    <row r="15" spans="1:11" s="706" customFormat="1" ht="12" customHeight="1" x14ac:dyDescent="0.2">
      <c r="A15" s="497" t="s">
        <v>481</v>
      </c>
      <c r="B15" s="746">
        <v>19</v>
      </c>
      <c r="C15" s="997" t="s">
        <v>1132</v>
      </c>
      <c r="D15" s="746">
        <v>3</v>
      </c>
      <c r="E15" s="502" t="s">
        <v>1132</v>
      </c>
      <c r="F15" s="547">
        <v>19</v>
      </c>
      <c r="G15" s="747"/>
      <c r="H15" s="1077"/>
      <c r="I15" s="547">
        <v>3</v>
      </c>
      <c r="J15" s="836"/>
      <c r="K15" s="1078"/>
    </row>
    <row r="16" spans="1:11" s="706" customFormat="1" ht="12" customHeight="1" x14ac:dyDescent="0.2">
      <c r="A16" s="497" t="s">
        <v>482</v>
      </c>
      <c r="B16" s="746" t="s">
        <v>240</v>
      </c>
      <c r="C16" s="997" t="s">
        <v>240</v>
      </c>
      <c r="D16" s="746" t="s">
        <v>240</v>
      </c>
      <c r="E16" s="502" t="s">
        <v>240</v>
      </c>
      <c r="F16" s="547"/>
      <c r="G16" s="747"/>
      <c r="H16" s="1077"/>
      <c r="I16" s="547"/>
      <c r="J16" s="836"/>
      <c r="K16" s="1078"/>
    </row>
    <row r="17" spans="1:11" s="706" customFormat="1" ht="12" customHeight="1" x14ac:dyDescent="0.2">
      <c r="A17" s="497" t="s">
        <v>483</v>
      </c>
      <c r="B17" s="746" t="s">
        <v>240</v>
      </c>
      <c r="C17" s="997" t="s">
        <v>240</v>
      </c>
      <c r="D17" s="746" t="s">
        <v>240</v>
      </c>
      <c r="E17" s="502" t="s">
        <v>240</v>
      </c>
      <c r="F17" s="547"/>
      <c r="G17" s="747"/>
      <c r="H17" s="1077"/>
      <c r="I17" s="547"/>
      <c r="J17" s="836"/>
      <c r="K17" s="1078"/>
    </row>
    <row r="18" spans="1:11" s="706" customFormat="1" ht="12" customHeight="1" x14ac:dyDescent="0.2">
      <c r="A18" s="497" t="s">
        <v>484</v>
      </c>
      <c r="B18" s="746" t="s">
        <v>240</v>
      </c>
      <c r="C18" s="997" t="s">
        <v>240</v>
      </c>
      <c r="D18" s="746" t="s">
        <v>240</v>
      </c>
      <c r="E18" s="502" t="s">
        <v>240</v>
      </c>
      <c r="F18" s="547"/>
      <c r="G18" s="747"/>
      <c r="H18" s="1077"/>
      <c r="I18" s="547"/>
      <c r="J18" s="836"/>
      <c r="K18" s="1078"/>
    </row>
    <row r="19" spans="1:11" s="706" customFormat="1" ht="12" customHeight="1" x14ac:dyDescent="0.2">
      <c r="A19" s="497" t="s">
        <v>485</v>
      </c>
      <c r="B19" s="746" t="s">
        <v>240</v>
      </c>
      <c r="C19" s="997" t="s">
        <v>240</v>
      </c>
      <c r="D19" s="746" t="s">
        <v>240</v>
      </c>
      <c r="E19" s="502" t="s">
        <v>240</v>
      </c>
      <c r="F19" s="547"/>
      <c r="G19" s="747"/>
      <c r="H19" s="1077"/>
      <c r="I19" s="547"/>
      <c r="J19" s="836"/>
      <c r="K19" s="1078"/>
    </row>
    <row r="20" spans="1:11" s="706" customFormat="1" ht="12" customHeight="1" x14ac:dyDescent="0.2">
      <c r="A20" s="497" t="s">
        <v>486</v>
      </c>
      <c r="B20" s="746" t="s">
        <v>240</v>
      </c>
      <c r="C20" s="997" t="s">
        <v>240</v>
      </c>
      <c r="D20" s="746" t="s">
        <v>240</v>
      </c>
      <c r="E20" s="502" t="s">
        <v>240</v>
      </c>
      <c r="F20" s="547"/>
      <c r="G20" s="747"/>
      <c r="H20" s="1077"/>
      <c r="I20" s="547"/>
      <c r="J20" s="836"/>
      <c r="K20" s="1078"/>
    </row>
    <row r="21" spans="1:11" s="706" customFormat="1" ht="12" customHeight="1" x14ac:dyDescent="0.2">
      <c r="A21" s="497" t="s">
        <v>487</v>
      </c>
      <c r="B21" s="746" t="s">
        <v>240</v>
      </c>
      <c r="C21" s="997" t="s">
        <v>240</v>
      </c>
      <c r="D21" s="746" t="s">
        <v>240</v>
      </c>
      <c r="E21" s="502" t="s">
        <v>240</v>
      </c>
      <c r="F21" s="547"/>
      <c r="G21" s="747"/>
      <c r="H21" s="1077"/>
      <c r="I21" s="547"/>
      <c r="J21" s="836"/>
      <c r="K21" s="1078"/>
    </row>
    <row r="22" spans="1:11" s="706" customFormat="1" ht="12" customHeight="1" x14ac:dyDescent="0.2">
      <c r="A22" s="497" t="s">
        <v>488</v>
      </c>
      <c r="B22" s="746" t="s">
        <v>240</v>
      </c>
      <c r="C22" s="997" t="s">
        <v>240</v>
      </c>
      <c r="D22" s="746" t="s">
        <v>240</v>
      </c>
      <c r="E22" s="502" t="s">
        <v>240</v>
      </c>
      <c r="F22" s="547"/>
      <c r="G22" s="747"/>
      <c r="H22" s="1077"/>
      <c r="I22" s="547"/>
      <c r="J22" s="836"/>
      <c r="K22" s="1078"/>
    </row>
    <row r="23" spans="1:11" s="706" customFormat="1" ht="12" customHeight="1" x14ac:dyDescent="0.2">
      <c r="A23" s="497" t="s">
        <v>489</v>
      </c>
      <c r="B23" s="746" t="s">
        <v>240</v>
      </c>
      <c r="C23" s="997" t="s">
        <v>240</v>
      </c>
      <c r="D23" s="746" t="s">
        <v>240</v>
      </c>
      <c r="E23" s="502" t="s">
        <v>240</v>
      </c>
      <c r="F23" s="1079"/>
      <c r="G23" s="1080"/>
      <c r="H23" s="1081"/>
      <c r="I23" s="1079"/>
      <c r="J23" s="838"/>
      <c r="K23" s="1082"/>
    </row>
    <row r="24" spans="1:11" s="706" customFormat="1" ht="12" customHeight="1" x14ac:dyDescent="0.2">
      <c r="A24" s="497" t="s">
        <v>490</v>
      </c>
      <c r="B24" s="746" t="s">
        <v>240</v>
      </c>
      <c r="C24" s="997" t="s">
        <v>240</v>
      </c>
      <c r="D24" s="746" t="s">
        <v>240</v>
      </c>
      <c r="E24" s="502" t="s">
        <v>240</v>
      </c>
      <c r="F24" s="1079"/>
      <c r="G24" s="1080"/>
      <c r="H24" s="1083"/>
      <c r="I24" s="1079"/>
      <c r="J24" s="838"/>
      <c r="K24" s="1082"/>
    </row>
    <row r="25" spans="1:11" ht="12" customHeight="1" x14ac:dyDescent="0.2">
      <c r="A25" s="497" t="s">
        <v>491</v>
      </c>
      <c r="B25" s="746" t="s">
        <v>240</v>
      </c>
      <c r="C25" s="997" t="s">
        <v>240</v>
      </c>
      <c r="D25" s="746" t="s">
        <v>240</v>
      </c>
      <c r="E25" s="502" t="s">
        <v>240</v>
      </c>
      <c r="F25" s="1079"/>
      <c r="G25" s="838"/>
      <c r="H25" s="1083"/>
      <c r="I25" s="1079"/>
      <c r="J25" s="838"/>
      <c r="K25" s="1082"/>
    </row>
    <row r="26" spans="1:11" ht="12" customHeight="1" x14ac:dyDescent="0.2">
      <c r="A26" s="497" t="s">
        <v>492</v>
      </c>
      <c r="B26" s="746" t="s">
        <v>240</v>
      </c>
      <c r="C26" s="997" t="s">
        <v>240</v>
      </c>
      <c r="D26" s="746" t="s">
        <v>240</v>
      </c>
      <c r="E26" s="502" t="s">
        <v>240</v>
      </c>
      <c r="F26" s="1079"/>
      <c r="G26" s="838"/>
      <c r="H26" s="1083"/>
      <c r="I26" s="1079"/>
      <c r="J26" s="838"/>
      <c r="K26" s="1082"/>
    </row>
    <row r="27" spans="1:11" ht="12" customHeight="1" x14ac:dyDescent="0.2">
      <c r="A27" s="497" t="s">
        <v>493</v>
      </c>
      <c r="B27" s="746" t="s">
        <v>240</v>
      </c>
      <c r="C27" s="997" t="s">
        <v>240</v>
      </c>
      <c r="D27" s="746" t="s">
        <v>240</v>
      </c>
      <c r="E27" s="502" t="s">
        <v>240</v>
      </c>
      <c r="F27" s="1079"/>
      <c r="G27" s="838"/>
      <c r="H27" s="1083"/>
      <c r="I27" s="1079"/>
      <c r="J27" s="838"/>
      <c r="K27" s="1082"/>
    </row>
    <row r="28" spans="1:11" ht="12" customHeight="1" x14ac:dyDescent="0.2">
      <c r="A28" s="497" t="s">
        <v>494</v>
      </c>
      <c r="B28" s="746" t="s">
        <v>240</v>
      </c>
      <c r="C28" s="997" t="s">
        <v>240</v>
      </c>
      <c r="D28" s="746" t="s">
        <v>240</v>
      </c>
      <c r="E28" s="502" t="s">
        <v>240</v>
      </c>
      <c r="F28" s="1079"/>
      <c r="G28" s="838"/>
      <c r="H28" s="1083"/>
      <c r="I28" s="1079"/>
      <c r="J28" s="838"/>
      <c r="K28" s="1082"/>
    </row>
    <row r="29" spans="1:11" ht="12" customHeight="1" x14ac:dyDescent="0.2">
      <c r="A29" s="497" t="s">
        <v>495</v>
      </c>
      <c r="B29" s="746" t="s">
        <v>240</v>
      </c>
      <c r="C29" s="997" t="s">
        <v>240</v>
      </c>
      <c r="D29" s="746" t="s">
        <v>240</v>
      </c>
      <c r="E29" s="502" t="s">
        <v>240</v>
      </c>
      <c r="F29" s="1079"/>
      <c r="G29" s="838"/>
      <c r="H29" s="1083"/>
      <c r="I29" s="1079"/>
      <c r="J29" s="838"/>
      <c r="K29" s="1082"/>
    </row>
    <row r="30" spans="1:11" ht="12" customHeight="1" thickBot="1" x14ac:dyDescent="0.25">
      <c r="A30" s="507" t="s">
        <v>496</v>
      </c>
      <c r="B30" s="750" t="s">
        <v>240</v>
      </c>
      <c r="C30" s="998" t="s">
        <v>240</v>
      </c>
      <c r="D30" s="750" t="s">
        <v>240</v>
      </c>
      <c r="E30" s="512" t="s">
        <v>240</v>
      </c>
      <c r="F30" s="1084"/>
      <c r="G30" s="845"/>
      <c r="H30" s="1085"/>
      <c r="I30" s="1084"/>
      <c r="J30" s="845"/>
      <c r="K30" s="1086"/>
    </row>
    <row r="31" spans="1:11" ht="11.25" customHeight="1" thickTop="1" x14ac:dyDescent="0.2">
      <c r="A31" s="514" t="s">
        <v>672</v>
      </c>
      <c r="B31" s="968"/>
      <c r="C31" s="968"/>
      <c r="D31" s="968"/>
      <c r="E31" s="568"/>
      <c r="F31" s="706"/>
      <c r="G31" s="565"/>
      <c r="K31" s="783"/>
    </row>
    <row r="32" spans="1:11" ht="22.5" customHeight="1" x14ac:dyDescent="0.2">
      <c r="A32" s="1526" t="s">
        <v>759</v>
      </c>
      <c r="B32" s="1523"/>
      <c r="C32" s="1523"/>
      <c r="D32" s="1523"/>
      <c r="E32" s="1523"/>
      <c r="F32" s="1523"/>
      <c r="G32" s="1523"/>
      <c r="K32" s="783"/>
    </row>
    <row r="33" spans="1:11" ht="11.25" customHeight="1" x14ac:dyDescent="0.2">
      <c r="A33" s="521" t="s">
        <v>760</v>
      </c>
      <c r="B33" s="517"/>
      <c r="C33" s="517"/>
      <c r="D33" s="517"/>
      <c r="E33" s="781"/>
      <c r="G33" s="517"/>
      <c r="K33" s="783"/>
    </row>
    <row r="34" spans="1:11" ht="11.25" customHeight="1" x14ac:dyDescent="0.2">
      <c r="A34" s="514" t="s">
        <v>238</v>
      </c>
      <c r="B34" s="968"/>
      <c r="C34" s="968"/>
      <c r="D34" s="968"/>
      <c r="E34" s="568"/>
      <c r="F34" s="706"/>
      <c r="G34" s="565"/>
      <c r="K34" s="783"/>
    </row>
    <row r="35" spans="1:11" ht="11.25" customHeight="1" x14ac:dyDescent="0.2">
      <c r="A35" s="521" t="s">
        <v>761</v>
      </c>
      <c r="B35" s="968"/>
      <c r="C35" s="968"/>
      <c r="D35" s="968"/>
      <c r="E35" s="568"/>
      <c r="F35" s="706"/>
      <c r="G35" s="565"/>
      <c r="K35" s="783"/>
    </row>
    <row r="36" spans="1:11" ht="11.25" customHeight="1" thickBot="1" x14ac:dyDescent="0.25">
      <c r="A36" s="849" t="s">
        <v>762</v>
      </c>
      <c r="B36" s="786"/>
      <c r="C36" s="786"/>
      <c r="D36" s="786"/>
      <c r="E36" s="819"/>
      <c r="F36" s="850"/>
      <c r="G36" s="720"/>
      <c r="H36" s="850"/>
      <c r="I36" s="850"/>
      <c r="J36" s="850"/>
      <c r="K36" s="1087"/>
    </row>
    <row r="37" spans="1:11" ht="12" thickTop="1" x14ac:dyDescent="0.2"/>
  </sheetData>
  <sheetProtection algorithmName="SHA-512" hashValue="WeLR9L++bu0KW7CXfOwMDhZpTIEdIDJNH9FEPIxKGGzzSxV4rpzLR44mrwyf0GCYcBAGpRzS8xUsf5sBN5NtCg==" saltValue="+O3FbDzCP3Uo1ol5A879LQ==" spinCount="100000" sheet="1" objects="1" scenarios="1"/>
  <mergeCells count="5">
    <mergeCell ref="A32:G32"/>
    <mergeCell ref="B3:C3"/>
    <mergeCell ref="D3:E3"/>
    <mergeCell ref="F3:H3"/>
    <mergeCell ref="I3:K3"/>
  </mergeCells>
  <phoneticPr fontId="0" type="noConversion"/>
  <printOptions horizontalCentered="1"/>
  <pageMargins left="0.15748031496063" right="0.15748031496063" top="0.511811023622047" bottom="0.98425196850393704" header="0.511811023622047" footer="0.511811023622047"/>
  <pageSetup scale="75" fitToHeight="4" orientation="landscape" r:id="rId1"/>
  <headerFooter alignWithMargins="0">
    <oddFooter>&amp;LHawai'i DOH
PFASs November 2024&amp;C&amp;8Page &amp;P of &amp;N&amp;R&amp;A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indexed="29"/>
  </sheetPr>
  <dimension ref="A1:E37"/>
  <sheetViews>
    <sheetView zoomScaleNormal="100" workbookViewId="0">
      <selection activeCell="F24" sqref="F24"/>
    </sheetView>
  </sheetViews>
  <sheetFormatPr defaultColWidth="9.140625" defaultRowHeight="11.25" x14ac:dyDescent="0.2"/>
  <cols>
    <col min="1" max="1" width="50.5703125" style="517" customWidth="1"/>
    <col min="2" max="2" width="14.7109375" style="517" customWidth="1"/>
    <col min="3" max="4" width="9.140625" style="517"/>
    <col min="5" max="5" width="13.85546875" style="781" customWidth="1"/>
    <col min="6" max="7" width="10.42578125" style="517" customWidth="1"/>
    <col min="8" max="16384" width="9.140625" style="517"/>
  </cols>
  <sheetData>
    <row r="1" spans="1:5" s="1055" customFormat="1" ht="31.5" x14ac:dyDescent="0.25">
      <c r="A1" s="566" t="s">
        <v>763</v>
      </c>
      <c r="B1" s="566"/>
    </row>
    <row r="2" spans="1:5" s="1055" customFormat="1" ht="15" x14ac:dyDescent="0.25">
      <c r="A2" s="1056" t="s">
        <v>639</v>
      </c>
      <c r="B2" s="1056"/>
    </row>
    <row r="3" spans="1:5" s="706" customFormat="1" ht="12" thickBot="1" x14ac:dyDescent="0.25">
      <c r="A3" s="989"/>
      <c r="B3" s="989"/>
      <c r="E3" s="782"/>
    </row>
    <row r="4" spans="1:5" s="706" customFormat="1" ht="35.25" thickTop="1" thickBot="1" x14ac:dyDescent="0.25">
      <c r="A4" s="991" t="s">
        <v>469</v>
      </c>
      <c r="B4" s="1057" t="s">
        <v>764</v>
      </c>
    </row>
    <row r="5" spans="1:5" s="706" customFormat="1" ht="12" customHeight="1" x14ac:dyDescent="0.2">
      <c r="A5" s="490" t="s">
        <v>472</v>
      </c>
      <c r="B5" s="496"/>
    </row>
    <row r="6" spans="1:5" s="706" customFormat="1" ht="12" customHeight="1" x14ac:dyDescent="0.2">
      <c r="A6" s="497" t="s">
        <v>473</v>
      </c>
      <c r="B6" s="503"/>
    </row>
    <row r="7" spans="1:5" s="706" customFormat="1" ht="12" customHeight="1" x14ac:dyDescent="0.2">
      <c r="A7" s="497" t="s">
        <v>474</v>
      </c>
      <c r="B7" s="503"/>
    </row>
    <row r="8" spans="1:5" s="706" customFormat="1" ht="12" customHeight="1" x14ac:dyDescent="0.2">
      <c r="A8" s="497" t="s">
        <v>475</v>
      </c>
      <c r="B8" s="503"/>
    </row>
    <row r="9" spans="1:5" s="706" customFormat="1" ht="12" customHeight="1" x14ac:dyDescent="0.2">
      <c r="A9" s="497" t="s">
        <v>476</v>
      </c>
      <c r="B9" s="503"/>
    </row>
    <row r="10" spans="1:5" s="706" customFormat="1" ht="12" customHeight="1" x14ac:dyDescent="0.2">
      <c r="A10" s="497" t="s">
        <v>477</v>
      </c>
      <c r="B10" s="503"/>
    </row>
    <row r="11" spans="1:5" s="706" customFormat="1" ht="12" customHeight="1" x14ac:dyDescent="0.2">
      <c r="A11" s="497" t="s">
        <v>200</v>
      </c>
      <c r="B11" s="503"/>
    </row>
    <row r="12" spans="1:5" s="706" customFormat="1" ht="12" customHeight="1" x14ac:dyDescent="0.2">
      <c r="A12" s="497" t="s">
        <v>478</v>
      </c>
      <c r="B12" s="503"/>
    </row>
    <row r="13" spans="1:5" s="706" customFormat="1" ht="12" customHeight="1" x14ac:dyDescent="0.2">
      <c r="A13" s="497" t="s">
        <v>479</v>
      </c>
      <c r="B13" s="503"/>
    </row>
    <row r="14" spans="1:5" s="706" customFormat="1" ht="12" customHeight="1" x14ac:dyDescent="0.2">
      <c r="A14" s="497" t="s">
        <v>480</v>
      </c>
      <c r="B14" s="503"/>
    </row>
    <row r="15" spans="1:5" s="706" customFormat="1" ht="12" customHeight="1" x14ac:dyDescent="0.2">
      <c r="A15" s="497" t="s">
        <v>481</v>
      </c>
      <c r="B15" s="503"/>
    </row>
    <row r="16" spans="1:5" s="706" customFormat="1" ht="12" customHeight="1" x14ac:dyDescent="0.2">
      <c r="A16" s="497" t="s">
        <v>482</v>
      </c>
      <c r="B16" s="503"/>
    </row>
    <row r="17" spans="1:2" s="706" customFormat="1" ht="12" customHeight="1" x14ac:dyDescent="0.2">
      <c r="A17" s="497" t="s">
        <v>483</v>
      </c>
      <c r="B17" s="503"/>
    </row>
    <row r="18" spans="1:2" s="706" customFormat="1" ht="12" customHeight="1" x14ac:dyDescent="0.2">
      <c r="A18" s="497" t="s">
        <v>484</v>
      </c>
      <c r="B18" s="503"/>
    </row>
    <row r="19" spans="1:2" s="706" customFormat="1" ht="12" customHeight="1" x14ac:dyDescent="0.2">
      <c r="A19" s="497" t="s">
        <v>485</v>
      </c>
      <c r="B19" s="503"/>
    </row>
    <row r="20" spans="1:2" s="706" customFormat="1" ht="12" customHeight="1" x14ac:dyDescent="0.2">
      <c r="A20" s="497" t="s">
        <v>486</v>
      </c>
      <c r="B20" s="503"/>
    </row>
    <row r="21" spans="1:2" s="706" customFormat="1" ht="12" customHeight="1" x14ac:dyDescent="0.2">
      <c r="A21" s="497" t="s">
        <v>487</v>
      </c>
      <c r="B21" s="503"/>
    </row>
    <row r="22" spans="1:2" s="706" customFormat="1" ht="12" customHeight="1" x14ac:dyDescent="0.2">
      <c r="A22" s="497" t="s">
        <v>488</v>
      </c>
      <c r="B22" s="503"/>
    </row>
    <row r="23" spans="1:2" s="706" customFormat="1" ht="12" customHeight="1" x14ac:dyDescent="0.2">
      <c r="A23" s="497" t="s">
        <v>489</v>
      </c>
      <c r="B23" s="503"/>
    </row>
    <row r="24" spans="1:2" s="706" customFormat="1" ht="12" customHeight="1" x14ac:dyDescent="0.2">
      <c r="A24" s="497" t="s">
        <v>490</v>
      </c>
      <c r="B24" s="503"/>
    </row>
    <row r="25" spans="1:2" s="706" customFormat="1" ht="12" customHeight="1" x14ac:dyDescent="0.2">
      <c r="A25" s="497" t="s">
        <v>491</v>
      </c>
      <c r="B25" s="503"/>
    </row>
    <row r="26" spans="1:2" s="706" customFormat="1" ht="12" customHeight="1" x14ac:dyDescent="0.2">
      <c r="A26" s="497" t="s">
        <v>492</v>
      </c>
      <c r="B26" s="503"/>
    </row>
    <row r="27" spans="1:2" s="706" customFormat="1" ht="12" customHeight="1" x14ac:dyDescent="0.2">
      <c r="A27" s="497" t="s">
        <v>493</v>
      </c>
      <c r="B27" s="503"/>
    </row>
    <row r="28" spans="1:2" s="706" customFormat="1" ht="12" customHeight="1" x14ac:dyDescent="0.2">
      <c r="A28" s="497" t="s">
        <v>494</v>
      </c>
      <c r="B28" s="503"/>
    </row>
    <row r="29" spans="1:2" s="706" customFormat="1" ht="12" customHeight="1" x14ac:dyDescent="0.2">
      <c r="A29" s="497" t="s">
        <v>495</v>
      </c>
      <c r="B29" s="503"/>
    </row>
    <row r="30" spans="1:2" s="706" customFormat="1" ht="12" customHeight="1" thickBot="1" x14ac:dyDescent="0.25">
      <c r="A30" s="507" t="s">
        <v>496</v>
      </c>
      <c r="B30" s="513"/>
    </row>
    <row r="31" spans="1:2" ht="11.25" customHeight="1" thickTop="1" x14ac:dyDescent="0.2">
      <c r="A31" s="514" t="s">
        <v>672</v>
      </c>
      <c r="B31" s="1058"/>
    </row>
    <row r="32" spans="1:2" ht="11.25" customHeight="1" x14ac:dyDescent="0.2">
      <c r="A32" s="1615"/>
      <c r="B32" s="1584"/>
    </row>
    <row r="33" spans="1:2" ht="11.25" customHeight="1" x14ac:dyDescent="0.2">
      <c r="A33" s="1616"/>
      <c r="B33" s="1617"/>
    </row>
    <row r="34" spans="1:2" ht="11.25" customHeight="1" x14ac:dyDescent="0.2">
      <c r="A34" s="514" t="s">
        <v>238</v>
      </c>
      <c r="B34" s="1058"/>
    </row>
    <row r="35" spans="1:2" ht="11.25" customHeight="1" x14ac:dyDescent="0.2">
      <c r="A35" s="521" t="s">
        <v>765</v>
      </c>
      <c r="B35" s="561"/>
    </row>
    <row r="36" spans="1:2" ht="11.25" customHeight="1" thickBot="1" x14ac:dyDescent="0.25">
      <c r="A36" s="849" t="s">
        <v>766</v>
      </c>
      <c r="B36" s="1059"/>
    </row>
    <row r="37" spans="1:2" ht="12" thickTop="1" x14ac:dyDescent="0.2"/>
  </sheetData>
  <sheetProtection algorithmName="SHA-512" hashValue="bjxXPRIyThPKQO6sPIDTsQw534Arc9Mb6ae2zFL7PKtL0qoWymf9Z0eSZkFZvp2kd4MJEXw1tBX+2tcus/NN3w==" saltValue="K9LuZDDXHZLgdAKjIv8eaQ==" spinCount="100000" sheet="1" objects="1" scenarios="1"/>
  <mergeCells count="2">
    <mergeCell ref="A32:B32"/>
    <mergeCell ref="A33:B33"/>
  </mergeCells>
  <phoneticPr fontId="0" type="noConversion"/>
  <printOptions horizontalCentered="1"/>
  <pageMargins left="0.15748031496063" right="0.15748031496063" top="0.511811023622047" bottom="0.98425196850393704" header="0.511811023622047" footer="0.511811023622047"/>
  <pageSetup orientation="portrait" r:id="rId1"/>
  <headerFooter alignWithMargins="0">
    <oddFooter>&amp;LHawai'i DOH
PFASs November 2024&amp;C&amp;8Page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5"/>
    <pageSetUpPr fitToPage="1"/>
  </sheetPr>
  <dimension ref="A1:AJ146"/>
  <sheetViews>
    <sheetView showGridLines="0" showRowColHeaders="0" tabSelected="1" workbookViewId="0">
      <selection activeCell="D5" sqref="D5"/>
    </sheetView>
  </sheetViews>
  <sheetFormatPr defaultRowHeight="12.75" x14ac:dyDescent="0.2"/>
  <cols>
    <col min="1" max="1" width="4.28515625" customWidth="1"/>
    <col min="2" max="2" width="1.7109375" customWidth="1"/>
    <col min="3" max="3" width="21.5703125" customWidth="1"/>
    <col min="4" max="4" width="15.85546875" customWidth="1"/>
    <col min="5" max="6" width="2.5703125" customWidth="1"/>
    <col min="7" max="7" width="2.28515625" customWidth="1"/>
    <col min="8" max="8" width="18.42578125" customWidth="1"/>
    <col min="10" max="10" width="14.85546875" customWidth="1"/>
    <col min="11" max="11" width="4.140625" customWidth="1"/>
    <col min="12" max="12" width="31.140625" customWidth="1"/>
    <col min="13" max="13" width="4.140625" customWidth="1"/>
    <col min="14" max="14" width="40.5703125" hidden="1" customWidth="1"/>
    <col min="15" max="15" width="10.7109375" style="312" hidden="1" customWidth="1"/>
    <col min="16" max="16" width="38.28515625" style="9" hidden="1" customWidth="1"/>
    <col min="17" max="20" width="15.7109375" style="299" hidden="1" customWidth="1"/>
    <col min="21" max="21" width="15.7109375" style="9" hidden="1" customWidth="1"/>
    <col min="22" max="23" width="10.28515625" style="9" hidden="1" customWidth="1"/>
    <col min="24" max="25" width="11.7109375" style="9" hidden="1" customWidth="1"/>
    <col min="26" max="28" width="10.28515625" style="9" hidden="1" customWidth="1"/>
    <col min="29" max="29" width="39.42578125" style="336" hidden="1" customWidth="1"/>
    <col min="30" max="30" width="36" style="336" hidden="1" customWidth="1"/>
    <col min="31" max="32" width="12.7109375" style="9" customWidth="1"/>
    <col min="33" max="33" width="3.7109375" style="10" customWidth="1"/>
    <col min="34" max="34" width="25.140625" style="11" customWidth="1"/>
  </cols>
  <sheetData>
    <row r="1" spans="1:36" s="7" customFormat="1" ht="69" customHeight="1" x14ac:dyDescent="0.25">
      <c r="C1" s="1321" t="s">
        <v>175</v>
      </c>
      <c r="D1" s="1331"/>
      <c r="E1" s="1331"/>
      <c r="F1" s="1331"/>
      <c r="G1" s="1331"/>
      <c r="H1" s="1331"/>
      <c r="I1" s="1331"/>
      <c r="J1" s="118"/>
      <c r="K1" s="52"/>
      <c r="L1" s="52"/>
      <c r="M1" s="52"/>
      <c r="O1" s="313"/>
      <c r="P1" s="9"/>
      <c r="Q1" s="299"/>
      <c r="R1" s="299"/>
      <c r="S1" s="299"/>
      <c r="T1" s="299"/>
      <c r="U1" s="9"/>
      <c r="V1" s="9"/>
      <c r="W1" s="9"/>
      <c r="X1" s="9"/>
      <c r="Y1" s="9"/>
      <c r="Z1" s="9"/>
      <c r="AA1" s="9"/>
      <c r="AB1" s="9"/>
      <c r="AC1" s="336"/>
      <c r="AD1" s="336"/>
      <c r="AE1" s="9"/>
      <c r="AF1" s="9"/>
      <c r="AG1" s="308"/>
      <c r="AH1" s="313"/>
      <c r="AI1" s="313"/>
      <c r="AJ1" s="313"/>
    </row>
    <row r="2" spans="1:36" s="7" customFormat="1" ht="37.5" customHeight="1" x14ac:dyDescent="0.25">
      <c r="C2" s="293" t="s">
        <v>176</v>
      </c>
      <c r="D2" s="8"/>
      <c r="E2" s="8"/>
      <c r="F2" s="8"/>
      <c r="G2" s="8"/>
      <c r="H2" s="1351" t="str">
        <f>IF(D5=P14,"EALs apply to Commercial/Industrial land use. Land use restrictions may apply.","")</f>
        <v/>
      </c>
      <c r="I2" s="1352"/>
      <c r="J2" s="1352"/>
      <c r="K2" s="5"/>
      <c r="L2" s="5"/>
      <c r="M2" s="5"/>
      <c r="O2" s="313"/>
      <c r="P2" s="9"/>
      <c r="Q2" s="299"/>
      <c r="R2" s="299"/>
      <c r="S2" s="299"/>
      <c r="T2" s="299"/>
      <c r="U2" s="9"/>
      <c r="V2" s="9"/>
      <c r="W2" s="9"/>
      <c r="X2" s="9"/>
      <c r="Y2" s="9"/>
      <c r="Z2" s="9"/>
      <c r="AA2" s="9"/>
      <c r="AB2" s="9"/>
      <c r="AC2" s="336"/>
      <c r="AD2" s="336"/>
      <c r="AE2" s="9"/>
      <c r="AF2" s="9"/>
      <c r="AG2" s="308"/>
      <c r="AH2" s="313"/>
      <c r="AI2" s="313"/>
      <c r="AJ2" s="313"/>
    </row>
    <row r="3" spans="1:36" s="7" customFormat="1" ht="53.1" customHeight="1" thickBot="1" x14ac:dyDescent="0.3">
      <c r="B3" s="1353" t="s">
        <v>177</v>
      </c>
      <c r="C3" s="1354"/>
      <c r="D3" s="1354"/>
      <c r="E3" s="1354"/>
      <c r="F3" s="1354"/>
      <c r="H3" s="1323" t="str">
        <f>IF(D14=O27,C16,(VLOOKUP(C16,O34:P52,2,FALSE)))</f>
        <v>Perfluoro ethanoate (PFEtA-) (Trifluoroacetate)</v>
      </c>
      <c r="I3" s="1334"/>
      <c r="J3" s="1334"/>
      <c r="K3" s="456"/>
      <c r="L3" s="456"/>
      <c r="M3" s="456"/>
      <c r="O3" s="313"/>
      <c r="P3" s="9"/>
      <c r="Q3" s="299"/>
      <c r="R3" s="299"/>
      <c r="S3" s="299"/>
      <c r="T3" s="299"/>
      <c r="U3" s="9"/>
      <c r="V3" s="9"/>
      <c r="W3" s="9"/>
      <c r="X3" s="9"/>
      <c r="Y3" s="9"/>
      <c r="Z3" s="9"/>
      <c r="AA3" s="9"/>
      <c r="AB3" s="9"/>
      <c r="AC3" s="336"/>
      <c r="AD3" s="336"/>
      <c r="AE3" s="9"/>
      <c r="AF3" s="9"/>
      <c r="AG3" s="308"/>
      <c r="AH3" s="313"/>
      <c r="AI3" s="313"/>
      <c r="AJ3" s="313"/>
    </row>
    <row r="4" spans="1:36" s="7" customFormat="1" ht="18.75" customHeight="1" thickTop="1" thickBot="1" x14ac:dyDescent="0.35">
      <c r="A4" s="12"/>
      <c r="B4" s="1355" t="s">
        <v>178</v>
      </c>
      <c r="C4" s="1366"/>
      <c r="D4" s="1366"/>
      <c r="E4" s="1366"/>
      <c r="F4" s="1367"/>
      <c r="H4" s="1359" t="s">
        <v>179</v>
      </c>
      <c r="I4" s="1360"/>
      <c r="J4" s="1360"/>
      <c r="K4" s="124"/>
      <c r="L4" s="463"/>
      <c r="M4" s="463"/>
      <c r="N4" s="392"/>
      <c r="O4" s="311"/>
      <c r="P4" s="9"/>
      <c r="Q4" s="299"/>
      <c r="R4" s="299"/>
      <c r="S4" s="299"/>
      <c r="T4" s="299"/>
      <c r="U4" s="9"/>
      <c r="V4" s="9"/>
      <c r="W4" s="9"/>
      <c r="X4" s="9"/>
      <c r="Y4" s="9"/>
      <c r="Z4" s="9"/>
      <c r="AA4" s="9"/>
      <c r="AB4" s="9"/>
      <c r="AC4" s="336"/>
      <c r="AD4" s="336"/>
      <c r="AE4" s="9"/>
      <c r="AF4" s="9"/>
      <c r="AG4" s="308"/>
      <c r="AH4" s="313"/>
      <c r="AI4" s="313"/>
      <c r="AJ4" s="313"/>
    </row>
    <row r="5" spans="1:36" s="7" customFormat="1" ht="36" customHeight="1" thickTop="1" thickBot="1" x14ac:dyDescent="0.3">
      <c r="B5" s="15"/>
      <c r="C5" s="157" t="s">
        <v>180</v>
      </c>
      <c r="D5" s="77" t="s">
        <v>181</v>
      </c>
      <c r="E5" s="1368"/>
      <c r="F5" s="1369"/>
      <c r="H5" s="1370" t="s">
        <v>182</v>
      </c>
      <c r="I5" s="1371"/>
      <c r="J5" s="294">
        <f>'Surfer Compiler HDOH'!C71</f>
        <v>0.39205565102639289</v>
      </c>
      <c r="K5" s="133" t="str">
        <f>IF(D22&gt;J5,"X","")</f>
        <v/>
      </c>
      <c r="L5" s="320"/>
      <c r="M5" s="320"/>
      <c r="N5" s="392"/>
      <c r="O5" s="311"/>
      <c r="P5" s="134" t="s">
        <v>183</v>
      </c>
      <c r="Q5" s="300"/>
      <c r="R5" s="300"/>
      <c r="S5" s="300"/>
      <c r="T5" s="300"/>
      <c r="U5" s="134"/>
      <c r="V5" s="134"/>
      <c r="W5" s="134"/>
      <c r="X5" s="134"/>
      <c r="Y5" s="134"/>
      <c r="Z5" s="134"/>
      <c r="AA5" s="134"/>
      <c r="AB5" s="134"/>
      <c r="AC5" s="337"/>
      <c r="AD5" s="337"/>
      <c r="AE5" s="134"/>
      <c r="AF5" s="134"/>
      <c r="AG5" s="309"/>
      <c r="AH5" s="313"/>
      <c r="AI5" s="313"/>
      <c r="AJ5" s="313"/>
    </row>
    <row r="6" spans="1:36" s="7" customFormat="1" ht="6" customHeight="1" thickTop="1" thickBot="1" x14ac:dyDescent="0.3">
      <c r="B6" s="18"/>
      <c r="C6" s="19"/>
      <c r="D6" s="20"/>
      <c r="E6" s="1372"/>
      <c r="F6" s="1369"/>
      <c r="H6" s="1378" t="s">
        <v>184</v>
      </c>
      <c r="I6" s="1373"/>
      <c r="J6" s="1376">
        <f>'Surfer Compiler HDOH'!C88</f>
        <v>18.475073313782989</v>
      </c>
      <c r="K6" s="126"/>
      <c r="L6" s="321"/>
      <c r="M6" s="321"/>
      <c r="N6" s="392"/>
      <c r="O6" s="311"/>
      <c r="P6" s="9"/>
      <c r="Q6" s="299"/>
      <c r="R6" s="299"/>
      <c r="S6" s="299"/>
      <c r="T6" s="299"/>
      <c r="U6" s="9"/>
      <c r="V6" s="9"/>
      <c r="W6" s="9"/>
      <c r="X6" s="9"/>
      <c r="Y6" s="9"/>
      <c r="Z6" s="9"/>
      <c r="AA6" s="9"/>
      <c r="AB6" s="9"/>
      <c r="AC6" s="336"/>
      <c r="AD6" s="336"/>
      <c r="AE6" s="9"/>
      <c r="AF6" s="9"/>
      <c r="AG6" s="309"/>
      <c r="AH6" s="313"/>
      <c r="AI6" s="313"/>
      <c r="AJ6" s="313"/>
    </row>
    <row r="7" spans="1:36" s="7" customFormat="1" ht="17.25" customHeight="1" thickTop="1" x14ac:dyDescent="0.25">
      <c r="B7" s="18"/>
      <c r="C7" s="158" t="s">
        <v>185</v>
      </c>
      <c r="D7" s="1362" t="s">
        <v>186</v>
      </c>
      <c r="E7" s="1373"/>
      <c r="F7" s="1369"/>
      <c r="H7" s="1379"/>
      <c r="I7" s="1373"/>
      <c r="J7" s="1377"/>
      <c r="K7" s="125" t="str">
        <f>IF(D24&gt;J6,"X","")</f>
        <v/>
      </c>
      <c r="L7" s="322"/>
      <c r="M7" s="322"/>
      <c r="N7" s="392"/>
      <c r="O7" s="311"/>
      <c r="P7" s="9"/>
      <c r="Q7" s="299"/>
      <c r="R7" s="299"/>
      <c r="S7" s="299"/>
      <c r="T7" s="299"/>
      <c r="U7" s="9"/>
      <c r="V7" s="9"/>
      <c r="W7" s="9"/>
      <c r="X7" s="9"/>
      <c r="Y7" s="9"/>
      <c r="Z7" s="9"/>
      <c r="AA7" s="9"/>
      <c r="AB7" s="9"/>
      <c r="AC7" s="336"/>
      <c r="AD7" s="336"/>
      <c r="AE7" s="9"/>
      <c r="AF7" s="9"/>
      <c r="AG7" s="309"/>
      <c r="AH7" s="313"/>
      <c r="AI7" s="313"/>
      <c r="AJ7" s="313"/>
    </row>
    <row r="8" spans="1:36" s="7" customFormat="1" ht="12.75" customHeight="1" thickBot="1" x14ac:dyDescent="0.3">
      <c r="B8" s="18"/>
      <c r="C8" s="19"/>
      <c r="D8" s="1363"/>
      <c r="E8" s="1373"/>
      <c r="F8" s="1369"/>
      <c r="H8" s="280"/>
      <c r="I8" s="281"/>
      <c r="J8" s="282"/>
      <c r="K8" s="25"/>
      <c r="N8" s="392"/>
      <c r="O8" s="311"/>
      <c r="P8" s="9"/>
      <c r="Q8" s="299"/>
      <c r="R8" s="299"/>
      <c r="S8" s="299"/>
      <c r="T8" s="299"/>
      <c r="U8" s="9"/>
      <c r="V8" s="9"/>
      <c r="W8" s="9"/>
      <c r="X8" s="9"/>
      <c r="Y8" s="9"/>
      <c r="Z8" s="9"/>
      <c r="AA8" s="9"/>
      <c r="AB8" s="9"/>
      <c r="AC8" s="336"/>
      <c r="AD8" s="336"/>
      <c r="AE8" s="9"/>
      <c r="AF8" s="9"/>
      <c r="AG8" s="309"/>
      <c r="AH8" s="313"/>
      <c r="AI8" s="313"/>
      <c r="AJ8" s="313"/>
    </row>
    <row r="9" spans="1:36" s="7" customFormat="1" ht="6.75" customHeight="1" thickTop="1" thickBot="1" x14ac:dyDescent="0.3">
      <c r="B9" s="18"/>
      <c r="C9" s="19"/>
      <c r="D9" s="29"/>
      <c r="E9" s="1373"/>
      <c r="F9" s="1369"/>
      <c r="H9" s="1380" t="s">
        <v>187</v>
      </c>
      <c r="I9" s="1381"/>
      <c r="J9" s="1364">
        <f>'Surfer Compiler HDOH'!C99</f>
        <v>131400</v>
      </c>
      <c r="N9" s="392"/>
      <c r="O9" s="311"/>
      <c r="P9" s="9"/>
      <c r="Q9" s="299"/>
      <c r="R9" s="299"/>
      <c r="S9" s="299"/>
      <c r="T9" s="299"/>
      <c r="U9" s="9"/>
      <c r="V9" s="9"/>
      <c r="W9" s="9"/>
      <c r="X9" s="9"/>
      <c r="Y9" s="9"/>
      <c r="Z9" s="9"/>
      <c r="AA9" s="9"/>
      <c r="AB9" s="9"/>
      <c r="AC9" s="336"/>
      <c r="AD9" s="336"/>
      <c r="AE9" s="9"/>
      <c r="AF9" s="9"/>
      <c r="AG9" s="309"/>
      <c r="AH9" s="313"/>
      <c r="AI9" s="313"/>
      <c r="AJ9" s="313"/>
    </row>
    <row r="10" spans="1:36" s="7" customFormat="1" ht="35.25" customHeight="1" thickTop="1" thickBot="1" x14ac:dyDescent="0.3">
      <c r="B10" s="78"/>
      <c r="C10" s="166" t="s">
        <v>188</v>
      </c>
      <c r="D10" s="446" t="s">
        <v>189</v>
      </c>
      <c r="E10" s="1373"/>
      <c r="F10" s="1369"/>
      <c r="H10" s="1382"/>
      <c r="I10" s="1383"/>
      <c r="J10" s="1365"/>
      <c r="K10" s="133" t="str">
        <f>IF(D26&gt;J9,"X","")</f>
        <v/>
      </c>
      <c r="L10" s="320"/>
      <c r="M10" s="320"/>
      <c r="N10" s="458"/>
      <c r="O10" s="460"/>
      <c r="P10" s="35" t="s">
        <v>190</v>
      </c>
      <c r="Q10" s="301" t="s">
        <v>191</v>
      </c>
      <c r="R10" s="301"/>
      <c r="S10" s="302"/>
      <c r="T10" s="302"/>
      <c r="U10" s="135" t="s">
        <v>192</v>
      </c>
      <c r="V10" s="135"/>
      <c r="W10" s="135"/>
      <c r="X10" s="135"/>
      <c r="Y10" s="135"/>
      <c r="Z10" s="135"/>
      <c r="AA10" s="135"/>
      <c r="AB10" s="135"/>
      <c r="AC10" s="338"/>
      <c r="AD10" s="338"/>
      <c r="AE10" s="34"/>
      <c r="AF10" s="34"/>
      <c r="AH10" s="313"/>
      <c r="AI10" s="35"/>
      <c r="AJ10" s="313"/>
    </row>
    <row r="11" spans="1:36" s="7" customFormat="1" ht="4.5" customHeight="1" thickTop="1" thickBot="1" x14ac:dyDescent="0.3">
      <c r="B11" s="26"/>
      <c r="C11" s="27"/>
      <c r="D11" s="112"/>
      <c r="E11" s="1374"/>
      <c r="F11" s="1375"/>
      <c r="I11" s="447"/>
      <c r="J11" s="447"/>
      <c r="K11" s="447"/>
      <c r="L11" s="447"/>
      <c r="M11" s="447"/>
      <c r="N11" s="458"/>
      <c r="O11" s="460"/>
      <c r="P11" s="309"/>
      <c r="Q11" s="299"/>
      <c r="R11" s="299"/>
      <c r="S11" s="299"/>
      <c r="T11" s="299"/>
      <c r="U11" s="9"/>
      <c r="V11" s="9"/>
      <c r="W11" s="9"/>
      <c r="X11" s="9"/>
      <c r="Y11" s="9"/>
      <c r="Z11" s="9"/>
      <c r="AA11" s="9"/>
      <c r="AB11" s="9"/>
      <c r="AC11" s="336"/>
      <c r="AD11" s="336"/>
      <c r="AE11" s="9"/>
      <c r="AF11" s="9"/>
      <c r="AH11" s="313"/>
      <c r="AI11" s="313"/>
      <c r="AJ11" s="313"/>
    </row>
    <row r="12" spans="1:36" s="7" customFormat="1" ht="9" customHeight="1" thickTop="1" thickBot="1" x14ac:dyDescent="0.3">
      <c r="B12" s="1361"/>
      <c r="C12" s="1361"/>
      <c r="D12" s="1361"/>
      <c r="E12" s="1361"/>
      <c r="F12" s="1361"/>
      <c r="H12" s="283"/>
      <c r="I12" s="393"/>
      <c r="J12" s="393"/>
      <c r="K12" s="447"/>
      <c r="L12" s="447"/>
      <c r="M12" s="447"/>
      <c r="N12" s="458"/>
      <c r="O12" s="460"/>
      <c r="Q12" s="303"/>
      <c r="R12" s="303"/>
      <c r="S12" s="303"/>
      <c r="T12" s="303"/>
      <c r="AC12" s="441"/>
      <c r="AD12" s="441"/>
      <c r="AJ12" s="313"/>
    </row>
    <row r="13" spans="1:36" s="7" customFormat="1" ht="35.450000000000003" customHeight="1" thickTop="1" thickBot="1" x14ac:dyDescent="0.3">
      <c r="B13" s="13"/>
      <c r="C13" s="1356" t="s">
        <v>193</v>
      </c>
      <c r="D13" s="1366"/>
      <c r="E13" s="1366"/>
      <c r="F13" s="1384"/>
      <c r="H13" s="1332" t="str">
        <f>IF(D7="Drinking Water Resource",AB28,AB29)</f>
        <v>Calculation of cumulative noncancer health risk (hazard) for both soil and water sample data required even if EALs for individual chemicals met. Refer to PFAS Technical Memorandum and accompanying Total PFAS Risk calculator.</v>
      </c>
      <c r="I13" s="1327"/>
      <c r="J13" s="1327"/>
      <c r="K13" s="1327"/>
      <c r="L13" s="458"/>
      <c r="M13" s="458"/>
      <c r="N13" s="458"/>
      <c r="O13" s="460"/>
      <c r="P13" s="308" t="s">
        <v>181</v>
      </c>
      <c r="Q13" s="394" t="s">
        <v>186</v>
      </c>
      <c r="R13" s="394"/>
      <c r="S13" s="303"/>
      <c r="T13" s="303"/>
      <c r="U13" s="167" t="s">
        <v>194</v>
      </c>
      <c r="V13" s="167"/>
      <c r="W13" s="167"/>
      <c r="X13" s="167"/>
      <c r="Y13" s="167"/>
      <c r="Z13" s="167"/>
      <c r="AA13" s="167"/>
      <c r="AB13" s="167"/>
      <c r="AC13" s="395"/>
      <c r="AD13" s="395"/>
      <c r="AE13" s="396"/>
      <c r="AF13" s="396"/>
      <c r="AH13" s="313"/>
      <c r="AI13" s="308"/>
      <c r="AJ13" s="313"/>
    </row>
    <row r="14" spans="1:36" s="7" customFormat="1" ht="33.75" customHeight="1" thickTop="1" thickBot="1" x14ac:dyDescent="0.3">
      <c r="B14" s="18"/>
      <c r="C14" s="455" t="s">
        <v>195</v>
      </c>
      <c r="D14" s="77" t="s">
        <v>196</v>
      </c>
      <c r="E14" s="318"/>
      <c r="F14" s="316"/>
      <c r="H14" s="1327"/>
      <c r="I14" s="1327"/>
      <c r="J14" s="1327"/>
      <c r="K14" s="1327"/>
      <c r="L14" s="458"/>
      <c r="M14" s="458"/>
      <c r="N14" s="458"/>
      <c r="O14" s="460"/>
      <c r="P14" s="460" t="s">
        <v>197</v>
      </c>
      <c r="Q14" s="394" t="s">
        <v>198</v>
      </c>
      <c r="R14" s="394"/>
      <c r="S14" s="303"/>
      <c r="T14" s="303"/>
      <c r="U14" s="397" t="s">
        <v>199</v>
      </c>
      <c r="V14" s="167"/>
      <c r="W14" s="167"/>
      <c r="X14" s="167"/>
      <c r="Y14" s="167"/>
      <c r="Z14" s="167"/>
      <c r="AA14" s="167"/>
      <c r="AB14" s="167"/>
      <c r="AC14" s="395"/>
      <c r="AD14" s="395"/>
      <c r="AE14" s="396"/>
      <c r="AF14" s="396"/>
      <c r="AH14" s="313"/>
      <c r="AI14" s="308"/>
      <c r="AJ14" s="313"/>
    </row>
    <row r="15" spans="1:36" s="7" customFormat="1" ht="5.85" customHeight="1" thickTop="1" thickBot="1" x14ac:dyDescent="0.3">
      <c r="B15" s="18"/>
      <c r="C15" s="455"/>
      <c r="D15" s="315"/>
      <c r="E15" s="317"/>
      <c r="F15" s="316"/>
      <c r="H15" s="349"/>
      <c r="I15" s="458"/>
      <c r="J15" s="458"/>
      <c r="K15" s="458"/>
      <c r="L15" s="458"/>
      <c r="M15" s="458"/>
      <c r="N15" s="458"/>
      <c r="O15" s="460"/>
      <c r="P15" s="308"/>
      <c r="Q15" s="394"/>
      <c r="R15" s="394"/>
      <c r="S15" s="303"/>
      <c r="T15" s="303"/>
      <c r="U15" s="167"/>
      <c r="V15" s="167"/>
      <c r="W15" s="167"/>
      <c r="X15" s="167"/>
      <c r="Y15" s="167"/>
      <c r="Z15" s="167"/>
      <c r="AA15" s="167"/>
      <c r="AB15" s="167"/>
      <c r="AC15" s="395"/>
      <c r="AD15" s="395"/>
      <c r="AE15" s="396"/>
      <c r="AF15" s="396"/>
      <c r="AH15" s="313"/>
      <c r="AI15" s="308"/>
      <c r="AJ15" s="313"/>
    </row>
    <row r="16" spans="1:36" s="7" customFormat="1" ht="37.700000000000003" customHeight="1" thickTop="1" thickBot="1" x14ac:dyDescent="0.3">
      <c r="B16" s="16"/>
      <c r="C16" s="1335" t="s">
        <v>200</v>
      </c>
      <c r="D16" s="1336"/>
      <c r="E16" s="1337"/>
      <c r="F16" s="17"/>
      <c r="H16" s="1332" t="str">
        <f>IF(OR(K5="X",K7="X"),"EALs exceeded.  Refer to Detailed EALs (next tab) to identify specific environmental hazards that may be posed by contamination.","")</f>
        <v/>
      </c>
      <c r="I16" s="1327"/>
      <c r="J16" s="1327"/>
      <c r="K16" s="1327"/>
      <c r="L16" s="458"/>
      <c r="M16" s="458"/>
      <c r="N16" s="458"/>
      <c r="O16" s="460"/>
      <c r="R16" s="394"/>
      <c r="S16" s="303"/>
      <c r="T16" s="303"/>
      <c r="V16" s="397"/>
      <c r="W16" s="397"/>
      <c r="X16" s="397"/>
      <c r="Y16" s="397"/>
      <c r="Z16" s="397"/>
      <c r="AA16" s="289" t="s">
        <v>201</v>
      </c>
      <c r="AB16" s="289"/>
      <c r="AC16" s="395"/>
      <c r="AD16" s="395"/>
      <c r="AE16" s="396"/>
      <c r="AF16" s="396"/>
      <c r="AH16" s="313"/>
      <c r="AI16" s="308"/>
      <c r="AJ16" s="313"/>
    </row>
    <row r="17" spans="2:36" s="7" customFormat="1" ht="6" customHeight="1" thickTop="1" thickBot="1" x14ac:dyDescent="0.3">
      <c r="B17" s="21"/>
      <c r="C17" s="22"/>
      <c r="D17" s="23"/>
      <c r="E17" s="23"/>
      <c r="F17" s="24"/>
      <c r="H17" s="1327"/>
      <c r="I17" s="1327"/>
      <c r="J17" s="1327"/>
      <c r="K17" s="1327"/>
      <c r="L17" s="458"/>
      <c r="M17" s="458"/>
      <c r="N17" s="458"/>
      <c r="O17" s="460"/>
      <c r="P17" s="9"/>
      <c r="Q17" s="299"/>
      <c r="R17" s="299"/>
      <c r="S17" s="299"/>
      <c r="T17" s="299"/>
      <c r="U17" s="9"/>
      <c r="V17" s="9"/>
      <c r="W17" s="9"/>
      <c r="X17" s="9"/>
      <c r="Y17" s="9"/>
      <c r="Z17" s="9"/>
      <c r="AA17" s="9"/>
      <c r="AB17" s="9"/>
      <c r="AC17" s="336"/>
      <c r="AD17" s="336"/>
      <c r="AE17" s="9"/>
      <c r="AF17" s="9"/>
      <c r="AG17" s="309"/>
      <c r="AH17" s="313"/>
      <c r="AI17" s="313"/>
      <c r="AJ17" s="313"/>
    </row>
    <row r="18" spans="2:36" s="7" customFormat="1" ht="9" customHeight="1" thickTop="1" thickBot="1" x14ac:dyDescent="0.3">
      <c r="B18" s="447"/>
      <c r="C18" s="119"/>
      <c r="D18" s="119"/>
      <c r="E18" s="119"/>
      <c r="H18" s="1327"/>
      <c r="I18" s="1327"/>
      <c r="J18" s="1327"/>
      <c r="K18" s="1327"/>
      <c r="L18" s="458"/>
      <c r="M18" s="458"/>
      <c r="N18" s="14"/>
      <c r="O18" s="460"/>
      <c r="P18" s="9"/>
      <c r="Q18" s="299"/>
      <c r="R18" s="299"/>
      <c r="S18" s="299"/>
      <c r="T18" s="299"/>
      <c r="U18" s="9"/>
      <c r="V18" s="9"/>
      <c r="W18" s="9"/>
      <c r="X18" s="9"/>
      <c r="Y18" s="9"/>
      <c r="Z18" s="9"/>
      <c r="AC18" s="336"/>
      <c r="AD18" s="336"/>
      <c r="AE18" s="9"/>
      <c r="AF18" s="9"/>
      <c r="AG18" s="309"/>
      <c r="AH18" s="313"/>
      <c r="AI18" s="313"/>
      <c r="AJ18" s="313"/>
    </row>
    <row r="19" spans="2:36" ht="24" customHeight="1" thickTop="1" thickBot="1" x14ac:dyDescent="0.3">
      <c r="B19" s="1355" t="s">
        <v>202</v>
      </c>
      <c r="C19" s="1356"/>
      <c r="D19" s="1356"/>
      <c r="E19" s="1356"/>
      <c r="F19" s="1385"/>
      <c r="G19" s="7"/>
      <c r="H19" s="1646" t="s">
        <v>203</v>
      </c>
      <c r="I19" s="1647"/>
      <c r="J19" s="1647"/>
      <c r="K19" s="1647"/>
      <c r="L19" s="66"/>
      <c r="M19" s="66"/>
      <c r="N19" s="447"/>
      <c r="O19" s="466"/>
      <c r="Z19" s="182" t="s">
        <v>204</v>
      </c>
      <c r="AA19" s="9">
        <v>1</v>
      </c>
      <c r="AB19" s="308" t="s">
        <v>205</v>
      </c>
      <c r="AG19" s="308"/>
      <c r="AH19" s="313"/>
      <c r="AI19" s="447"/>
      <c r="AJ19" s="447"/>
    </row>
    <row r="20" spans="2:36" ht="30.75" customHeight="1" thickTop="1" x14ac:dyDescent="0.25">
      <c r="B20" s="1357"/>
      <c r="C20" s="1358"/>
      <c r="D20" s="1358"/>
      <c r="E20" s="1358"/>
      <c r="F20" s="1386"/>
      <c r="G20" s="7"/>
      <c r="H20" s="1342" t="str">
        <f>VLOOKUP(H3,P34:AC59,14,FALSE)</f>
        <v>Potentially significant soil leaching hazard and subsequent contamination of groundwater.  SPLP batch test and LEAF Method 1314 soil column test recommended if soil leaching action level exceeded (refer to accompanying PFAS Technical Memorandum).</v>
      </c>
      <c r="I20" s="1343"/>
      <c r="J20" s="1343"/>
      <c r="K20" s="1344"/>
      <c r="L20" s="454"/>
      <c r="M20" s="454"/>
      <c r="N20" s="447"/>
      <c r="O20" s="466"/>
      <c r="Z20" s="182" t="s">
        <v>206</v>
      </c>
      <c r="AA20" s="9">
        <v>2</v>
      </c>
      <c r="AB20" s="308" t="s">
        <v>207</v>
      </c>
      <c r="AG20" s="308"/>
      <c r="AH20" s="313"/>
      <c r="AI20" s="447"/>
      <c r="AJ20" s="447"/>
    </row>
    <row r="21" spans="2:36" ht="5.25" customHeight="1" thickBot="1" x14ac:dyDescent="0.3">
      <c r="B21" s="18"/>
      <c r="C21" s="28"/>
      <c r="D21" s="29"/>
      <c r="E21" s="30"/>
      <c r="F21" s="121"/>
      <c r="G21" s="7"/>
      <c r="H21" s="1345"/>
      <c r="I21" s="1346"/>
      <c r="J21" s="1346"/>
      <c r="K21" s="1347"/>
      <c r="L21" s="454"/>
      <c r="M21" s="454"/>
      <c r="N21" s="447"/>
      <c r="O21" s="466"/>
      <c r="AB21" s="308"/>
      <c r="AG21" s="308"/>
      <c r="AH21" s="313"/>
      <c r="AI21" s="447"/>
      <c r="AJ21" s="447"/>
    </row>
    <row r="22" spans="2:36" ht="20.25" thickTop="1" thickBot="1" x14ac:dyDescent="0.3">
      <c r="B22" s="18"/>
      <c r="C22" s="120" t="s">
        <v>208</v>
      </c>
      <c r="D22" s="131"/>
      <c r="E22" s="290"/>
      <c r="F22" s="122"/>
      <c r="G22" s="7"/>
      <c r="H22" s="1345"/>
      <c r="I22" s="1346"/>
      <c r="J22" s="1346"/>
      <c r="K22" s="1347"/>
      <c r="L22" s="454"/>
      <c r="M22" s="454"/>
      <c r="N22" s="447"/>
      <c r="O22" s="466"/>
      <c r="Z22" s="182" t="s">
        <v>209</v>
      </c>
      <c r="AA22" s="9">
        <v>3</v>
      </c>
      <c r="AB22" s="308" t="s">
        <v>210</v>
      </c>
      <c r="AG22" s="308"/>
      <c r="AH22" s="313"/>
      <c r="AI22" s="447"/>
      <c r="AJ22" s="447"/>
    </row>
    <row r="23" spans="2:36" ht="6.75" customHeight="1" thickTop="1" thickBot="1" x14ac:dyDescent="0.3">
      <c r="B23" s="18"/>
      <c r="C23" s="31"/>
      <c r="D23" s="132"/>
      <c r="E23" s="30"/>
      <c r="F23" s="122"/>
      <c r="G23" s="7"/>
      <c r="H23" s="1345"/>
      <c r="I23" s="1346"/>
      <c r="J23" s="1346"/>
      <c r="K23" s="1347"/>
      <c r="L23" s="454"/>
      <c r="M23" s="454"/>
      <c r="N23" s="447"/>
      <c r="O23" s="466"/>
      <c r="Z23" s="182"/>
      <c r="AB23" s="309"/>
      <c r="AG23" s="308"/>
      <c r="AH23" s="313"/>
      <c r="AI23" s="447"/>
      <c r="AJ23" s="447"/>
    </row>
    <row r="24" spans="2:36" ht="17.25" customHeight="1" thickTop="1" thickBot="1" x14ac:dyDescent="0.3">
      <c r="B24" s="18"/>
      <c r="C24" s="120" t="s">
        <v>184</v>
      </c>
      <c r="D24" s="131"/>
      <c r="E24" s="291"/>
      <c r="F24" s="122"/>
      <c r="G24" s="7"/>
      <c r="H24" s="1345"/>
      <c r="I24" s="1346"/>
      <c r="J24" s="1346"/>
      <c r="K24" s="1347"/>
      <c r="L24" s="454"/>
      <c r="M24" s="454"/>
      <c r="N24" s="447"/>
      <c r="O24" s="466"/>
      <c r="Z24" s="182" t="s">
        <v>211</v>
      </c>
      <c r="AA24" s="9">
        <v>4</v>
      </c>
      <c r="AB24" s="308" t="s">
        <v>212</v>
      </c>
      <c r="AG24" s="308"/>
      <c r="AH24" s="313"/>
      <c r="AI24" s="447"/>
      <c r="AJ24" s="447"/>
    </row>
    <row r="25" spans="2:36" ht="6.75" customHeight="1" thickTop="1" thickBot="1" x14ac:dyDescent="0.3">
      <c r="B25" s="18"/>
      <c r="C25" s="120"/>
      <c r="D25" s="292"/>
      <c r="E25" s="290"/>
      <c r="F25" s="122"/>
      <c r="G25" s="7"/>
      <c r="H25" s="1345"/>
      <c r="I25" s="1346"/>
      <c r="J25" s="1346"/>
      <c r="K25" s="1347"/>
      <c r="L25" s="454"/>
      <c r="M25" s="454"/>
      <c r="N25" s="447"/>
      <c r="O25" s="466"/>
      <c r="Z25" s="182"/>
      <c r="AB25" s="308"/>
      <c r="AG25" s="308"/>
      <c r="AH25" s="313"/>
      <c r="AI25" s="447"/>
      <c r="AJ25" s="447"/>
    </row>
    <row r="26" spans="2:36" ht="17.25" customHeight="1" thickTop="1" thickBot="1" x14ac:dyDescent="0.3">
      <c r="B26" s="18"/>
      <c r="C26" s="120" t="s">
        <v>213</v>
      </c>
      <c r="D26" s="131"/>
      <c r="E26" s="274"/>
      <c r="F26" s="122"/>
      <c r="G26" s="7"/>
      <c r="H26" s="1345"/>
      <c r="I26" s="1346"/>
      <c r="J26" s="1346"/>
      <c r="K26" s="1347"/>
      <c r="L26" s="454"/>
      <c r="M26" s="454"/>
      <c r="N26" s="447"/>
      <c r="O26" s="319" t="s">
        <v>214</v>
      </c>
      <c r="Z26" s="182" t="s">
        <v>215</v>
      </c>
      <c r="AA26" s="9">
        <v>5</v>
      </c>
      <c r="AB26" s="309" t="s">
        <v>216</v>
      </c>
      <c r="AG26" s="308"/>
      <c r="AH26" s="313"/>
      <c r="AI26" s="447"/>
      <c r="AJ26" s="447"/>
    </row>
    <row r="27" spans="2:36" ht="14.25" customHeight="1" thickTop="1" thickBot="1" x14ac:dyDescent="0.3">
      <c r="B27" s="26"/>
      <c r="C27" s="398"/>
      <c r="D27" s="399"/>
      <c r="E27" s="32"/>
      <c r="F27" s="123"/>
      <c r="G27" s="7"/>
      <c r="H27" s="1348"/>
      <c r="I27" s="1349"/>
      <c r="J27" s="1349"/>
      <c r="K27" s="1350"/>
      <c r="L27" s="454"/>
      <c r="M27" s="454"/>
      <c r="N27" s="447"/>
      <c r="O27" s="296" t="s">
        <v>196</v>
      </c>
      <c r="AA27" s="9">
        <v>6</v>
      </c>
      <c r="AB27" s="308" t="s">
        <v>217</v>
      </c>
      <c r="AG27" s="308"/>
      <c r="AH27" s="313"/>
      <c r="AI27" s="447"/>
      <c r="AJ27" s="447"/>
    </row>
    <row r="28" spans="2:36" ht="40.35" customHeight="1" thickTop="1" thickBot="1" x14ac:dyDescent="0.3">
      <c r="B28" s="447"/>
      <c r="C28" s="119"/>
      <c r="D28" s="119"/>
      <c r="E28" s="119"/>
      <c r="F28" s="7"/>
      <c r="G28" s="7"/>
      <c r="H28" s="1387" t="str">
        <f>VLOOKUP(H3,P34:AD59,15,FALSE)</f>
        <v/>
      </c>
      <c r="I28" s="1388"/>
      <c r="J28" s="1388"/>
      <c r="K28" s="1389"/>
      <c r="L28" s="346"/>
      <c r="M28" s="447"/>
      <c r="N28" s="447"/>
      <c r="O28" s="296" t="s">
        <v>218</v>
      </c>
      <c r="Q28" s="347" t="s">
        <v>219</v>
      </c>
      <c r="R28" s="400"/>
      <c r="S28" s="400"/>
      <c r="T28" s="400"/>
      <c r="U28" s="460"/>
      <c r="V28" s="460"/>
      <c r="W28" s="460"/>
      <c r="X28" s="460"/>
      <c r="Y28" s="460"/>
      <c r="AA28" s="9">
        <v>7</v>
      </c>
      <c r="AB28" s="59" t="s">
        <v>220</v>
      </c>
      <c r="AD28" s="452"/>
      <c r="AG28" s="308"/>
      <c r="AH28" s="313"/>
      <c r="AI28" s="447"/>
      <c r="AJ28" s="447"/>
    </row>
    <row r="29" spans="2:36" ht="16.5" thickTop="1" x14ac:dyDescent="0.25">
      <c r="B29" s="447"/>
      <c r="C29" s="53" t="s">
        <v>160</v>
      </c>
      <c r="D29" s="52"/>
      <c r="E29" s="52"/>
      <c r="F29" s="7"/>
      <c r="G29" s="7"/>
      <c r="H29" s="52"/>
      <c r="I29" s="7"/>
      <c r="J29" s="7"/>
      <c r="K29" s="7"/>
      <c r="L29" s="7"/>
      <c r="M29" s="7"/>
      <c r="N29" s="7"/>
      <c r="O29" s="313"/>
      <c r="P29" s="14"/>
      <c r="Q29" s="1340" t="s">
        <v>221</v>
      </c>
      <c r="R29" s="1340" t="s">
        <v>222</v>
      </c>
      <c r="S29" s="1340" t="s">
        <v>223</v>
      </c>
      <c r="T29" s="453"/>
      <c r="U29" s="14"/>
      <c r="V29" s="14"/>
      <c r="W29" s="14"/>
      <c r="X29" s="14"/>
      <c r="Y29" s="14"/>
      <c r="Z29" s="14"/>
      <c r="AA29" s="9">
        <v>8</v>
      </c>
      <c r="AB29" s="59" t="s">
        <v>224</v>
      </c>
      <c r="AC29" s="441"/>
      <c r="AD29" s="460"/>
      <c r="AE29" s="447"/>
      <c r="AF29" s="447"/>
      <c r="AG29" s="447"/>
      <c r="AH29" s="447"/>
      <c r="AI29" s="447"/>
      <c r="AJ29" s="447"/>
    </row>
    <row r="30" spans="2:36" ht="50.45" customHeight="1" x14ac:dyDescent="0.25">
      <c r="B30" s="447"/>
      <c r="C30" s="1319" t="s">
        <v>225</v>
      </c>
      <c r="D30" s="1390"/>
      <c r="E30" s="1390"/>
      <c r="F30" s="1390"/>
      <c r="G30" s="1390"/>
      <c r="H30" s="1390"/>
      <c r="I30" s="1390"/>
      <c r="J30" s="1390"/>
      <c r="K30" s="1390"/>
      <c r="L30" s="1327"/>
      <c r="M30" s="7"/>
      <c r="N30" s="7"/>
      <c r="O30" s="313"/>
      <c r="P30" s="14"/>
      <c r="Q30" s="1340"/>
      <c r="R30" s="1340"/>
      <c r="S30" s="1340"/>
      <c r="T30" s="453"/>
      <c r="U30" s="14"/>
      <c r="V30" s="14"/>
      <c r="W30" s="14"/>
      <c r="X30" s="14"/>
      <c r="Y30" s="14"/>
      <c r="Z30" s="14"/>
      <c r="AA30" s="14"/>
      <c r="AB30" s="14"/>
      <c r="AC30" s="441"/>
      <c r="AD30" s="460"/>
      <c r="AE30" s="447"/>
      <c r="AF30" s="447"/>
      <c r="AG30" s="447"/>
      <c r="AH30" s="447"/>
      <c r="AI30" s="447"/>
      <c r="AJ30" s="447"/>
    </row>
    <row r="31" spans="2:36" ht="48" customHeight="1" x14ac:dyDescent="0.25">
      <c r="B31" s="447"/>
      <c r="C31" s="1319" t="s">
        <v>161</v>
      </c>
      <c r="D31" s="1390"/>
      <c r="E31" s="1390"/>
      <c r="F31" s="1390"/>
      <c r="G31" s="1390"/>
      <c r="H31" s="1390"/>
      <c r="I31" s="1390"/>
      <c r="J31" s="1390"/>
      <c r="K31" s="1390"/>
      <c r="L31" s="1327"/>
      <c r="M31" s="444"/>
      <c r="N31" s="323"/>
      <c r="O31" s="314"/>
      <c r="P31" s="324" t="s">
        <v>226</v>
      </c>
      <c r="Q31" s="1341"/>
      <c r="R31" s="1341"/>
      <c r="S31" s="1341"/>
      <c r="T31" s="1338" t="s">
        <v>227</v>
      </c>
      <c r="U31" s="1338" t="s">
        <v>228</v>
      </c>
      <c r="V31" s="452"/>
      <c r="W31" s="452"/>
      <c r="X31" s="452"/>
      <c r="Y31" s="452"/>
      <c r="Z31" s="452"/>
      <c r="AA31" s="452"/>
      <c r="AB31" s="452"/>
      <c r="AC31" s="14"/>
      <c r="AD31" s="460"/>
      <c r="AE31" s="447"/>
      <c r="AF31" s="447"/>
      <c r="AG31" s="447"/>
      <c r="AH31" s="447"/>
      <c r="AI31" s="447"/>
      <c r="AJ31" s="447"/>
    </row>
    <row r="32" spans="2:36" ht="8.25" customHeight="1" x14ac:dyDescent="0.25">
      <c r="B32" s="447"/>
      <c r="C32" s="445"/>
      <c r="D32" s="14"/>
      <c r="E32" s="14"/>
      <c r="F32" s="14"/>
      <c r="G32" s="14"/>
      <c r="H32" s="14"/>
      <c r="I32" s="14"/>
      <c r="J32" s="14"/>
      <c r="K32" s="14"/>
      <c r="L32" s="14"/>
      <c r="M32" s="14"/>
      <c r="N32" s="459"/>
      <c r="O32" s="460"/>
      <c r="P32" s="14"/>
      <c r="Q32" s="1341"/>
      <c r="R32" s="1341"/>
      <c r="S32" s="1341"/>
      <c r="T32" s="1339"/>
      <c r="U32" s="1339"/>
      <c r="V32" s="440"/>
      <c r="W32" s="440"/>
      <c r="X32" s="1333" t="s">
        <v>229</v>
      </c>
      <c r="Y32" s="1333" t="s">
        <v>230</v>
      </c>
      <c r="Z32" s="440"/>
      <c r="AA32" s="440"/>
      <c r="AB32" s="440"/>
      <c r="AC32" s="14"/>
      <c r="AD32" s="460"/>
      <c r="AE32" s="447"/>
      <c r="AF32" s="447"/>
      <c r="AG32" s="447"/>
      <c r="AH32" s="447"/>
      <c r="AI32" s="447"/>
      <c r="AJ32" s="447"/>
    </row>
    <row r="33" spans="3:34" ht="26.85" customHeight="1" x14ac:dyDescent="0.25">
      <c r="C33" s="1391" t="s">
        <v>231</v>
      </c>
      <c r="D33" s="1327"/>
      <c r="E33" s="1327"/>
      <c r="F33" s="1327"/>
      <c r="G33" s="1327"/>
      <c r="H33" s="1327"/>
      <c r="I33" s="1327"/>
      <c r="J33" s="1327"/>
      <c r="K33" s="1327"/>
      <c r="L33" s="1327"/>
      <c r="M33" s="14"/>
      <c r="N33" s="325" t="s">
        <v>232</v>
      </c>
      <c r="O33" s="326" t="s">
        <v>218</v>
      </c>
      <c r="P33" s="327" t="s">
        <v>196</v>
      </c>
      <c r="Q33" s="1341"/>
      <c r="R33" s="1341"/>
      <c r="S33" s="1341"/>
      <c r="T33" s="1339"/>
      <c r="U33" s="1339"/>
      <c r="V33" s="451" t="s">
        <v>233</v>
      </c>
      <c r="W33" s="451" t="s">
        <v>234</v>
      </c>
      <c r="X33" s="1327"/>
      <c r="Y33" s="1327"/>
      <c r="Z33" s="451" t="s">
        <v>235</v>
      </c>
      <c r="AA33" s="451" t="s">
        <v>236</v>
      </c>
      <c r="AB33" s="451" t="s">
        <v>237</v>
      </c>
      <c r="AC33" s="339" t="s">
        <v>238</v>
      </c>
      <c r="AD33" s="339" t="s">
        <v>238</v>
      </c>
      <c r="AE33" s="447"/>
      <c r="AF33" s="447"/>
      <c r="AG33" s="447"/>
      <c r="AH33" s="447"/>
    </row>
    <row r="34" spans="3:34" ht="48.95" customHeight="1" x14ac:dyDescent="0.25">
      <c r="C34" s="1319" t="s">
        <v>239</v>
      </c>
      <c r="D34" s="1390"/>
      <c r="E34" s="1390"/>
      <c r="F34" s="1390"/>
      <c r="G34" s="1390"/>
      <c r="H34" s="1390"/>
      <c r="I34" s="1390"/>
      <c r="J34" s="1390"/>
      <c r="K34" s="1390"/>
      <c r="L34" s="1327"/>
      <c r="M34" s="439"/>
      <c r="N34" s="331" t="str">
        <f t="shared" ref="N34" si="0">IF($D$14=$O$27,P34,O34)</f>
        <v>Perfluorobutane sulfonate (PFBS-)</v>
      </c>
      <c r="O34" s="333" t="str">
        <f>'Table H (Constants)'!B6</f>
        <v>45187-15-3</v>
      </c>
      <c r="P34" s="333" t="str">
        <f>'Table H (Constants)'!C6</f>
        <v>Perfluorobutane sulfonate (PFBS-)</v>
      </c>
      <c r="Q34" s="304" t="e">
        <f>IF(#REF!=0,"",#REF!)</f>
        <v>#REF!</v>
      </c>
      <c r="R34" s="304" t="s">
        <v>240</v>
      </c>
      <c r="S34" s="304" t="s">
        <v>240</v>
      </c>
      <c r="T34" s="304">
        <v>1</v>
      </c>
      <c r="U34" s="279">
        <v>1</v>
      </c>
      <c r="V34" s="278" t="s">
        <v>241</v>
      </c>
      <c r="W34" s="401" t="str">
        <f>'Table H (Constants)'!D6</f>
        <v>NV</v>
      </c>
      <c r="X34" s="277" t="s">
        <v>242</v>
      </c>
      <c r="Y34" s="277" t="str">
        <f>IF(OR('Table D-4b (Chronic Summary)'!C5="=Drinking Water Toxicity",'Table D-4b (Chronic Summary)'!C5=""),"No","Yes")</f>
        <v>Yes</v>
      </c>
      <c r="Z34" s="298">
        <f>'Table H (Constants)'!H6</f>
        <v>490</v>
      </c>
      <c r="AA34" s="328">
        <v>3</v>
      </c>
      <c r="AB34" s="328" t="str">
        <f>IF(Y34="No",6,"")</f>
        <v/>
      </c>
      <c r="AC34" s="340" t="str">
        <f t="shared" ref="AC34" si="1">IF(AA34=$AA$19,$AB$19,IF(AA34=$AA$20,$AB$20,IF(AA34=$AA$22,$AB$22,IF(AA34=$AA$24,$AB$24,$AB$26))))</f>
        <v>Potentially significant soil leaching hazard and subsequent contamination of groundwater.  SPLP batch test and LEAF Method 1314 soil column test recommended if soil leaching action level exceeded (refer to accompanying PFAS Technical Memorandum).</v>
      </c>
      <c r="AD34" s="402" t="str">
        <f t="shared" ref="AD34" si="2">IF(AB34=6,$AB$27,"")</f>
        <v/>
      </c>
      <c r="AE34" s="447"/>
      <c r="AF34" s="447"/>
      <c r="AG34" s="447"/>
      <c r="AH34" s="447"/>
    </row>
    <row r="35" spans="3:34" ht="63.6" customHeight="1" x14ac:dyDescent="0.25">
      <c r="C35" s="1319" t="s">
        <v>243</v>
      </c>
      <c r="D35" s="1390"/>
      <c r="E35" s="1390"/>
      <c r="F35" s="1390"/>
      <c r="G35" s="1390"/>
      <c r="H35" s="1390"/>
      <c r="I35" s="1390"/>
      <c r="J35" s="1390"/>
      <c r="K35" s="1390"/>
      <c r="L35" s="1327"/>
      <c r="M35" s="437"/>
      <c r="N35" s="331" t="str">
        <f t="shared" ref="N35:N59" si="3">IF($D$14=$O$27,P35,O35)</f>
        <v>Perfluoropentane sulfonate (PFPeS-)</v>
      </c>
      <c r="O35" s="333" t="str">
        <f>'Table H (Constants)'!B7</f>
        <v>175905-36-9</v>
      </c>
      <c r="P35" s="333" t="str">
        <f>'Table H (Constants)'!C7</f>
        <v>Perfluoropentane sulfonate (PFPeS-)</v>
      </c>
      <c r="Q35" s="304" t="e">
        <f>IF(#REF!=0,"",#REF!)</f>
        <v>#REF!</v>
      </c>
      <c r="R35" s="304" t="s">
        <v>240</v>
      </c>
      <c r="S35" s="304" t="s">
        <v>240</v>
      </c>
      <c r="T35" s="304">
        <v>1</v>
      </c>
      <c r="U35" s="279">
        <v>1</v>
      </c>
      <c r="V35" s="278" t="s">
        <v>241</v>
      </c>
      <c r="W35" s="401" t="str">
        <f>'Table H (Constants)'!D7</f>
        <v>NV</v>
      </c>
      <c r="X35" s="277" t="s">
        <v>242</v>
      </c>
      <c r="Y35" s="277" t="str">
        <f>IF('Table D-4b (Chronic Summary)'!C6="=Drinking Water Toxicity","No","Yes")</f>
        <v>No</v>
      </c>
      <c r="Z35" s="298">
        <f>'Table H (Constants)'!H7</f>
        <v>1050</v>
      </c>
      <c r="AA35" s="328">
        <v>3</v>
      </c>
      <c r="AB35" s="328">
        <f t="shared" ref="AB35:AB59" si="4">IF(Y35="No",6,"")</f>
        <v>6</v>
      </c>
      <c r="AC35" s="340" t="str">
        <f t="shared" ref="AC35:AC59" si="5">IF(AA35=$AA$19,$AB$19,IF(AA35=$AA$20,$AB$20,IF(AA35=$AA$22,$AB$22,IF(AA35=$AA$24,$AB$24,$AB$26))))</f>
        <v>Potentially significant soil leaching hazard and subsequent contamination of groundwater.  SPLP batch test and LEAF Method 1314 soil column test recommended if soil leaching action level exceeded (refer to accompanying PFAS Technical Memorandum).</v>
      </c>
      <c r="AD35" s="402" t="str">
        <f t="shared" ref="AD35:AD59" si="6">IF(AB35=6,$AB$27,"")</f>
        <v xml:space="preserve">Aquatic toxicity action levels not available. Drinking water action level used as interim substitute (Table D-4b and Table D-4c; see text). </v>
      </c>
      <c r="AE35" s="447"/>
      <c r="AF35" s="447"/>
      <c r="AG35" s="447"/>
      <c r="AH35" s="447"/>
    </row>
    <row r="36" spans="3:34" ht="15.75" customHeight="1" x14ac:dyDescent="0.25">
      <c r="C36" s="1319" t="s">
        <v>244</v>
      </c>
      <c r="D36" s="1390"/>
      <c r="E36" s="1390"/>
      <c r="F36" s="1390"/>
      <c r="G36" s="1390"/>
      <c r="H36" s="1390"/>
      <c r="I36" s="1390"/>
      <c r="J36" s="1390"/>
      <c r="K36" s="1390"/>
      <c r="L36" s="1327"/>
      <c r="M36" s="437"/>
      <c r="N36" s="331" t="str">
        <f t="shared" si="3"/>
        <v>Perfluorohexane sulfonate (PFHxS-)</v>
      </c>
      <c r="O36" s="333" t="str">
        <f>'Table H (Constants)'!B8</f>
        <v>108427-53-8</v>
      </c>
      <c r="P36" s="333" t="str">
        <f>'Table H (Constants)'!C8</f>
        <v>Perfluorohexane sulfonate (PFHxS-)</v>
      </c>
      <c r="Q36" s="304" t="e">
        <f>IF(#REF!=0,"",#REF!)</f>
        <v>#REF!</v>
      </c>
      <c r="R36" s="304" t="s">
        <v>240</v>
      </c>
      <c r="S36" s="304" t="s">
        <v>240</v>
      </c>
      <c r="T36" s="304">
        <v>1</v>
      </c>
      <c r="U36" s="279">
        <v>1</v>
      </c>
      <c r="V36" s="278" t="s">
        <v>241</v>
      </c>
      <c r="W36" s="401" t="str">
        <f>'Table H (Constants)'!D8</f>
        <v>NV</v>
      </c>
      <c r="X36" s="277" t="s">
        <v>242</v>
      </c>
      <c r="Y36" s="277" t="str">
        <f>IF('Table D-4b (Chronic Summary)'!C7="=Drinking Water Toxicity","No","Yes")</f>
        <v>Yes</v>
      </c>
      <c r="Z36" s="298">
        <f>'Table H (Constants)'!H8</f>
        <v>2290</v>
      </c>
      <c r="AA36" s="328">
        <v>3</v>
      </c>
      <c r="AB36" s="328" t="str">
        <f t="shared" si="4"/>
        <v/>
      </c>
      <c r="AC36" s="340" t="str">
        <f t="shared" si="5"/>
        <v>Potentially significant soil leaching hazard and subsequent contamination of groundwater.  SPLP batch test and LEAF Method 1314 soil column test recommended if soil leaching action level exceeded (refer to accompanying PFAS Technical Memorandum).</v>
      </c>
      <c r="AD36" s="402" t="str">
        <f t="shared" si="6"/>
        <v/>
      </c>
      <c r="AE36" s="447"/>
      <c r="AF36" s="447"/>
      <c r="AG36" s="447"/>
      <c r="AH36" s="447"/>
    </row>
    <row r="37" spans="3:34" ht="50.1" customHeight="1" x14ac:dyDescent="0.25">
      <c r="C37" s="1319" t="s">
        <v>245</v>
      </c>
      <c r="D37" s="1390"/>
      <c r="E37" s="1390"/>
      <c r="F37" s="1390"/>
      <c r="G37" s="1390"/>
      <c r="H37" s="1390"/>
      <c r="I37" s="1390"/>
      <c r="J37" s="1390"/>
      <c r="K37" s="1390"/>
      <c r="L37" s="1327"/>
      <c r="M37" s="437"/>
      <c r="N37" s="331" t="str">
        <f t="shared" si="3"/>
        <v>Perfluoroheptane sulfonate (PFHpS-)</v>
      </c>
      <c r="O37" s="333" t="str">
        <f>'Table H (Constants)'!B9</f>
        <v>146689-46-5</v>
      </c>
      <c r="P37" s="333" t="str">
        <f>'Table H (Constants)'!C9</f>
        <v>Perfluoroheptane sulfonate (PFHpS-)</v>
      </c>
      <c r="Q37" s="304" t="e">
        <f>IF(#REF!=0,"",#REF!)</f>
        <v>#REF!</v>
      </c>
      <c r="R37" s="304" t="s">
        <v>240</v>
      </c>
      <c r="S37" s="304" t="s">
        <v>240</v>
      </c>
      <c r="T37" s="304">
        <v>1</v>
      </c>
      <c r="U37" s="279">
        <v>1</v>
      </c>
      <c r="V37" s="278" t="s">
        <v>241</v>
      </c>
      <c r="W37" s="401" t="str">
        <f>'Table H (Constants)'!D9</f>
        <v>NV</v>
      </c>
      <c r="X37" s="277" t="s">
        <v>242</v>
      </c>
      <c r="Y37" s="277" t="str">
        <f>IF('Table D-4b (Chronic Summary)'!C8="=Drinking Water Toxicity","No","Yes")</f>
        <v>No</v>
      </c>
      <c r="Z37" s="298">
        <f>'Table H (Constants)'!H9</f>
        <v>1230</v>
      </c>
      <c r="AA37" s="328">
        <v>3</v>
      </c>
      <c r="AB37" s="328">
        <f t="shared" si="4"/>
        <v>6</v>
      </c>
      <c r="AC37" s="340" t="str">
        <f t="shared" si="5"/>
        <v>Potentially significant soil leaching hazard and subsequent contamination of groundwater.  SPLP batch test and LEAF Method 1314 soil column test recommended if soil leaching action level exceeded (refer to accompanying PFAS Technical Memorandum).</v>
      </c>
      <c r="AD37" s="402" t="str">
        <f t="shared" si="6"/>
        <v xml:space="preserve">Aquatic toxicity action levels not available. Drinking water action level used as interim substitute (Table D-4b and Table D-4c; see text). </v>
      </c>
      <c r="AE37" s="447"/>
      <c r="AF37" s="447"/>
      <c r="AG37" s="447"/>
      <c r="AH37" s="447"/>
    </row>
    <row r="38" spans="3:34" ht="47.25" customHeight="1" x14ac:dyDescent="0.25">
      <c r="C38" s="1319" t="s">
        <v>246</v>
      </c>
      <c r="D38" s="1390"/>
      <c r="E38" s="1390"/>
      <c r="F38" s="1390"/>
      <c r="G38" s="1390"/>
      <c r="H38" s="1390"/>
      <c r="I38" s="1390"/>
      <c r="J38" s="1390"/>
      <c r="K38" s="1390"/>
      <c r="L38" s="1327"/>
      <c r="M38" s="437"/>
      <c r="N38" s="331" t="str">
        <f t="shared" si="3"/>
        <v>Perfluorooctane sulfonate (PFOS-)</v>
      </c>
      <c r="O38" s="333" t="str">
        <f>'Table H (Constants)'!B10</f>
        <v>45298-90-6</v>
      </c>
      <c r="P38" s="333" t="str">
        <f>'Table H (Constants)'!C10</f>
        <v>Perfluorooctane sulfonate (PFOS-)</v>
      </c>
      <c r="Q38" s="304" t="e">
        <f>IF(#REF!=0,"",#REF!)</f>
        <v>#REF!</v>
      </c>
      <c r="R38" s="304" t="s">
        <v>240</v>
      </c>
      <c r="S38" s="304" t="s">
        <v>240</v>
      </c>
      <c r="T38" s="304">
        <v>1</v>
      </c>
      <c r="U38" s="279">
        <v>1</v>
      </c>
      <c r="V38" s="278" t="s">
        <v>241</v>
      </c>
      <c r="W38" s="401" t="str">
        <f>'Table H (Constants)'!D10</f>
        <v>NV</v>
      </c>
      <c r="X38" s="277" t="s">
        <v>242</v>
      </c>
      <c r="Y38" s="277" t="str">
        <f>IF('Table D-4b (Chronic Summary)'!C9="=Drinking Water Toxicity","No","Yes")</f>
        <v>Yes</v>
      </c>
      <c r="Z38" s="298">
        <f>'Table H (Constants)'!H10</f>
        <v>355</v>
      </c>
      <c r="AA38" s="328">
        <v>5</v>
      </c>
      <c r="AB38" s="328" t="str">
        <f t="shared" si="4"/>
        <v/>
      </c>
      <c r="AC38" s="340" t="str">
        <f t="shared" si="5"/>
        <v>Not anticipated to be significantly mobile in soil or groundwater (Koc&gt;5,000 cm3/g).  Batch tests recommended if soil leaching action level exceeded (see Advanced EHE Options tab of Surfer). Evaluate potential surface runoff hazards into aquatic habitats.</v>
      </c>
      <c r="AD38" s="402" t="str">
        <f t="shared" si="6"/>
        <v/>
      </c>
      <c r="AE38" s="447"/>
      <c r="AF38" s="447"/>
      <c r="AG38" s="447"/>
      <c r="AH38" s="447"/>
    </row>
    <row r="39" spans="3:34" ht="33" customHeight="1" x14ac:dyDescent="0.25">
      <c r="C39" s="1319" t="s">
        <v>247</v>
      </c>
      <c r="D39" s="1390"/>
      <c r="E39" s="1390"/>
      <c r="F39" s="1390"/>
      <c r="G39" s="1390"/>
      <c r="H39" s="1390"/>
      <c r="I39" s="1390"/>
      <c r="J39" s="1390"/>
      <c r="K39" s="1390"/>
      <c r="L39" s="1327"/>
      <c r="M39" s="437"/>
      <c r="N39" s="331" t="str">
        <f t="shared" si="3"/>
        <v>Perfluorodecane sulfonate (PFDS-)</v>
      </c>
      <c r="O39" s="333" t="str">
        <f>'Table H (Constants)'!B11</f>
        <v>126105-34-8</v>
      </c>
      <c r="P39" s="333" t="str">
        <f>'Table H (Constants)'!C11</f>
        <v>Perfluorodecane sulfonate (PFDS-)</v>
      </c>
      <c r="Q39" s="304" t="e">
        <f>IF(#REF!=0,"",#REF!)</f>
        <v>#REF!</v>
      </c>
      <c r="R39" s="304" t="s">
        <v>240</v>
      </c>
      <c r="S39" s="304" t="s">
        <v>240</v>
      </c>
      <c r="T39" s="304">
        <v>1</v>
      </c>
      <c r="U39" s="279">
        <v>1</v>
      </c>
      <c r="V39" s="278" t="s">
        <v>241</v>
      </c>
      <c r="W39" s="401" t="str">
        <f>'Table H (Constants)'!D11</f>
        <v>NV</v>
      </c>
      <c r="X39" s="277" t="s">
        <v>242</v>
      </c>
      <c r="Y39" s="277" t="str">
        <f>IF('Table D-4b (Chronic Summary)'!C10="=Drinking Water Toxicity","No","Yes")</f>
        <v>No</v>
      </c>
      <c r="Z39" s="298">
        <f>'Table H (Constants)'!H11</f>
        <v>19100</v>
      </c>
      <c r="AA39" s="328">
        <f>IF(V39="Y",$AA$20,IF(W39="V",$AA$19,IF(Z39&gt;30000,$AA$26,IF(X39="N",$AA$24,$AA$22))))</f>
        <v>3</v>
      </c>
      <c r="AB39" s="328">
        <f t="shared" si="4"/>
        <v>6</v>
      </c>
      <c r="AC39" s="340" t="str">
        <f t="shared" si="5"/>
        <v>Potentially significant soil leaching hazard and subsequent contamination of groundwater.  SPLP batch test and LEAF Method 1314 soil column test recommended if soil leaching action level exceeded (refer to accompanying PFAS Technical Memorandum).</v>
      </c>
      <c r="AD39" s="402" t="str">
        <f t="shared" si="6"/>
        <v xml:space="preserve">Aquatic toxicity action levels not available. Drinking water action level used as interim substitute (Table D-4b and Table D-4c; see text). </v>
      </c>
      <c r="AE39" s="447"/>
      <c r="AF39" s="447"/>
      <c r="AG39" s="447"/>
      <c r="AH39" s="447"/>
    </row>
    <row r="40" spans="3:34" ht="17.25" customHeight="1" x14ac:dyDescent="0.25">
      <c r="C40" s="1319" t="s">
        <v>248</v>
      </c>
      <c r="D40" s="1390"/>
      <c r="E40" s="1390"/>
      <c r="F40" s="1390"/>
      <c r="G40" s="1390"/>
      <c r="H40" s="1390"/>
      <c r="I40" s="1390"/>
      <c r="J40" s="1390"/>
      <c r="K40" s="1390"/>
      <c r="L40" s="1327"/>
      <c r="M40" s="437"/>
      <c r="N40" s="331" t="str">
        <f t="shared" ref="N40" si="7">IF($D$14=$O$27,P40,O40)</f>
        <v>Perfluoro ethanoate (PFEtA-) (Trifluoroacetate)</v>
      </c>
      <c r="O40" s="333" t="str">
        <f>'Table H (Constants)'!B12</f>
        <v>14477-72-6</v>
      </c>
      <c r="P40" s="333" t="str">
        <f>'Table H (Constants)'!C12</f>
        <v>Perfluoro ethanoate (PFEtA-) (Trifluoroacetate)</v>
      </c>
      <c r="Q40" s="304" t="e">
        <f>IF(#REF!=0,"",#REF!)</f>
        <v>#REF!</v>
      </c>
      <c r="R40" s="304" t="s">
        <v>240</v>
      </c>
      <c r="S40" s="304" t="s">
        <v>240</v>
      </c>
      <c r="T40" s="304">
        <v>1</v>
      </c>
      <c r="U40" s="279">
        <v>1</v>
      </c>
      <c r="V40" s="278" t="s">
        <v>241</v>
      </c>
      <c r="W40" s="401" t="str">
        <f>'Table H (Constants)'!D12</f>
        <v>V</v>
      </c>
      <c r="X40" s="277" t="s">
        <v>241</v>
      </c>
      <c r="Y40" s="277" t="s">
        <v>249</v>
      </c>
      <c r="Z40" s="298">
        <f>'Table H (Constants)'!H12</f>
        <v>4.07</v>
      </c>
      <c r="AA40" s="328">
        <v>3</v>
      </c>
      <c r="AB40" s="328"/>
      <c r="AC40" s="340" t="str">
        <f t="shared" si="5"/>
        <v>Potentially significant soil leaching hazard and subsequent contamination of groundwater.  SPLP batch test and LEAF Method 1314 soil column test recommended if soil leaching action level exceeded (refer to accompanying PFAS Technical Memorandum).</v>
      </c>
      <c r="AD40" s="402" t="str">
        <f t="shared" si="6"/>
        <v/>
      </c>
      <c r="AE40" s="447"/>
      <c r="AF40" s="447"/>
      <c r="AG40" s="447"/>
      <c r="AH40" s="447"/>
    </row>
    <row r="41" spans="3:34" ht="36.75" customHeight="1" x14ac:dyDescent="0.25">
      <c r="C41" s="1319" t="s">
        <v>250</v>
      </c>
      <c r="D41" s="1390"/>
      <c r="E41" s="1390"/>
      <c r="F41" s="1390"/>
      <c r="G41" s="1390"/>
      <c r="H41" s="1390"/>
      <c r="I41" s="1390"/>
      <c r="J41" s="1390"/>
      <c r="K41" s="1390"/>
      <c r="L41" s="1327"/>
      <c r="M41" s="437"/>
      <c r="N41" s="331" t="str">
        <f t="shared" si="3"/>
        <v>Perfluoro propanoate (PFPrA-)</v>
      </c>
      <c r="O41" s="333" t="str">
        <f>'Table H (Constants)'!B13</f>
        <v>44864-55-3</v>
      </c>
      <c r="P41" s="333" t="str">
        <f>'Table H (Constants)'!C13</f>
        <v>Perfluoro propanoate (PFPrA-)</v>
      </c>
      <c r="Q41" s="304" t="e">
        <f>IF(#REF!=0,"",#REF!)</f>
        <v>#REF!</v>
      </c>
      <c r="R41" s="304" t="s">
        <v>240</v>
      </c>
      <c r="S41" s="304" t="s">
        <v>240</v>
      </c>
      <c r="T41" s="304">
        <v>1</v>
      </c>
      <c r="U41" s="279">
        <v>1</v>
      </c>
      <c r="V41" s="278" t="s">
        <v>241</v>
      </c>
      <c r="W41" s="401" t="str">
        <f>'Table H (Constants)'!D13</f>
        <v>V</v>
      </c>
      <c r="X41" s="277" t="s">
        <v>242</v>
      </c>
      <c r="Y41" s="277" t="str">
        <f>IF('Table D-4b (Chronic Summary)'!C12="=Drinking Water Toxicity","No","Yes")</f>
        <v>No</v>
      </c>
      <c r="Z41" s="298">
        <f>'Table H (Constants)'!H13</f>
        <v>5.89</v>
      </c>
      <c r="AA41" s="328">
        <f>IF(V41="Y",$AA$20,IF(W41="V",$AA$19,IF(Z41&gt;30000,$AA$26,IF(X41="N",$AA$24,$AA$22))))</f>
        <v>1</v>
      </c>
      <c r="AB41" s="328">
        <f t="shared" si="4"/>
        <v>6</v>
      </c>
      <c r="AC41" s="340" t="str">
        <f t="shared" si="5"/>
        <v>Volatile chemical. Collect soil gas data for site-specific evaluation of vapor intrusion hazards if Tier 1 action levels for this hazard exceeded (see Advanced EHE Options tab of Surfer).</v>
      </c>
      <c r="AD41" s="402" t="str">
        <f t="shared" si="6"/>
        <v xml:space="preserve">Aquatic toxicity action levels not available. Drinking water action level used as interim substitute (Table D-4b and Table D-4c; see text). </v>
      </c>
      <c r="AE41" s="447"/>
      <c r="AF41" s="447"/>
      <c r="AG41" s="447"/>
      <c r="AH41" s="447"/>
    </row>
    <row r="42" spans="3:34" ht="18" customHeight="1" x14ac:dyDescent="0.25">
      <c r="C42" s="1320"/>
      <c r="D42" s="1327"/>
      <c r="E42" s="1327"/>
      <c r="F42" s="1327"/>
      <c r="G42" s="1327"/>
      <c r="H42" s="1327"/>
      <c r="I42" s="1327"/>
      <c r="J42" s="1327"/>
      <c r="K42" s="1327"/>
      <c r="L42" s="437"/>
      <c r="M42" s="437"/>
      <c r="N42" s="331" t="str">
        <f t="shared" si="3"/>
        <v>Perfluoro butanoate (PFBA-)</v>
      </c>
      <c r="O42" s="333" t="str">
        <f>'Table H (Constants)'!B14</f>
        <v>45048-62-2</v>
      </c>
      <c r="P42" s="333" t="str">
        <f>'Table H (Constants)'!C14</f>
        <v>Perfluoro butanoate (PFBA-)</v>
      </c>
      <c r="Q42" s="304" t="e">
        <f>IF(#REF!=0,"",#REF!)</f>
        <v>#REF!</v>
      </c>
      <c r="R42" s="304" t="s">
        <v>240</v>
      </c>
      <c r="S42" s="304" t="s">
        <v>240</v>
      </c>
      <c r="T42" s="304">
        <v>1</v>
      </c>
      <c r="U42" s="279">
        <v>1</v>
      </c>
      <c r="V42" s="278" t="s">
        <v>241</v>
      </c>
      <c r="W42" s="401" t="str">
        <f>'Table H (Constants)'!D14</f>
        <v>SV</v>
      </c>
      <c r="X42" s="277" t="s">
        <v>242</v>
      </c>
      <c r="Y42" s="277" t="str">
        <f>IF('Table D-4b (Chronic Summary)'!C13="=Drinking Water Toxicity","No","Yes")</f>
        <v>Yes</v>
      </c>
      <c r="Z42" s="298">
        <f>'Table H (Constants)'!H14</f>
        <v>89.1</v>
      </c>
      <c r="AA42" s="328">
        <v>3</v>
      </c>
      <c r="AB42" s="328" t="str">
        <f t="shared" si="4"/>
        <v/>
      </c>
      <c r="AC42" s="340" t="str">
        <f t="shared" si="5"/>
        <v>Potentially significant soil leaching hazard and subsequent contamination of groundwater.  SPLP batch test and LEAF Method 1314 soil column test recommended if soil leaching action level exceeded (refer to accompanying PFAS Technical Memorandum).</v>
      </c>
      <c r="AD42" s="402" t="str">
        <f t="shared" si="6"/>
        <v/>
      </c>
      <c r="AE42" s="447"/>
      <c r="AF42" s="447"/>
      <c r="AG42" s="447"/>
      <c r="AH42" s="447"/>
    </row>
    <row r="43" spans="3:34" ht="89.25" x14ac:dyDescent="0.2">
      <c r="C43" s="447"/>
      <c r="D43" s="447"/>
      <c r="E43" s="447"/>
      <c r="F43" s="447"/>
      <c r="G43" s="447"/>
      <c r="H43" s="447"/>
      <c r="I43" s="447"/>
      <c r="J43" s="447"/>
      <c r="K43" s="447"/>
      <c r="L43" s="447"/>
      <c r="M43" s="437"/>
      <c r="N43" s="331" t="str">
        <f t="shared" si="3"/>
        <v>Perfluoro pentanoate (PFPeA-)</v>
      </c>
      <c r="O43" s="333" t="str">
        <f>'Table H (Constants)'!B15</f>
        <v>45167-47-3</v>
      </c>
      <c r="P43" s="333" t="str">
        <f>'Table H (Constants)'!C15</f>
        <v>Perfluoro pentanoate (PFPeA-)</v>
      </c>
      <c r="Q43" s="304" t="e">
        <f>IF(#REF!=0,"",#REF!)</f>
        <v>#REF!</v>
      </c>
      <c r="R43" s="304" t="s">
        <v>240</v>
      </c>
      <c r="S43" s="304" t="s">
        <v>240</v>
      </c>
      <c r="T43" s="304">
        <v>1</v>
      </c>
      <c r="U43" s="279">
        <v>1</v>
      </c>
      <c r="V43" s="278" t="s">
        <v>241</v>
      </c>
      <c r="W43" s="401" t="str">
        <f>'Table H (Constants)'!D15</f>
        <v>SV</v>
      </c>
      <c r="X43" s="277" t="s">
        <v>242</v>
      </c>
      <c r="Y43" s="277" t="str">
        <f>IF('Table D-4b (Chronic Summary)'!C14="=Drinking Water Toxicity","No","Yes")</f>
        <v>No</v>
      </c>
      <c r="Z43" s="298">
        <f>'Table H (Constants)'!H15</f>
        <v>95.5</v>
      </c>
      <c r="AA43" s="328">
        <v>3</v>
      </c>
      <c r="AB43" s="328">
        <f t="shared" si="4"/>
        <v>6</v>
      </c>
      <c r="AC43" s="340" t="str">
        <f t="shared" si="5"/>
        <v>Potentially significant soil leaching hazard and subsequent contamination of groundwater.  SPLP batch test and LEAF Method 1314 soil column test recommended if soil leaching action level exceeded (refer to accompanying PFAS Technical Memorandum).</v>
      </c>
      <c r="AD43" s="402" t="str">
        <f t="shared" si="6"/>
        <v xml:space="preserve">Aquatic toxicity action levels not available. Drinking water action level used as interim substitute (Table D-4b and Table D-4c; see text). </v>
      </c>
      <c r="AE43" s="447"/>
      <c r="AF43" s="447"/>
      <c r="AG43" s="447"/>
      <c r="AH43" s="447"/>
    </row>
    <row r="44" spans="3:34" ht="89.25" x14ac:dyDescent="0.2">
      <c r="C44" s="447"/>
      <c r="D44" s="447"/>
      <c r="E44" s="447"/>
      <c r="F44" s="447"/>
      <c r="G44" s="447"/>
      <c r="H44" s="447"/>
      <c r="I44" s="447"/>
      <c r="J44" s="447"/>
      <c r="K44" s="447"/>
      <c r="L44" s="447"/>
      <c r="M44" s="437"/>
      <c r="N44" s="331" t="str">
        <f t="shared" si="3"/>
        <v>Perfluoro hexanoate (PFHxA-)</v>
      </c>
      <c r="O44" s="333" t="str">
        <f>'Table H (Constants)'!B16</f>
        <v>92612-52-7</v>
      </c>
      <c r="P44" s="333" t="str">
        <f>'Table H (Constants)'!C16</f>
        <v>Perfluoro hexanoate (PFHxA-)</v>
      </c>
      <c r="Q44" s="304" t="e">
        <f>IF(#REF!=0,"",#REF!)</f>
        <v>#REF!</v>
      </c>
      <c r="R44" s="304" t="s">
        <v>240</v>
      </c>
      <c r="S44" s="304" t="s">
        <v>240</v>
      </c>
      <c r="T44" s="304">
        <v>1</v>
      </c>
      <c r="U44" s="279">
        <v>1</v>
      </c>
      <c r="V44" s="278" t="s">
        <v>241</v>
      </c>
      <c r="W44" s="401" t="str">
        <f>'Table H (Constants)'!D16</f>
        <v>SV</v>
      </c>
      <c r="X44" s="277" t="s">
        <v>242</v>
      </c>
      <c r="Y44" s="277" t="str">
        <f>IF('Table D-4b (Chronic Summary)'!C15="=Drinking Water Toxicity","No","Yes")</f>
        <v>Yes</v>
      </c>
      <c r="Z44" s="298">
        <f>'Table H (Constants)'!H16</f>
        <v>1070</v>
      </c>
      <c r="AA44" s="328">
        <v>3</v>
      </c>
      <c r="AB44" s="328" t="str">
        <f t="shared" si="4"/>
        <v/>
      </c>
      <c r="AC44" s="340" t="str">
        <f t="shared" si="5"/>
        <v>Potentially significant soil leaching hazard and subsequent contamination of groundwater.  SPLP batch test and LEAF Method 1314 soil column test recommended if soil leaching action level exceeded (refer to accompanying PFAS Technical Memorandum).</v>
      </c>
      <c r="AD44" s="402" t="str">
        <f t="shared" si="6"/>
        <v/>
      </c>
      <c r="AE44" s="447"/>
      <c r="AF44" s="447"/>
      <c r="AG44" s="447"/>
      <c r="AH44" s="447"/>
    </row>
    <row r="45" spans="3:34" ht="89.25" x14ac:dyDescent="0.2">
      <c r="C45" s="447"/>
      <c r="D45" s="447"/>
      <c r="E45" s="447"/>
      <c r="F45" s="447"/>
      <c r="G45" s="447"/>
      <c r="H45" s="447"/>
      <c r="I45" s="447"/>
      <c r="J45" s="447"/>
      <c r="K45" s="447"/>
      <c r="L45" s="447"/>
      <c r="M45" s="437"/>
      <c r="N45" s="331" t="str">
        <f t="shared" si="3"/>
        <v>Perfluoro heptanoate (PFHpA-)</v>
      </c>
      <c r="O45" s="333" t="str">
        <f>'Table H (Constants)'!B17</f>
        <v>120885-29-2</v>
      </c>
      <c r="P45" s="333" t="str">
        <f>'Table H (Constants)'!C17</f>
        <v>Perfluoro heptanoate (PFHpA-)</v>
      </c>
      <c r="Q45" s="304" t="e">
        <f>IF(#REF!=0,"",#REF!)</f>
        <v>#REF!</v>
      </c>
      <c r="R45" s="304" t="s">
        <v>240</v>
      </c>
      <c r="S45" s="304" t="s">
        <v>240</v>
      </c>
      <c r="T45" s="304">
        <v>1</v>
      </c>
      <c r="U45" s="279">
        <v>1</v>
      </c>
      <c r="V45" s="278" t="s">
        <v>241</v>
      </c>
      <c r="W45" s="401" t="str">
        <f>'Table H (Constants)'!D17</f>
        <v>NV</v>
      </c>
      <c r="X45" s="277" t="s">
        <v>242</v>
      </c>
      <c r="Y45" s="277" t="str">
        <f>IF('Table D-4b (Chronic Summary)'!C16="=Drinking Water Toxicity","No","Yes")</f>
        <v>No</v>
      </c>
      <c r="Z45" s="298">
        <f>'Table H (Constants)'!H17</f>
        <v>2090</v>
      </c>
      <c r="AA45" s="328">
        <f>IF(V45="Y",$AA$20,IF(W45="V",$AA$19,IF(Z45&gt;30000,$AA$26,IF(X45="N",$AA$24,$AA$22))))</f>
        <v>3</v>
      </c>
      <c r="AB45" s="328">
        <f t="shared" si="4"/>
        <v>6</v>
      </c>
      <c r="AC45" s="340" t="str">
        <f t="shared" si="5"/>
        <v>Potentially significant soil leaching hazard and subsequent contamination of groundwater.  SPLP batch test and LEAF Method 1314 soil column test recommended if soil leaching action level exceeded (refer to accompanying PFAS Technical Memorandum).</v>
      </c>
      <c r="AD45" s="402" t="str">
        <f t="shared" si="6"/>
        <v xml:space="preserve">Aquatic toxicity action levels not available. Drinking water action level used as interim substitute (Table D-4b and Table D-4c; see text). </v>
      </c>
      <c r="AE45" s="447"/>
      <c r="AF45" s="447"/>
      <c r="AG45" s="447"/>
      <c r="AH45" s="447"/>
    </row>
    <row r="46" spans="3:34" ht="89.25" x14ac:dyDescent="0.2">
      <c r="C46" s="447"/>
      <c r="D46" s="447"/>
      <c r="E46" s="447"/>
      <c r="F46" s="447"/>
      <c r="G46" s="447"/>
      <c r="H46" s="447"/>
      <c r="I46" s="447"/>
      <c r="J46" s="447"/>
      <c r="K46" s="447"/>
      <c r="L46" s="447"/>
      <c r="M46" s="437"/>
      <c r="N46" s="331" t="str">
        <f t="shared" si="3"/>
        <v>Perfluoro octanoate (PFOA-)</v>
      </c>
      <c r="O46" s="333" t="str">
        <f>'Table H (Constants)'!B18</f>
        <v>45285-51-6</v>
      </c>
      <c r="P46" s="333" t="str">
        <f>'Table H (Constants)'!C18</f>
        <v>Perfluoro octanoate (PFOA-)</v>
      </c>
      <c r="Q46" s="304" t="e">
        <f>IF(#REF!=0,"",#REF!)</f>
        <v>#REF!</v>
      </c>
      <c r="R46" s="304">
        <v>1.0000000000000001E-5</v>
      </c>
      <c r="S46" s="304">
        <v>1.0000000000000001E-5</v>
      </c>
      <c r="T46" s="304">
        <v>1</v>
      </c>
      <c r="U46" s="279">
        <v>1</v>
      </c>
      <c r="V46" s="278" t="s">
        <v>241</v>
      </c>
      <c r="W46" s="401" t="str">
        <f>'Table H (Constants)'!D18</f>
        <v>NV</v>
      </c>
      <c r="X46" s="277" t="s">
        <v>242</v>
      </c>
      <c r="Y46" s="277" t="str">
        <f>IF('Table D-4b (Chronic Summary)'!C17="=Drinking Water Toxicity","No","Yes")</f>
        <v>Yes</v>
      </c>
      <c r="Z46" s="298">
        <f>'Table H (Constants)'!H18</f>
        <v>1660</v>
      </c>
      <c r="AA46" s="328">
        <v>3</v>
      </c>
      <c r="AB46" s="328" t="str">
        <f t="shared" si="4"/>
        <v/>
      </c>
      <c r="AC46" s="340" t="str">
        <f t="shared" si="5"/>
        <v>Potentially significant soil leaching hazard and subsequent contamination of groundwater.  SPLP batch test and LEAF Method 1314 soil column test recommended if soil leaching action level exceeded (refer to accompanying PFAS Technical Memorandum).</v>
      </c>
      <c r="AD46" s="402" t="str">
        <f t="shared" si="6"/>
        <v/>
      </c>
      <c r="AE46" s="447"/>
      <c r="AF46" s="447"/>
      <c r="AG46" s="447"/>
      <c r="AH46" s="447"/>
    </row>
    <row r="47" spans="3:34" ht="76.5" x14ac:dyDescent="0.2">
      <c r="C47" s="447"/>
      <c r="D47" s="447"/>
      <c r="E47" s="447"/>
      <c r="F47" s="447"/>
      <c r="G47" s="447"/>
      <c r="H47" s="447"/>
      <c r="I47" s="447"/>
      <c r="J47" s="447"/>
      <c r="K47" s="447"/>
      <c r="L47" s="447"/>
      <c r="M47" s="437"/>
      <c r="N47" s="331" t="str">
        <f t="shared" si="3"/>
        <v>Perfluoro nonanoate (PFNA-)</v>
      </c>
      <c r="O47" s="333" t="str">
        <f>'Table H (Constants)'!B19</f>
        <v>72007-68-2</v>
      </c>
      <c r="P47" s="333" t="str">
        <f>'Table H (Constants)'!C19</f>
        <v>Perfluoro nonanoate (PFNA-)</v>
      </c>
      <c r="Q47" s="304" t="e">
        <f>IF(#REF!=0,"",#REF!)</f>
        <v>#REF!</v>
      </c>
      <c r="R47" s="304" t="s">
        <v>240</v>
      </c>
      <c r="S47" s="304" t="s">
        <v>240</v>
      </c>
      <c r="T47" s="304">
        <v>1</v>
      </c>
      <c r="U47" s="279">
        <v>1</v>
      </c>
      <c r="V47" s="278" t="s">
        <v>241</v>
      </c>
      <c r="W47" s="401" t="str">
        <f>'Table H (Constants)'!D19</f>
        <v>NV</v>
      </c>
      <c r="X47" s="277" t="s">
        <v>242</v>
      </c>
      <c r="Y47" s="277" t="str">
        <f>IF('Table D-4b (Chronic Summary)'!C18="=Drinking Water Toxicity","No","Yes")</f>
        <v>Yes</v>
      </c>
      <c r="Z47" s="298">
        <f>'Table H (Constants)'!H19</f>
        <v>2820</v>
      </c>
      <c r="AA47" s="328">
        <v>5</v>
      </c>
      <c r="AB47" s="328" t="str">
        <f t="shared" si="4"/>
        <v/>
      </c>
      <c r="AC47" s="340" t="str">
        <f t="shared" si="5"/>
        <v>Not anticipated to be significantly mobile in soil or groundwater (Koc&gt;5,000 cm3/g).  Batch tests recommended if soil leaching action level exceeded (see Advanced EHE Options tab of Surfer). Evaluate potential surface runoff hazards into aquatic habitats.</v>
      </c>
      <c r="AD47" s="402" t="str">
        <f t="shared" si="6"/>
        <v/>
      </c>
      <c r="AE47" s="447"/>
      <c r="AF47" s="447"/>
      <c r="AG47" s="447"/>
      <c r="AH47" s="447"/>
    </row>
    <row r="48" spans="3:34" ht="76.5" x14ac:dyDescent="0.2">
      <c r="C48" s="447"/>
      <c r="D48" s="447"/>
      <c r="E48" s="447"/>
      <c r="F48" s="447"/>
      <c r="G48" s="447"/>
      <c r="H48" s="447"/>
      <c r="I48" s="447"/>
      <c r="J48" s="447"/>
      <c r="K48" s="447"/>
      <c r="L48" s="447"/>
      <c r="M48" s="437"/>
      <c r="N48" s="331" t="str">
        <f t="shared" si="3"/>
        <v>Perfluoro decanoate (PFDA-)</v>
      </c>
      <c r="O48" s="333" t="str">
        <f>'Table H (Constants)'!B20</f>
        <v>73829-36-4</v>
      </c>
      <c r="P48" s="333" t="str">
        <f>'Table H (Constants)'!C20</f>
        <v>Perfluoro decanoate (PFDA-)</v>
      </c>
      <c r="Q48" s="304" t="e">
        <f>IF(#REF!=0,"",#REF!)</f>
        <v>#REF!</v>
      </c>
      <c r="R48" s="304" t="s">
        <v>240</v>
      </c>
      <c r="S48" s="304" t="s">
        <v>240</v>
      </c>
      <c r="T48" s="304">
        <v>1</v>
      </c>
      <c r="U48" s="279">
        <v>1</v>
      </c>
      <c r="V48" s="278" t="s">
        <v>241</v>
      </c>
      <c r="W48" s="401" t="str">
        <f>'Table H (Constants)'!D20</f>
        <v>NV</v>
      </c>
      <c r="X48" s="277" t="s">
        <v>242</v>
      </c>
      <c r="Y48" s="277" t="str">
        <f>IF('Table D-4b (Chronic Summary)'!C19="=Drinking Water Toxicity","No","Yes")</f>
        <v>Yes</v>
      </c>
      <c r="Z48" s="298">
        <f>'Table H (Constants)'!H20</f>
        <v>398</v>
      </c>
      <c r="AA48" s="328">
        <v>5</v>
      </c>
      <c r="AB48" s="328" t="str">
        <f t="shared" si="4"/>
        <v/>
      </c>
      <c r="AC48" s="340" t="str">
        <f t="shared" si="5"/>
        <v>Not anticipated to be significantly mobile in soil or groundwater (Koc&gt;5,000 cm3/g).  Batch tests recommended if soil leaching action level exceeded (see Advanced EHE Options tab of Surfer). Evaluate potential surface runoff hazards into aquatic habitats.</v>
      </c>
      <c r="AD48" s="402" t="str">
        <f t="shared" si="6"/>
        <v/>
      </c>
      <c r="AE48" s="447"/>
      <c r="AF48" s="447"/>
      <c r="AG48" s="447"/>
      <c r="AH48" s="447"/>
    </row>
    <row r="49" spans="13:34" ht="76.5" x14ac:dyDescent="0.2">
      <c r="M49" s="437"/>
      <c r="N49" s="331" t="str">
        <f t="shared" si="3"/>
        <v>Perfluoro undecanoate (PFUnDA-)</v>
      </c>
      <c r="O49" s="333" t="str">
        <f>'Table H (Constants)'!B21</f>
        <v>196859-54-8</v>
      </c>
      <c r="P49" s="333" t="str">
        <f>'Table H (Constants)'!C21</f>
        <v>Perfluoro undecanoate (PFUnDA-)</v>
      </c>
      <c r="Q49" s="304" t="e">
        <f>IF(#REF!=0,"",#REF!)</f>
        <v>#REF!</v>
      </c>
      <c r="R49" s="304" t="s">
        <v>240</v>
      </c>
      <c r="S49" s="304" t="s">
        <v>240</v>
      </c>
      <c r="T49" s="304">
        <v>1</v>
      </c>
      <c r="U49" s="279">
        <v>1</v>
      </c>
      <c r="V49" s="278" t="s">
        <v>241</v>
      </c>
      <c r="W49" s="401" t="str">
        <f>'Table H (Constants)'!D21</f>
        <v>NV</v>
      </c>
      <c r="X49" s="277" t="s">
        <v>242</v>
      </c>
      <c r="Y49" s="277" t="str">
        <f>IF('Table D-4b (Chronic Summary)'!C20="=Drinking Water Toxicity","No","Yes")</f>
        <v>Yes</v>
      </c>
      <c r="Z49" s="298">
        <f>'Table H (Constants)'!H21</f>
        <v>16600</v>
      </c>
      <c r="AA49" s="328">
        <v>5</v>
      </c>
      <c r="AB49" s="328" t="str">
        <f t="shared" si="4"/>
        <v/>
      </c>
      <c r="AC49" s="340" t="str">
        <f t="shared" si="5"/>
        <v>Not anticipated to be significantly mobile in soil or groundwater (Koc&gt;5,000 cm3/g).  Batch tests recommended if soil leaching action level exceeded (see Advanced EHE Options tab of Surfer). Evaluate potential surface runoff hazards into aquatic habitats.</v>
      </c>
      <c r="AD49" s="402" t="str">
        <f t="shared" si="6"/>
        <v/>
      </c>
      <c r="AE49" s="447"/>
      <c r="AF49" s="447"/>
      <c r="AG49" s="447"/>
      <c r="AH49" s="447"/>
    </row>
    <row r="50" spans="13:34" ht="76.5" x14ac:dyDescent="0.2">
      <c r="M50" s="437"/>
      <c r="N50" s="331" t="str">
        <f t="shared" si="3"/>
        <v>Perfluoro dodecanoate (PFDoDA-)</v>
      </c>
      <c r="O50" s="333" t="str">
        <f>'Table H (Constants)'!B22</f>
        <v>171978-95-3</v>
      </c>
      <c r="P50" s="333" t="str">
        <f>'Table H (Constants)'!C22</f>
        <v>Perfluoro dodecanoate (PFDoDA-)</v>
      </c>
      <c r="Q50" s="304" t="e">
        <f>IF(#REF!=0,"",#REF!)</f>
        <v>#REF!</v>
      </c>
      <c r="R50" s="304" t="s">
        <v>240</v>
      </c>
      <c r="S50" s="304" t="s">
        <v>240</v>
      </c>
      <c r="T50" s="304">
        <v>1</v>
      </c>
      <c r="U50" s="279">
        <v>1</v>
      </c>
      <c r="V50" s="278" t="s">
        <v>241</v>
      </c>
      <c r="W50" s="401" t="str">
        <f>'Table H (Constants)'!D22</f>
        <v>NV</v>
      </c>
      <c r="X50" s="277" t="s">
        <v>242</v>
      </c>
      <c r="Y50" s="277" t="str">
        <f>IF('Table D-4b (Chronic Summary)'!C21="=Drinking Water Toxicity","No","Yes")</f>
        <v>Yes</v>
      </c>
      <c r="Z50" s="298">
        <f>'Table H (Constants)'!H22</f>
        <v>85400</v>
      </c>
      <c r="AA50" s="328">
        <v>5</v>
      </c>
      <c r="AB50" s="328" t="str">
        <f t="shared" si="4"/>
        <v/>
      </c>
      <c r="AC50" s="340" t="str">
        <f t="shared" si="5"/>
        <v>Not anticipated to be significantly mobile in soil or groundwater (Koc&gt;5,000 cm3/g).  Batch tests recommended if soil leaching action level exceeded (see Advanced EHE Options tab of Surfer). Evaluate potential surface runoff hazards into aquatic habitats.</v>
      </c>
      <c r="AD50" s="402" t="str">
        <f t="shared" si="6"/>
        <v/>
      </c>
      <c r="AE50" s="447"/>
      <c r="AF50" s="447"/>
      <c r="AG50" s="447"/>
      <c r="AH50" s="447"/>
    </row>
    <row r="51" spans="13:34" ht="76.5" x14ac:dyDescent="0.2">
      <c r="M51" s="437"/>
      <c r="N51" s="331" t="str">
        <f t="shared" si="3"/>
        <v>Perfluoro tridecanoate (PFTrDA-)</v>
      </c>
      <c r="O51" s="333" t="str">
        <f>'Table H (Constants)'!B23</f>
        <v>862374-87-6</v>
      </c>
      <c r="P51" s="333" t="str">
        <f>'Table H (Constants)'!C23</f>
        <v>Perfluoro tridecanoate (PFTrDA-)</v>
      </c>
      <c r="Q51" s="304" t="e">
        <f>IF(#REF!=0,"",#REF!)</f>
        <v>#REF!</v>
      </c>
      <c r="R51" s="304" t="s">
        <v>240</v>
      </c>
      <c r="S51" s="304" t="s">
        <v>240</v>
      </c>
      <c r="T51" s="304">
        <v>1</v>
      </c>
      <c r="U51" s="279">
        <v>1</v>
      </c>
      <c r="V51" s="278" t="s">
        <v>241</v>
      </c>
      <c r="W51" s="401" t="str">
        <f>'Table H (Constants)'!D23</f>
        <v>NV</v>
      </c>
      <c r="X51" s="277" t="s">
        <v>242</v>
      </c>
      <c r="Y51" s="277" t="str">
        <f>IF('Table D-4b (Chronic Summary)'!C22="=Drinking Water Toxicity","No","Yes")</f>
        <v>No</v>
      </c>
      <c r="Z51" s="298">
        <f>'Table H (Constants)'!H23</f>
        <v>184000</v>
      </c>
      <c r="AA51" s="328">
        <f>IF(V51="Y",$AA$20,IF(W51="V",$AA$19,IF(Z51&gt;30000,$AA$26,IF(X51="N",$AA$24,$AA$22))))</f>
        <v>5</v>
      </c>
      <c r="AB51" s="328">
        <f t="shared" si="4"/>
        <v>6</v>
      </c>
      <c r="AC51" s="340" t="str">
        <f t="shared" si="5"/>
        <v>Not anticipated to be significantly mobile in soil or groundwater (Koc&gt;5,000 cm3/g).  Batch tests recommended if soil leaching action level exceeded (see Advanced EHE Options tab of Surfer). Evaluate potential surface runoff hazards into aquatic habitats.</v>
      </c>
      <c r="AD51" s="402" t="str">
        <f t="shared" si="6"/>
        <v xml:space="preserve">Aquatic toxicity action levels not available. Drinking water action level used as interim substitute (Table D-4b and Table D-4c; see text). </v>
      </c>
      <c r="AE51" s="54"/>
      <c r="AF51" s="447"/>
      <c r="AG51" s="447"/>
      <c r="AH51" s="447"/>
    </row>
    <row r="52" spans="13:34" ht="76.5" x14ac:dyDescent="0.2">
      <c r="M52" s="437"/>
      <c r="N52" s="331" t="str">
        <f t="shared" si="3"/>
        <v>Perfluoro tetradecanoate (PFTeDA-)</v>
      </c>
      <c r="O52" s="333" t="str">
        <f>'Table H (Constants)'!B24</f>
        <v>365971-87-5</v>
      </c>
      <c r="P52" s="333" t="str">
        <f>'Table H (Constants)'!C24</f>
        <v>Perfluoro tetradecanoate (PFTeDA-)</v>
      </c>
      <c r="Q52" s="304" t="e">
        <f>IF(#REF!=0,"",#REF!)</f>
        <v>#REF!</v>
      </c>
      <c r="R52" s="304" t="s">
        <v>240</v>
      </c>
      <c r="S52" s="304" t="s">
        <v>240</v>
      </c>
      <c r="T52" s="304">
        <v>1</v>
      </c>
      <c r="U52" s="279">
        <v>1</v>
      </c>
      <c r="V52" s="278" t="s">
        <v>241</v>
      </c>
      <c r="W52" s="401" t="str">
        <f>'Table H (Constants)'!D24</f>
        <v>NV</v>
      </c>
      <c r="X52" s="277" t="s">
        <v>242</v>
      </c>
      <c r="Y52" s="277" t="str">
        <f>IF('Table D-4b (Chronic Summary)'!C23="=Drinking Water Toxicity","No","Yes")</f>
        <v>No</v>
      </c>
      <c r="Z52" s="298">
        <f>'Table H (Constants)'!H24</f>
        <v>233000</v>
      </c>
      <c r="AA52" s="328">
        <f>IF(V52="Y",$AA$20,IF(W52="V",$AA$19,IF(Z52&gt;30000,$AA$26,IF(X52="N",$AA$24,$AA$22))))</f>
        <v>5</v>
      </c>
      <c r="AB52" s="328">
        <f t="shared" si="4"/>
        <v>6</v>
      </c>
      <c r="AC52" s="340" t="str">
        <f t="shared" si="5"/>
        <v>Not anticipated to be significantly mobile in soil or groundwater (Koc&gt;5,000 cm3/g).  Batch tests recommended if soil leaching action level exceeded (see Advanced EHE Options tab of Surfer). Evaluate potential surface runoff hazards into aquatic habitats.</v>
      </c>
      <c r="AD52" s="402" t="str">
        <f t="shared" si="6"/>
        <v xml:space="preserve">Aquatic toxicity action levels not available. Drinking water action level used as interim substitute (Table D-4b and Table D-4c; see text). </v>
      </c>
      <c r="AE52" s="55"/>
      <c r="AF52" s="54"/>
      <c r="AG52" s="308"/>
      <c r="AH52" s="313"/>
    </row>
    <row r="53" spans="13:34" ht="89.25" x14ac:dyDescent="0.2">
      <c r="M53" s="437"/>
      <c r="N53" s="331" t="str">
        <f t="shared" si="3"/>
        <v>Perfluroroctane sulfonamide (PFOSA)</v>
      </c>
      <c r="O53" s="333" t="str">
        <f>'Table H (Constants)'!B25</f>
        <v>754-91-6</v>
      </c>
      <c r="P53" s="333" t="str">
        <f>'Table H (Constants)'!C25</f>
        <v>Perfluroroctane sulfonamide (PFOSA)</v>
      </c>
      <c r="Q53" s="304" t="e">
        <f>IF(#REF!=0,"",#REF!)</f>
        <v>#REF!</v>
      </c>
      <c r="R53" s="304" t="s">
        <v>240</v>
      </c>
      <c r="S53" s="304" t="s">
        <v>240</v>
      </c>
      <c r="T53" s="304">
        <v>1</v>
      </c>
      <c r="U53" s="279">
        <v>1</v>
      </c>
      <c r="V53" s="278" t="s">
        <v>241</v>
      </c>
      <c r="W53" s="401" t="str">
        <f>'Table H (Constants)'!D25</f>
        <v>NV</v>
      </c>
      <c r="X53" s="277" t="s">
        <v>242</v>
      </c>
      <c r="Y53" s="277" t="str">
        <f>IF('Table D-4b (Chronic Summary)'!C24="=Drinking Water Toxicity","No","Yes")</f>
        <v>No</v>
      </c>
      <c r="Z53" s="298">
        <f>'Table H (Constants)'!H25</f>
        <v>661</v>
      </c>
      <c r="AA53" s="328">
        <f>IF(V53="Y",$AA$20,IF(W53="V",$AA$19,IF(Z53&gt;30000,$AA$26,IF(X53="N",$AA$24,$AA$22))))</f>
        <v>3</v>
      </c>
      <c r="AB53" s="328">
        <f t="shared" si="4"/>
        <v>6</v>
      </c>
      <c r="AC53" s="340" t="str">
        <f t="shared" si="5"/>
        <v>Potentially significant soil leaching hazard and subsequent contamination of groundwater.  SPLP batch test and LEAF Method 1314 soil column test recommended if soil leaching action level exceeded (refer to accompanying PFAS Technical Memorandum).</v>
      </c>
      <c r="AD53" s="402" t="str">
        <f t="shared" si="6"/>
        <v xml:space="preserve">Aquatic toxicity action levels not available. Drinking water action level used as interim substitute (Table D-4b and Table D-4c; see text). </v>
      </c>
      <c r="AE53" s="55"/>
      <c r="AF53" s="55"/>
      <c r="AG53" s="308"/>
      <c r="AH53" s="313"/>
    </row>
    <row r="54" spans="13:34" ht="89.25" x14ac:dyDescent="0.2">
      <c r="M54" s="437"/>
      <c r="N54" s="331" t="str">
        <f t="shared" si="3"/>
        <v>2,3,3,3-tetrafluoro-2-(heptafluoropropoxy) propanoate (HFPO DA-)</v>
      </c>
      <c r="O54" s="333" t="str">
        <f>'Table H (Constants)'!B26</f>
        <v>122499-17-6</v>
      </c>
      <c r="P54" s="333" t="str">
        <f>'Table H (Constants)'!C26</f>
        <v>2,3,3,3-tetrafluoro-2-(heptafluoropropoxy) propanoate (HFPO DA-)</v>
      </c>
      <c r="Q54" s="304" t="e">
        <f>IF(#REF!=0,"",#REF!)</f>
        <v>#REF!</v>
      </c>
      <c r="R54" s="304" t="s">
        <v>240</v>
      </c>
      <c r="S54" s="304" t="s">
        <v>240</v>
      </c>
      <c r="T54" s="304">
        <v>1</v>
      </c>
      <c r="U54" s="279">
        <v>1</v>
      </c>
      <c r="V54" s="278" t="s">
        <v>241</v>
      </c>
      <c r="W54" s="401" t="str">
        <f>'Table H (Constants)'!D26</f>
        <v>NV</v>
      </c>
      <c r="X54" s="277" t="s">
        <v>242</v>
      </c>
      <c r="Y54" s="277" t="str">
        <f>IF('Table D-4b (Chronic Summary)'!C31="=Drinking Water Toxicity","No","Yes")</f>
        <v>Yes</v>
      </c>
      <c r="Z54" s="298">
        <f>'Table H (Constants)'!H26</f>
        <v>407</v>
      </c>
      <c r="AA54" s="328">
        <f>IF(V54="Y",$AA$20,IF(W54="V",$AA$19,IF(Z54&gt;30000,$AA$26,IF(X54="N",$AA$24,$AA$22))))</f>
        <v>3</v>
      </c>
      <c r="AB54" s="328" t="str">
        <f t="shared" si="4"/>
        <v/>
      </c>
      <c r="AC54" s="340" t="str">
        <f t="shared" si="5"/>
        <v>Potentially significant soil leaching hazard and subsequent contamination of groundwater.  SPLP batch test and LEAF Method 1314 soil column test recommended if soil leaching action level exceeded (refer to accompanying PFAS Technical Memorandum).</v>
      </c>
      <c r="AD54" s="402" t="str">
        <f t="shared" si="6"/>
        <v/>
      </c>
      <c r="AE54" s="55"/>
      <c r="AF54" s="55"/>
      <c r="AG54" s="308"/>
      <c r="AH54" s="313"/>
    </row>
    <row r="55" spans="13:34" ht="89.25" x14ac:dyDescent="0.2">
      <c r="M55" s="437"/>
      <c r="N55" s="331" t="str">
        <f t="shared" si="3"/>
        <v>6:2 Fluorotelomer sulfonate (6:2 FTS-)</v>
      </c>
      <c r="O55" s="333" t="str">
        <f>'Table H (Constants)'!B27</f>
        <v>425670-75-3</v>
      </c>
      <c r="P55" s="333" t="str">
        <f>'Table H (Constants)'!C27</f>
        <v>6:2 Fluorotelomer sulfonate (6:2 FTS-)</v>
      </c>
      <c r="Q55" s="304" t="e">
        <f>IF(#REF!=0,"",#REF!)</f>
        <v>#REF!</v>
      </c>
      <c r="R55" s="304" t="s">
        <v>240</v>
      </c>
      <c r="S55" s="304" t="s">
        <v>240</v>
      </c>
      <c r="T55" s="304">
        <v>1</v>
      </c>
      <c r="U55" s="279">
        <v>1</v>
      </c>
      <c r="V55" s="278" t="s">
        <v>241</v>
      </c>
      <c r="W55" s="401" t="str">
        <f>'Table H (Constants)'!D27</f>
        <v>NV</v>
      </c>
      <c r="X55" s="277" t="s">
        <v>242</v>
      </c>
      <c r="Y55" s="277" t="str">
        <f>IF('Table D-4b (Chronic Summary)'!C32="=Drinking Water Toxicity","No","Yes")</f>
        <v>Yes</v>
      </c>
      <c r="Z55" s="298">
        <f>'Table H (Constants)'!H27</f>
        <v>947</v>
      </c>
      <c r="AA55" s="328">
        <f t="shared" ref="AA55:AA59" si="8">IF(V55="Y",$AA$20,IF(W55="V",$AA$19,IF(Z55&gt;30000,$AA$26,IF(X55="N",$AA$24,$AA$22))))</f>
        <v>3</v>
      </c>
      <c r="AB55" s="328" t="str">
        <f t="shared" si="4"/>
        <v/>
      </c>
      <c r="AC55" s="340" t="str">
        <f t="shared" si="5"/>
        <v>Potentially significant soil leaching hazard and subsequent contamination of groundwater.  SPLP batch test and LEAF Method 1314 soil column test recommended if soil leaching action level exceeded (refer to accompanying PFAS Technical Memorandum).</v>
      </c>
      <c r="AD55" s="402" t="str">
        <f t="shared" si="6"/>
        <v/>
      </c>
      <c r="AE55" s="55"/>
      <c r="AF55" s="55"/>
      <c r="AG55" s="308"/>
      <c r="AH55" s="313"/>
    </row>
    <row r="56" spans="13:34" ht="89.25" x14ac:dyDescent="0.2">
      <c r="M56" s="437"/>
      <c r="N56" s="331" t="str">
        <f t="shared" si="3"/>
        <v>Ammonium 4,8-Dioxa-3H-perfluoro nonanoate (ADONA-)</v>
      </c>
      <c r="O56" s="333" t="str">
        <f>'Table H (Constants)'!B28</f>
        <v>958445-44-8</v>
      </c>
      <c r="P56" s="333" t="str">
        <f>'Table H (Constants)'!C28</f>
        <v>Ammonium 4,8-Dioxa-3H-perfluoro nonanoate (ADONA-)</v>
      </c>
      <c r="Q56" s="304" t="e">
        <f>IF(#REF!=0,"",#REF!)</f>
        <v>#REF!</v>
      </c>
      <c r="R56" s="304" t="s">
        <v>240</v>
      </c>
      <c r="S56" s="304" t="s">
        <v>240</v>
      </c>
      <c r="T56" s="304">
        <v>1</v>
      </c>
      <c r="U56" s="279">
        <v>1</v>
      </c>
      <c r="V56" s="278" t="s">
        <v>241</v>
      </c>
      <c r="W56" s="401" t="str">
        <f>'Table H (Constants)'!D28</f>
        <v>NV</v>
      </c>
      <c r="X56" s="277" t="s">
        <v>242</v>
      </c>
      <c r="Y56" s="277" t="str">
        <f>IF('Table D-4b (Chronic Summary)'!C33="=Drinking Water Toxicity","No","Yes")</f>
        <v>Yes</v>
      </c>
      <c r="Z56" s="298">
        <f>'Table H (Constants)'!H28</f>
        <v>967</v>
      </c>
      <c r="AA56" s="328">
        <f t="shared" si="8"/>
        <v>3</v>
      </c>
      <c r="AB56" s="328" t="str">
        <f t="shared" si="4"/>
        <v/>
      </c>
      <c r="AC56" s="340" t="str">
        <f t="shared" si="5"/>
        <v>Potentially significant soil leaching hazard and subsequent contamination of groundwater.  SPLP batch test and LEAF Method 1314 soil column test recommended if soil leaching action level exceeded (refer to accompanying PFAS Technical Memorandum).</v>
      </c>
      <c r="AD56" s="402" t="str">
        <f t="shared" si="6"/>
        <v/>
      </c>
      <c r="AE56" s="58"/>
      <c r="AF56" s="55"/>
      <c r="AG56" s="308"/>
      <c r="AH56" s="313"/>
    </row>
    <row r="57" spans="13:34" ht="89.25" x14ac:dyDescent="0.2">
      <c r="M57" s="447"/>
      <c r="N57" s="331" t="str">
        <f t="shared" si="3"/>
        <v>6:2 Fluorotelomer alcohol (6:2 FTOH-)</v>
      </c>
      <c r="O57" s="333" t="str">
        <f>'Table H (Constants)'!B29</f>
        <v>647-42-7</v>
      </c>
      <c r="P57" s="333" t="str">
        <f>'Table H (Constants)'!C29</f>
        <v>6:2 Fluorotelomer alcohol (6:2 FTOH-)</v>
      </c>
      <c r="Q57" s="304" t="e">
        <f>IF(#REF!=0,"",#REF!)</f>
        <v>#REF!</v>
      </c>
      <c r="R57" s="304" t="s">
        <v>240</v>
      </c>
      <c r="S57" s="304" t="s">
        <v>240</v>
      </c>
      <c r="T57" s="304">
        <v>1</v>
      </c>
      <c r="U57" s="279">
        <v>1</v>
      </c>
      <c r="V57" s="278" t="s">
        <v>241</v>
      </c>
      <c r="W57" s="401" t="str">
        <f>'Table H (Constants)'!D29</f>
        <v>SV</v>
      </c>
      <c r="X57" s="277" t="s">
        <v>242</v>
      </c>
      <c r="Y57" s="277" t="s">
        <v>251</v>
      </c>
      <c r="Z57" s="298">
        <f>'Table H (Constants)'!H29</f>
        <v>3160</v>
      </c>
      <c r="AA57" s="328">
        <f t="shared" si="8"/>
        <v>3</v>
      </c>
      <c r="AB57" s="328">
        <f t="shared" si="4"/>
        <v>6</v>
      </c>
      <c r="AC57" s="340" t="str">
        <f t="shared" si="5"/>
        <v>Potentially significant soil leaching hazard and subsequent contamination of groundwater.  SPLP batch test and LEAF Method 1314 soil column test recommended if soil leaching action level exceeded (refer to accompanying PFAS Technical Memorandum).</v>
      </c>
      <c r="AD57" s="402" t="str">
        <f t="shared" si="6"/>
        <v xml:space="preserve">Aquatic toxicity action levels not available. Drinking water action level used as interim substitute (Table D-4b and Table D-4c; see text). </v>
      </c>
      <c r="AE57" s="59"/>
      <c r="AF57" s="58"/>
      <c r="AG57" s="308"/>
      <c r="AH57" s="313"/>
    </row>
    <row r="58" spans="13:34" ht="89.25" x14ac:dyDescent="0.2">
      <c r="M58" s="447"/>
      <c r="N58" s="331" t="str">
        <f t="shared" si="3"/>
        <v>8:2 Fluorotelomer alcohol (8:2 FTOH-)</v>
      </c>
      <c r="O58" s="333" t="str">
        <f>'Table H (Constants)'!B30</f>
        <v>678-39-7</v>
      </c>
      <c r="P58" s="333" t="str">
        <f>'Table H (Constants)'!C30</f>
        <v>8:2 Fluorotelomer alcohol (8:2 FTOH-)</v>
      </c>
      <c r="Q58" s="304" t="e">
        <f>IF(#REF!=0,"",#REF!)</f>
        <v>#REF!</v>
      </c>
      <c r="R58" s="304" t="s">
        <v>240</v>
      </c>
      <c r="S58" s="304" t="s">
        <v>240</v>
      </c>
      <c r="T58" s="304">
        <v>1</v>
      </c>
      <c r="U58" s="279">
        <v>1</v>
      </c>
      <c r="V58" s="278" t="s">
        <v>241</v>
      </c>
      <c r="W58" s="401" t="str">
        <f>'Table H (Constants)'!D30</f>
        <v>NV</v>
      </c>
      <c r="X58" s="277" t="s">
        <v>242</v>
      </c>
      <c r="Y58" s="277" t="s">
        <v>251</v>
      </c>
      <c r="Z58" s="298">
        <f>'Table H (Constants)'!H30</f>
        <v>2240</v>
      </c>
      <c r="AA58" s="328">
        <f t="shared" si="8"/>
        <v>3</v>
      </c>
      <c r="AB58" s="328">
        <f t="shared" si="4"/>
        <v>6</v>
      </c>
      <c r="AC58" s="340" t="str">
        <f t="shared" si="5"/>
        <v>Potentially significant soil leaching hazard and subsequent contamination of groundwater.  SPLP batch test and LEAF Method 1314 soil column test recommended if soil leaching action level exceeded (refer to accompanying PFAS Technical Memorandum).</v>
      </c>
      <c r="AD58" s="402" t="str">
        <f t="shared" si="6"/>
        <v xml:space="preserve">Aquatic toxicity action levels not available. Drinking water action level used as interim substitute (Table D-4b and Table D-4c; see text). </v>
      </c>
      <c r="AE58" s="55"/>
      <c r="AF58" s="59"/>
      <c r="AG58" s="308"/>
      <c r="AH58" s="313"/>
    </row>
    <row r="59" spans="13:34" ht="76.5" x14ac:dyDescent="0.2">
      <c r="M59" s="447"/>
      <c r="N59" s="331" t="str">
        <f t="shared" si="3"/>
        <v>6:2 Fluorotelomer thioether amido sulfonate (6:2 FTTAoS-)</v>
      </c>
      <c r="O59" s="333" t="str">
        <f>'Table H (Constants)'!B31</f>
        <v>88992-47-6</v>
      </c>
      <c r="P59" s="333" t="str">
        <f>'Table H (Constants)'!C31</f>
        <v>6:2 Fluorotelomer thioether amido sulfonate (6:2 FTTAoS-)</v>
      </c>
      <c r="Q59" s="304" t="e">
        <f>IF(#REF!=0,"",#REF!)</f>
        <v>#REF!</v>
      </c>
      <c r="R59" s="304" t="s">
        <v>240</v>
      </c>
      <c r="S59" s="304" t="s">
        <v>240</v>
      </c>
      <c r="T59" s="304">
        <v>1</v>
      </c>
      <c r="U59" s="279">
        <v>1</v>
      </c>
      <c r="V59" s="278" t="s">
        <v>241</v>
      </c>
      <c r="W59" s="401" t="str">
        <f>'Table H (Constants)'!D31</f>
        <v>NV</v>
      </c>
      <c r="X59" s="277" t="s">
        <v>242</v>
      </c>
      <c r="Y59" s="277" t="s">
        <v>251</v>
      </c>
      <c r="Z59" s="298">
        <f>'Table H (Constants)'!H31</f>
        <v>67600</v>
      </c>
      <c r="AA59" s="328">
        <f t="shared" si="8"/>
        <v>5</v>
      </c>
      <c r="AB59" s="328">
        <f t="shared" si="4"/>
        <v>6</v>
      </c>
      <c r="AC59" s="340" t="str">
        <f t="shared" si="5"/>
        <v>Not anticipated to be significantly mobile in soil or groundwater (Koc&gt;5,000 cm3/g).  Batch tests recommended if soil leaching action level exceeded (see Advanced EHE Options tab of Surfer). Evaluate potential surface runoff hazards into aquatic habitats.</v>
      </c>
      <c r="AD59" s="402" t="str">
        <f t="shared" si="6"/>
        <v xml:space="preserve">Aquatic toxicity action levels not available. Drinking water action level used as interim substitute (Table D-4b and Table D-4c; see text). </v>
      </c>
      <c r="AE59" s="55"/>
      <c r="AF59" s="55"/>
      <c r="AG59" s="308"/>
      <c r="AH59" s="313"/>
    </row>
    <row r="60" spans="13:34" x14ac:dyDescent="0.2">
      <c r="M60" s="447"/>
      <c r="N60" s="447"/>
      <c r="O60" s="466"/>
      <c r="P60" s="55"/>
      <c r="Q60" s="306"/>
      <c r="R60" s="306"/>
      <c r="S60" s="306"/>
      <c r="T60" s="306"/>
      <c r="U60" s="55"/>
      <c r="V60" s="55"/>
      <c r="W60" s="55"/>
      <c r="X60" s="55"/>
      <c r="Y60" s="55"/>
      <c r="Z60" s="55"/>
      <c r="AA60" s="55"/>
      <c r="AB60" s="55"/>
      <c r="AC60" s="341"/>
      <c r="AD60" s="341"/>
      <c r="AE60" s="55"/>
      <c r="AF60" s="55"/>
      <c r="AG60" s="308"/>
      <c r="AH60" s="313"/>
    </row>
    <row r="61" spans="13:34" x14ac:dyDescent="0.2">
      <c r="M61" s="447"/>
      <c r="N61" s="447"/>
      <c r="O61" s="466"/>
      <c r="P61" s="55"/>
      <c r="Q61" s="306"/>
      <c r="R61" s="306"/>
      <c r="S61" s="306"/>
      <c r="T61" s="306"/>
      <c r="U61" s="55"/>
      <c r="V61" s="55"/>
      <c r="W61" s="55"/>
      <c r="X61" s="55"/>
      <c r="Y61" s="55"/>
      <c r="Z61" s="55"/>
      <c r="AA61" s="55"/>
      <c r="AB61" s="55"/>
      <c r="AC61" s="341"/>
      <c r="AD61" s="341"/>
      <c r="AE61" s="60"/>
      <c r="AF61" s="55"/>
      <c r="AG61" s="308"/>
      <c r="AH61" s="313"/>
    </row>
    <row r="62" spans="13:34" x14ac:dyDescent="0.2">
      <c r="M62" s="447"/>
      <c r="N62" s="447"/>
      <c r="O62" s="466"/>
      <c r="P62" s="55"/>
      <c r="Q62" s="306"/>
      <c r="R62" s="306"/>
      <c r="S62" s="306"/>
      <c r="T62" s="306"/>
      <c r="U62" s="55"/>
      <c r="V62" s="55"/>
      <c r="W62" s="55"/>
      <c r="X62" s="55"/>
      <c r="Y62" s="55"/>
      <c r="Z62" s="55"/>
      <c r="AA62" s="55"/>
      <c r="AB62" s="55"/>
      <c r="AC62" s="341"/>
      <c r="AD62" s="341"/>
      <c r="AE62" s="60"/>
      <c r="AF62" s="60"/>
      <c r="AG62" s="308"/>
      <c r="AH62" s="313"/>
    </row>
    <row r="63" spans="13:34" x14ac:dyDescent="0.2">
      <c r="M63" s="447"/>
      <c r="N63" s="447"/>
      <c r="O63" s="466"/>
      <c r="P63" s="60"/>
      <c r="Q63" s="307"/>
      <c r="R63" s="307"/>
      <c r="S63" s="307"/>
      <c r="T63" s="307"/>
      <c r="U63" s="60"/>
      <c r="V63" s="60"/>
      <c r="W63" s="60"/>
      <c r="X63" s="60"/>
      <c r="Y63" s="60"/>
      <c r="Z63" s="60"/>
      <c r="AA63" s="60"/>
      <c r="AB63" s="60"/>
      <c r="AC63" s="343"/>
      <c r="AD63" s="343"/>
      <c r="AE63" s="60"/>
      <c r="AF63" s="60"/>
      <c r="AG63" s="308"/>
      <c r="AH63" s="313"/>
    </row>
    <row r="64" spans="13:34" x14ac:dyDescent="0.2">
      <c r="M64" s="447"/>
      <c r="N64" s="447"/>
      <c r="O64" s="466"/>
      <c r="P64" s="60"/>
      <c r="Q64" s="307"/>
      <c r="R64" s="307"/>
      <c r="S64" s="307"/>
      <c r="T64" s="307"/>
      <c r="U64" s="60"/>
      <c r="V64" s="60"/>
      <c r="W64" s="60"/>
      <c r="X64" s="60"/>
      <c r="Y64" s="60"/>
      <c r="Z64" s="60"/>
      <c r="AA64" s="60"/>
      <c r="AB64" s="60"/>
      <c r="AC64" s="343"/>
      <c r="AD64" s="343"/>
      <c r="AE64" s="60"/>
      <c r="AF64" s="60"/>
      <c r="AG64" s="308"/>
      <c r="AH64" s="313"/>
    </row>
    <row r="65" spans="16:32" x14ac:dyDescent="0.2">
      <c r="P65" s="60"/>
      <c r="Q65" s="307"/>
      <c r="R65" s="307"/>
      <c r="S65" s="307"/>
      <c r="T65" s="307"/>
      <c r="U65" s="60"/>
      <c r="V65" s="60"/>
      <c r="W65" s="60"/>
      <c r="X65" s="60"/>
      <c r="Y65" s="60"/>
      <c r="Z65" s="60"/>
      <c r="AA65" s="60"/>
      <c r="AB65" s="60"/>
      <c r="AC65" s="343"/>
      <c r="AD65" s="343"/>
      <c r="AE65" s="61"/>
      <c r="AF65" s="60"/>
    </row>
    <row r="66" spans="16:32" x14ac:dyDescent="0.2">
      <c r="P66" s="60"/>
      <c r="Q66" s="307"/>
      <c r="R66" s="307"/>
      <c r="S66" s="307"/>
      <c r="T66" s="307"/>
      <c r="U66" s="60"/>
      <c r="V66" s="60"/>
      <c r="W66" s="60"/>
      <c r="X66" s="60"/>
      <c r="Y66" s="60"/>
      <c r="Z66" s="60"/>
      <c r="AA66" s="60"/>
      <c r="AB66" s="60"/>
      <c r="AC66" s="343"/>
      <c r="AD66" s="343"/>
      <c r="AE66" s="61"/>
      <c r="AF66" s="61"/>
    </row>
    <row r="67" spans="16:32" x14ac:dyDescent="0.2">
      <c r="P67" s="61"/>
      <c r="Q67" s="305"/>
      <c r="R67" s="305"/>
      <c r="S67" s="305"/>
      <c r="T67" s="305"/>
      <c r="U67" s="61"/>
      <c r="V67" s="61"/>
      <c r="W67" s="61"/>
      <c r="X67" s="61"/>
      <c r="Y67" s="61"/>
      <c r="Z67" s="61"/>
      <c r="AA67" s="61"/>
      <c r="AB67" s="61"/>
      <c r="AC67" s="344"/>
      <c r="AD67" s="344"/>
      <c r="AE67" s="59"/>
      <c r="AF67" s="61"/>
    </row>
    <row r="68" spans="16:32" x14ac:dyDescent="0.2">
      <c r="P68" s="61"/>
      <c r="Q68" s="305"/>
      <c r="R68" s="305"/>
      <c r="S68" s="305"/>
      <c r="T68" s="305"/>
      <c r="U68" s="61"/>
      <c r="V68" s="61"/>
      <c r="W68" s="61"/>
      <c r="X68" s="61"/>
      <c r="Y68" s="61"/>
      <c r="Z68" s="61"/>
      <c r="AA68" s="61"/>
      <c r="AB68" s="61"/>
      <c r="AC68" s="344"/>
      <c r="AD68" s="344"/>
      <c r="AE68" s="62"/>
      <c r="AF68" s="59"/>
    </row>
    <row r="69" spans="16:32" x14ac:dyDescent="0.2">
      <c r="P69" s="59"/>
      <c r="Q69" s="307"/>
      <c r="R69" s="307"/>
      <c r="S69" s="307"/>
      <c r="T69" s="307"/>
      <c r="U69" s="59"/>
      <c r="V69" s="59"/>
      <c r="W69" s="59"/>
      <c r="X69" s="59"/>
      <c r="Y69" s="59"/>
      <c r="Z69" s="59"/>
      <c r="AA69" s="59"/>
      <c r="AB69" s="59"/>
      <c r="AC69" s="342"/>
      <c r="AD69" s="342"/>
      <c r="AE69" s="313"/>
      <c r="AF69" s="62"/>
    </row>
    <row r="70" spans="16:32" x14ac:dyDescent="0.2">
      <c r="P70" s="62"/>
      <c r="Q70" s="306"/>
      <c r="R70" s="306"/>
      <c r="S70" s="306"/>
      <c r="T70" s="306"/>
      <c r="U70" s="62"/>
      <c r="V70" s="62"/>
      <c r="W70" s="62"/>
      <c r="X70" s="62"/>
      <c r="Y70" s="62"/>
      <c r="Z70" s="62"/>
      <c r="AA70" s="62"/>
      <c r="AB70" s="62"/>
      <c r="AC70" s="345"/>
      <c r="AD70" s="345"/>
      <c r="AE70" s="313"/>
      <c r="AF70" s="313"/>
    </row>
    <row r="71" spans="16:32" x14ac:dyDescent="0.2">
      <c r="P71" s="313"/>
      <c r="Q71" s="403"/>
      <c r="R71" s="403"/>
      <c r="S71" s="403"/>
      <c r="T71" s="403"/>
      <c r="U71" s="313"/>
      <c r="V71" s="313"/>
      <c r="W71" s="313"/>
      <c r="X71" s="313"/>
      <c r="Y71" s="313"/>
      <c r="Z71" s="313"/>
      <c r="AA71" s="313"/>
      <c r="AB71" s="313"/>
      <c r="AC71" s="460"/>
      <c r="AD71" s="460"/>
      <c r="AE71" s="313"/>
      <c r="AF71" s="313"/>
    </row>
    <row r="72" spans="16:32" x14ac:dyDescent="0.2">
      <c r="P72" s="313"/>
      <c r="Q72" s="403"/>
      <c r="R72" s="403"/>
      <c r="S72" s="403"/>
      <c r="T72" s="403"/>
      <c r="U72" s="313"/>
      <c r="V72" s="313"/>
      <c r="W72" s="313"/>
      <c r="X72" s="313"/>
      <c r="Y72" s="313"/>
      <c r="Z72" s="313"/>
      <c r="AA72" s="313"/>
      <c r="AB72" s="313"/>
      <c r="AC72" s="460"/>
      <c r="AD72" s="460"/>
      <c r="AE72" s="313"/>
      <c r="AF72" s="313"/>
    </row>
    <row r="73" spans="16:32" x14ac:dyDescent="0.2">
      <c r="P73" s="313"/>
      <c r="Q73" s="403"/>
      <c r="R73" s="403"/>
      <c r="S73" s="403"/>
      <c r="T73" s="403"/>
      <c r="U73" s="313"/>
      <c r="V73" s="313"/>
      <c r="W73" s="313"/>
      <c r="X73" s="313"/>
      <c r="Y73" s="313"/>
      <c r="Z73" s="313"/>
      <c r="AA73" s="313"/>
      <c r="AB73" s="313"/>
      <c r="AC73" s="460"/>
      <c r="AD73" s="460"/>
      <c r="AE73" s="313"/>
      <c r="AF73" s="313"/>
    </row>
    <row r="74" spans="16:32" x14ac:dyDescent="0.2">
      <c r="P74" s="313"/>
      <c r="Q74" s="403"/>
      <c r="R74" s="403"/>
      <c r="S74" s="403"/>
      <c r="T74" s="403"/>
      <c r="U74" s="313"/>
      <c r="V74" s="313"/>
      <c r="W74" s="313"/>
      <c r="X74" s="313"/>
      <c r="Y74" s="313"/>
      <c r="Z74" s="313"/>
      <c r="AA74" s="313"/>
      <c r="AB74" s="313"/>
      <c r="AC74" s="460"/>
      <c r="AD74" s="460"/>
      <c r="AE74" s="313"/>
      <c r="AF74" s="313"/>
    </row>
    <row r="75" spans="16:32" x14ac:dyDescent="0.2">
      <c r="P75" s="313"/>
      <c r="Q75" s="403"/>
      <c r="R75" s="403"/>
      <c r="S75" s="403"/>
      <c r="T75" s="403"/>
      <c r="U75" s="313"/>
      <c r="V75" s="313"/>
      <c r="W75" s="313"/>
      <c r="X75" s="313"/>
      <c r="Y75" s="313"/>
      <c r="Z75" s="313"/>
      <c r="AA75" s="313"/>
      <c r="AB75" s="313"/>
      <c r="AC75" s="460"/>
      <c r="AD75" s="460"/>
      <c r="AE75" s="313"/>
      <c r="AF75" s="313"/>
    </row>
    <row r="76" spans="16:32" x14ac:dyDescent="0.2">
      <c r="P76" s="313"/>
      <c r="Q76" s="403"/>
      <c r="R76" s="403"/>
      <c r="S76" s="403"/>
      <c r="T76" s="403"/>
      <c r="U76" s="313"/>
      <c r="V76" s="313"/>
      <c r="W76" s="313"/>
      <c r="X76" s="313"/>
      <c r="Y76" s="313"/>
      <c r="Z76" s="313"/>
      <c r="AA76" s="313"/>
      <c r="AB76" s="313"/>
      <c r="AC76" s="460"/>
      <c r="AD76" s="460"/>
      <c r="AE76" s="313"/>
      <c r="AF76" s="313"/>
    </row>
    <row r="77" spans="16:32" x14ac:dyDescent="0.2">
      <c r="P77" s="313"/>
      <c r="Q77" s="403"/>
      <c r="R77" s="403"/>
      <c r="S77" s="403"/>
      <c r="T77" s="403"/>
      <c r="U77" s="313"/>
      <c r="V77" s="313"/>
      <c r="W77" s="313"/>
      <c r="X77" s="313"/>
      <c r="Y77" s="313"/>
      <c r="Z77" s="313"/>
      <c r="AA77" s="313"/>
      <c r="AB77" s="313"/>
      <c r="AC77" s="460"/>
      <c r="AD77" s="460"/>
      <c r="AE77" s="313"/>
      <c r="AF77" s="313"/>
    </row>
    <row r="78" spans="16:32" x14ac:dyDescent="0.2">
      <c r="P78" s="313"/>
      <c r="Q78" s="403"/>
      <c r="R78" s="403"/>
      <c r="S78" s="403"/>
      <c r="T78" s="403"/>
      <c r="U78" s="313"/>
      <c r="V78" s="313"/>
      <c r="W78" s="313"/>
      <c r="X78" s="313"/>
      <c r="Y78" s="313"/>
      <c r="Z78" s="313"/>
      <c r="AA78" s="313"/>
      <c r="AB78" s="313"/>
      <c r="AC78" s="460"/>
      <c r="AD78" s="460"/>
      <c r="AE78" s="313"/>
      <c r="AF78" s="313"/>
    </row>
    <row r="79" spans="16:32" x14ac:dyDescent="0.2">
      <c r="P79" s="313"/>
      <c r="Q79" s="403"/>
      <c r="R79" s="403"/>
      <c r="S79" s="403"/>
      <c r="T79" s="403"/>
      <c r="U79" s="313"/>
      <c r="V79" s="313"/>
      <c r="W79" s="313"/>
      <c r="X79" s="313"/>
      <c r="Y79" s="313"/>
      <c r="Z79" s="313"/>
      <c r="AA79" s="313"/>
      <c r="AB79" s="313"/>
      <c r="AC79" s="460"/>
      <c r="AD79" s="460"/>
      <c r="AE79" s="313"/>
      <c r="AF79" s="313"/>
    </row>
    <row r="80" spans="16:32" x14ac:dyDescent="0.2">
      <c r="P80" s="313"/>
      <c r="Q80" s="403"/>
      <c r="R80" s="403"/>
      <c r="S80" s="403"/>
      <c r="T80" s="403"/>
      <c r="U80" s="313"/>
      <c r="V80" s="313"/>
      <c r="W80" s="313"/>
      <c r="X80" s="313"/>
      <c r="Y80" s="313"/>
      <c r="Z80" s="313"/>
      <c r="AA80" s="313"/>
      <c r="AB80" s="313"/>
      <c r="AC80" s="460"/>
      <c r="AD80" s="460"/>
      <c r="AE80" s="313"/>
      <c r="AF80" s="313"/>
    </row>
    <row r="81" spans="16:32" x14ac:dyDescent="0.2">
      <c r="P81" s="313"/>
      <c r="Q81" s="403"/>
      <c r="R81" s="403"/>
      <c r="S81" s="403"/>
      <c r="T81" s="403"/>
      <c r="U81" s="313"/>
      <c r="V81" s="313"/>
      <c r="W81" s="313"/>
      <c r="X81" s="313"/>
      <c r="Y81" s="313"/>
      <c r="Z81" s="313"/>
      <c r="AA81" s="313"/>
      <c r="AB81" s="313"/>
      <c r="AC81" s="460"/>
      <c r="AD81" s="460"/>
      <c r="AE81" s="313"/>
      <c r="AF81" s="313"/>
    </row>
    <row r="82" spans="16:32" x14ac:dyDescent="0.2">
      <c r="P82" s="313"/>
      <c r="Q82" s="403"/>
      <c r="R82" s="403"/>
      <c r="S82" s="403"/>
      <c r="T82" s="403"/>
      <c r="U82" s="313"/>
      <c r="V82" s="313"/>
      <c r="W82" s="313"/>
      <c r="X82" s="313"/>
      <c r="Y82" s="313"/>
      <c r="Z82" s="313"/>
      <c r="AA82" s="313"/>
      <c r="AB82" s="313"/>
      <c r="AC82" s="460"/>
      <c r="AD82" s="460"/>
      <c r="AE82" s="313"/>
      <c r="AF82" s="313"/>
    </row>
    <row r="83" spans="16:32" x14ac:dyDescent="0.2">
      <c r="P83" s="313"/>
      <c r="Q83" s="403"/>
      <c r="R83" s="403"/>
      <c r="S83" s="403"/>
      <c r="T83" s="403"/>
      <c r="U83" s="313"/>
      <c r="V83" s="313"/>
      <c r="W83" s="313"/>
      <c r="X83" s="313"/>
      <c r="Y83" s="313"/>
      <c r="Z83" s="313"/>
      <c r="AA83" s="313"/>
      <c r="AB83" s="313"/>
      <c r="AC83" s="460"/>
      <c r="AD83" s="460"/>
      <c r="AE83" s="313"/>
      <c r="AF83" s="313"/>
    </row>
    <row r="84" spans="16:32" x14ac:dyDescent="0.2">
      <c r="P84" s="313"/>
      <c r="Q84" s="403"/>
      <c r="R84" s="403"/>
      <c r="S84" s="403"/>
      <c r="T84" s="403"/>
      <c r="U84" s="313"/>
      <c r="V84" s="313"/>
      <c r="W84" s="313"/>
      <c r="X84" s="313"/>
      <c r="Y84" s="313"/>
      <c r="Z84" s="313"/>
      <c r="AA84" s="313"/>
      <c r="AB84" s="313"/>
      <c r="AC84" s="460"/>
      <c r="AD84" s="460"/>
      <c r="AE84" s="313"/>
      <c r="AF84" s="313"/>
    </row>
    <row r="85" spans="16:32" x14ac:dyDescent="0.2">
      <c r="P85" s="313"/>
      <c r="Q85" s="403"/>
      <c r="R85" s="403"/>
      <c r="S85" s="403"/>
      <c r="T85" s="403"/>
      <c r="U85" s="313"/>
      <c r="V85" s="313"/>
      <c r="W85" s="313"/>
      <c r="X85" s="313"/>
      <c r="Y85" s="313"/>
      <c r="Z85" s="313"/>
      <c r="AA85" s="313"/>
      <c r="AB85" s="313"/>
      <c r="AC85" s="460"/>
      <c r="AD85" s="460"/>
      <c r="AE85" s="313"/>
      <c r="AF85" s="313"/>
    </row>
    <row r="86" spans="16:32" x14ac:dyDescent="0.2">
      <c r="P86" s="313"/>
      <c r="Q86" s="403"/>
      <c r="R86" s="403"/>
      <c r="S86" s="403"/>
      <c r="T86" s="403"/>
      <c r="U86" s="313"/>
      <c r="V86" s="313"/>
      <c r="W86" s="313"/>
      <c r="X86" s="313"/>
      <c r="Y86" s="313"/>
      <c r="Z86" s="313"/>
      <c r="AA86" s="313"/>
      <c r="AB86" s="313"/>
      <c r="AC86" s="460"/>
      <c r="AD86" s="460"/>
      <c r="AE86" s="313"/>
      <c r="AF86" s="313"/>
    </row>
    <row r="87" spans="16:32" x14ac:dyDescent="0.2">
      <c r="P87" s="313"/>
      <c r="Q87" s="403"/>
      <c r="R87" s="403"/>
      <c r="S87" s="403"/>
      <c r="T87" s="403"/>
      <c r="U87" s="313"/>
      <c r="V87" s="313"/>
      <c r="W87" s="313"/>
      <c r="X87" s="313"/>
      <c r="Y87" s="313"/>
      <c r="Z87" s="313"/>
      <c r="AA87" s="313"/>
      <c r="AB87" s="313"/>
      <c r="AC87" s="460"/>
      <c r="AD87" s="460"/>
      <c r="AE87" s="313"/>
      <c r="AF87" s="313"/>
    </row>
    <row r="88" spans="16:32" x14ac:dyDescent="0.2">
      <c r="P88" s="313"/>
      <c r="Q88" s="403"/>
      <c r="R88" s="403"/>
      <c r="S88" s="403"/>
      <c r="T88" s="403"/>
      <c r="U88" s="313"/>
      <c r="V88" s="313"/>
      <c r="W88" s="313"/>
      <c r="X88" s="313"/>
      <c r="Y88" s="313"/>
      <c r="Z88" s="313"/>
      <c r="AA88" s="313"/>
      <c r="AB88" s="313"/>
      <c r="AC88" s="460"/>
      <c r="AD88" s="460"/>
      <c r="AE88" s="313"/>
      <c r="AF88" s="313"/>
    </row>
    <row r="89" spans="16:32" x14ac:dyDescent="0.2">
      <c r="P89" s="313"/>
      <c r="Q89" s="403"/>
      <c r="R89" s="403"/>
      <c r="S89" s="403"/>
      <c r="T89" s="403"/>
      <c r="U89" s="313"/>
      <c r="V89" s="313"/>
      <c r="W89" s="313"/>
      <c r="X89" s="313"/>
      <c r="Y89" s="313"/>
      <c r="Z89" s="313"/>
      <c r="AA89" s="313"/>
      <c r="AB89" s="313"/>
      <c r="AC89" s="460"/>
      <c r="AD89" s="460"/>
      <c r="AE89" s="313"/>
      <c r="AF89" s="313"/>
    </row>
    <row r="90" spans="16:32" x14ac:dyDescent="0.2">
      <c r="P90" s="313"/>
      <c r="Q90" s="403"/>
      <c r="R90" s="403"/>
      <c r="S90" s="403"/>
      <c r="T90" s="403"/>
      <c r="U90" s="313"/>
      <c r="V90" s="313"/>
      <c r="W90" s="313"/>
      <c r="X90" s="313"/>
      <c r="Y90" s="313"/>
      <c r="Z90" s="313"/>
      <c r="AA90" s="313"/>
      <c r="AB90" s="313"/>
      <c r="AC90" s="460"/>
      <c r="AD90" s="460"/>
      <c r="AE90" s="313"/>
      <c r="AF90" s="313"/>
    </row>
    <row r="91" spans="16:32" x14ac:dyDescent="0.2">
      <c r="P91" s="313"/>
      <c r="Q91" s="403"/>
      <c r="R91" s="403"/>
      <c r="S91" s="403"/>
      <c r="T91" s="403"/>
      <c r="U91" s="313"/>
      <c r="V91" s="313"/>
      <c r="W91" s="313"/>
      <c r="X91" s="313"/>
      <c r="Y91" s="313"/>
      <c r="Z91" s="313"/>
      <c r="AA91" s="313"/>
      <c r="AB91" s="313"/>
      <c r="AC91" s="460"/>
      <c r="AD91" s="460"/>
      <c r="AE91" s="313"/>
      <c r="AF91" s="313"/>
    </row>
    <row r="92" spans="16:32" x14ac:dyDescent="0.2">
      <c r="P92" s="313"/>
      <c r="Q92" s="403"/>
      <c r="R92" s="403"/>
      <c r="S92" s="403"/>
      <c r="T92" s="403"/>
      <c r="U92" s="313"/>
      <c r="V92" s="313"/>
      <c r="W92" s="313"/>
      <c r="X92" s="313"/>
      <c r="Y92" s="313"/>
      <c r="Z92" s="313"/>
      <c r="AA92" s="313"/>
      <c r="AB92" s="313"/>
      <c r="AC92" s="460"/>
      <c r="AD92" s="460"/>
      <c r="AE92" s="313"/>
      <c r="AF92" s="313"/>
    </row>
    <row r="93" spans="16:32" x14ac:dyDescent="0.2">
      <c r="P93" s="313"/>
      <c r="Q93" s="403"/>
      <c r="R93" s="403"/>
      <c r="S93" s="403"/>
      <c r="T93" s="403"/>
      <c r="U93" s="313"/>
      <c r="V93" s="313"/>
      <c r="W93" s="313"/>
      <c r="X93" s="313"/>
      <c r="Y93" s="313"/>
      <c r="Z93" s="313"/>
      <c r="AA93" s="313"/>
      <c r="AB93" s="313"/>
      <c r="AC93" s="460"/>
      <c r="AD93" s="460"/>
      <c r="AE93" s="313"/>
      <c r="AF93" s="313"/>
    </row>
    <row r="94" spans="16:32" x14ac:dyDescent="0.2">
      <c r="P94" s="313"/>
      <c r="Q94" s="403"/>
      <c r="R94" s="403"/>
      <c r="S94" s="403"/>
      <c r="T94" s="403"/>
      <c r="U94" s="313"/>
      <c r="V94" s="313"/>
      <c r="W94" s="313"/>
      <c r="X94" s="313"/>
      <c r="Y94" s="313"/>
      <c r="Z94" s="313"/>
      <c r="AA94" s="313"/>
      <c r="AB94" s="313"/>
      <c r="AC94" s="460"/>
      <c r="AD94" s="460"/>
      <c r="AE94" s="313"/>
      <c r="AF94" s="313"/>
    </row>
    <row r="95" spans="16:32" x14ac:dyDescent="0.2">
      <c r="P95" s="313"/>
      <c r="Q95" s="403"/>
      <c r="R95" s="403"/>
      <c r="S95" s="403"/>
      <c r="T95" s="403"/>
      <c r="U95" s="313"/>
      <c r="V95" s="313"/>
      <c r="W95" s="313"/>
      <c r="X95" s="313"/>
      <c r="Y95" s="313"/>
      <c r="Z95" s="313"/>
      <c r="AA95" s="313"/>
      <c r="AB95" s="313"/>
      <c r="AC95" s="460"/>
      <c r="AD95" s="460"/>
      <c r="AE95" s="313"/>
      <c r="AF95" s="313"/>
    </row>
    <row r="96" spans="16:32" x14ac:dyDescent="0.2">
      <c r="P96" s="313"/>
      <c r="Q96" s="403"/>
      <c r="R96" s="403"/>
      <c r="S96" s="403"/>
      <c r="T96" s="403"/>
      <c r="U96" s="313"/>
      <c r="V96" s="313"/>
      <c r="W96" s="313"/>
      <c r="X96" s="313"/>
      <c r="Y96" s="313"/>
      <c r="Z96" s="313"/>
      <c r="AA96" s="313"/>
      <c r="AB96" s="313"/>
      <c r="AC96" s="460"/>
      <c r="AD96" s="460"/>
      <c r="AE96" s="313"/>
      <c r="AF96" s="313"/>
    </row>
    <row r="97" spans="16:32" x14ac:dyDescent="0.2">
      <c r="P97" s="313"/>
      <c r="Q97" s="403"/>
      <c r="R97" s="403"/>
      <c r="S97" s="403"/>
      <c r="T97" s="403"/>
      <c r="U97" s="313"/>
      <c r="V97" s="313"/>
      <c r="W97" s="313"/>
      <c r="X97" s="313"/>
      <c r="Y97" s="313"/>
      <c r="Z97" s="313"/>
      <c r="AA97" s="313"/>
      <c r="AB97" s="313"/>
      <c r="AC97" s="460"/>
      <c r="AD97" s="460"/>
      <c r="AE97" s="313"/>
      <c r="AF97" s="313"/>
    </row>
    <row r="98" spans="16:32" x14ac:dyDescent="0.2">
      <c r="P98" s="313"/>
      <c r="Q98" s="403"/>
      <c r="R98" s="403"/>
      <c r="S98" s="403"/>
      <c r="T98" s="403"/>
      <c r="U98" s="313"/>
      <c r="V98" s="313"/>
      <c r="W98" s="313"/>
      <c r="X98" s="313"/>
      <c r="Y98" s="313"/>
      <c r="Z98" s="313"/>
      <c r="AA98" s="313"/>
      <c r="AB98" s="313"/>
      <c r="AC98" s="460"/>
      <c r="AD98" s="460"/>
      <c r="AE98" s="313"/>
      <c r="AF98" s="313"/>
    </row>
    <row r="99" spans="16:32" x14ac:dyDescent="0.2">
      <c r="P99" s="313"/>
      <c r="Q99" s="403"/>
      <c r="R99" s="403"/>
      <c r="S99" s="403"/>
      <c r="T99" s="403"/>
      <c r="U99" s="313"/>
      <c r="V99" s="313"/>
      <c r="W99" s="313"/>
      <c r="X99" s="313"/>
      <c r="Y99" s="313"/>
      <c r="Z99" s="313"/>
      <c r="AA99" s="313"/>
      <c r="AB99" s="313"/>
      <c r="AC99" s="460"/>
      <c r="AD99" s="460"/>
      <c r="AE99" s="313"/>
      <c r="AF99" s="313"/>
    </row>
    <row r="100" spans="16:32" x14ac:dyDescent="0.2">
      <c r="P100" s="313"/>
      <c r="Q100" s="403"/>
      <c r="R100" s="403"/>
      <c r="S100" s="403"/>
      <c r="T100" s="403"/>
      <c r="U100" s="313"/>
      <c r="V100" s="313"/>
      <c r="W100" s="313"/>
      <c r="X100" s="313"/>
      <c r="Y100" s="313"/>
      <c r="Z100" s="313"/>
      <c r="AA100" s="313"/>
      <c r="AB100" s="313"/>
      <c r="AC100" s="460"/>
      <c r="AD100" s="460"/>
      <c r="AE100" s="313"/>
      <c r="AF100" s="313"/>
    </row>
    <row r="101" spans="16:32" x14ac:dyDescent="0.2">
      <c r="P101" s="313"/>
      <c r="Q101" s="403"/>
      <c r="R101" s="403"/>
      <c r="S101" s="403"/>
      <c r="T101" s="403"/>
      <c r="U101" s="313"/>
      <c r="V101" s="313"/>
      <c r="W101" s="313"/>
      <c r="X101" s="313"/>
      <c r="Y101" s="313"/>
      <c r="Z101" s="313"/>
      <c r="AA101" s="313"/>
      <c r="AB101" s="313"/>
      <c r="AC101" s="460"/>
      <c r="AD101" s="460"/>
      <c r="AE101" s="313"/>
      <c r="AF101" s="313"/>
    </row>
    <row r="102" spans="16:32" x14ac:dyDescent="0.2">
      <c r="P102" s="313"/>
      <c r="Q102" s="403"/>
      <c r="R102" s="403"/>
      <c r="S102" s="403"/>
      <c r="T102" s="403"/>
      <c r="U102" s="313"/>
      <c r="V102" s="313"/>
      <c r="W102" s="313"/>
      <c r="X102" s="313"/>
      <c r="Y102" s="313"/>
      <c r="Z102" s="313"/>
      <c r="AA102" s="313"/>
      <c r="AB102" s="313"/>
      <c r="AC102" s="460"/>
      <c r="AD102" s="460"/>
      <c r="AE102" s="313"/>
      <c r="AF102" s="313"/>
    </row>
    <row r="103" spans="16:32" x14ac:dyDescent="0.2">
      <c r="P103" s="313"/>
      <c r="Q103" s="403"/>
      <c r="R103" s="403"/>
      <c r="S103" s="403"/>
      <c r="T103" s="403"/>
      <c r="U103" s="313"/>
      <c r="V103" s="313"/>
      <c r="W103" s="313"/>
      <c r="X103" s="313"/>
      <c r="Y103" s="313"/>
      <c r="Z103" s="313"/>
      <c r="AA103" s="313"/>
      <c r="AB103" s="313"/>
      <c r="AC103" s="460"/>
      <c r="AD103" s="460"/>
      <c r="AE103" s="313"/>
      <c r="AF103" s="313"/>
    </row>
    <row r="104" spans="16:32" x14ac:dyDescent="0.2">
      <c r="P104" s="313"/>
      <c r="Q104" s="403"/>
      <c r="R104" s="403"/>
      <c r="S104" s="403"/>
      <c r="T104" s="403"/>
      <c r="U104" s="313"/>
      <c r="V104" s="313"/>
      <c r="W104" s="313"/>
      <c r="X104" s="313"/>
      <c r="Y104" s="313"/>
      <c r="Z104" s="313"/>
      <c r="AA104" s="313"/>
      <c r="AB104" s="313"/>
      <c r="AC104" s="460"/>
      <c r="AD104" s="460"/>
      <c r="AE104" s="313"/>
      <c r="AF104" s="313"/>
    </row>
    <row r="105" spans="16:32" x14ac:dyDescent="0.2">
      <c r="P105" s="313"/>
      <c r="Q105" s="403"/>
      <c r="R105" s="403"/>
      <c r="S105" s="403"/>
      <c r="T105" s="403"/>
      <c r="U105" s="313"/>
      <c r="V105" s="313"/>
      <c r="W105" s="313"/>
      <c r="X105" s="313"/>
      <c r="Y105" s="313"/>
      <c r="Z105" s="313"/>
      <c r="AA105" s="313"/>
      <c r="AB105" s="313"/>
      <c r="AC105" s="460"/>
      <c r="AD105" s="460"/>
      <c r="AE105" s="313"/>
      <c r="AF105" s="313"/>
    </row>
    <row r="106" spans="16:32" x14ac:dyDescent="0.2">
      <c r="P106" s="313"/>
      <c r="Q106" s="403"/>
      <c r="R106" s="403"/>
      <c r="S106" s="403"/>
      <c r="T106" s="403"/>
      <c r="U106" s="313"/>
      <c r="V106" s="313"/>
      <c r="W106" s="313"/>
      <c r="X106" s="313"/>
      <c r="Y106" s="313"/>
      <c r="Z106" s="313"/>
      <c r="AA106" s="313"/>
      <c r="AB106" s="313"/>
      <c r="AC106" s="460"/>
      <c r="AD106" s="460"/>
      <c r="AE106" s="313"/>
      <c r="AF106" s="313"/>
    </row>
    <row r="107" spans="16:32" x14ac:dyDescent="0.2">
      <c r="P107" s="313"/>
      <c r="Q107" s="403"/>
      <c r="R107" s="403"/>
      <c r="S107" s="403"/>
      <c r="T107" s="403"/>
      <c r="U107" s="313"/>
      <c r="V107" s="313"/>
      <c r="W107" s="313"/>
      <c r="X107" s="313"/>
      <c r="Y107" s="313"/>
      <c r="Z107" s="313"/>
      <c r="AA107" s="313"/>
      <c r="AB107" s="313"/>
      <c r="AC107" s="460"/>
      <c r="AD107" s="460"/>
      <c r="AE107" s="313"/>
      <c r="AF107" s="313"/>
    </row>
    <row r="108" spans="16:32" x14ac:dyDescent="0.2">
      <c r="P108" s="313"/>
      <c r="Q108" s="403"/>
      <c r="R108" s="403"/>
      <c r="S108" s="403"/>
      <c r="T108" s="403"/>
      <c r="U108" s="313"/>
      <c r="V108" s="313"/>
      <c r="W108" s="313"/>
      <c r="X108" s="313"/>
      <c r="Y108" s="313"/>
      <c r="Z108" s="313"/>
      <c r="AA108" s="313"/>
      <c r="AB108" s="313"/>
      <c r="AC108" s="460"/>
      <c r="AD108" s="460"/>
      <c r="AE108" s="313"/>
      <c r="AF108" s="313"/>
    </row>
    <row r="109" spans="16:32" x14ac:dyDescent="0.2">
      <c r="P109" s="313"/>
      <c r="Q109" s="403"/>
      <c r="R109" s="403"/>
      <c r="S109" s="403"/>
      <c r="T109" s="403"/>
      <c r="U109" s="313"/>
      <c r="V109" s="313"/>
      <c r="W109" s="313"/>
      <c r="X109" s="313"/>
      <c r="Y109" s="313"/>
      <c r="Z109" s="313"/>
      <c r="AA109" s="313"/>
      <c r="AB109" s="313"/>
      <c r="AC109" s="460"/>
      <c r="AD109" s="460"/>
      <c r="AE109" s="313"/>
      <c r="AF109" s="313"/>
    </row>
    <row r="110" spans="16:32" x14ac:dyDescent="0.2">
      <c r="P110" s="313"/>
      <c r="Q110" s="403"/>
      <c r="R110" s="403"/>
      <c r="S110" s="403"/>
      <c r="T110" s="403"/>
      <c r="U110" s="313"/>
      <c r="V110" s="313"/>
      <c r="W110" s="313"/>
      <c r="X110" s="313"/>
      <c r="Y110" s="313"/>
      <c r="Z110" s="313"/>
      <c r="AA110" s="313"/>
      <c r="AB110" s="313"/>
      <c r="AC110" s="460"/>
      <c r="AD110" s="460"/>
      <c r="AE110" s="313"/>
      <c r="AF110" s="313"/>
    </row>
    <row r="111" spans="16:32" x14ac:dyDescent="0.2">
      <c r="P111" s="313"/>
      <c r="Q111" s="403"/>
      <c r="R111" s="403"/>
      <c r="S111" s="403"/>
      <c r="T111" s="403"/>
      <c r="U111" s="313"/>
      <c r="V111" s="313"/>
      <c r="W111" s="313"/>
      <c r="X111" s="313"/>
      <c r="Y111" s="313"/>
      <c r="Z111" s="313"/>
      <c r="AA111" s="313"/>
      <c r="AB111" s="313"/>
      <c r="AC111" s="460"/>
      <c r="AD111" s="460"/>
      <c r="AE111" s="313"/>
      <c r="AF111" s="313"/>
    </row>
    <row r="112" spans="16:32" x14ac:dyDescent="0.2">
      <c r="P112" s="313"/>
      <c r="Q112" s="403"/>
      <c r="R112" s="403"/>
      <c r="S112" s="403"/>
      <c r="T112" s="403"/>
      <c r="U112" s="313"/>
      <c r="V112" s="313"/>
      <c r="W112" s="313"/>
      <c r="X112" s="313"/>
      <c r="Y112" s="313"/>
      <c r="Z112" s="313"/>
      <c r="AA112" s="313"/>
      <c r="AB112" s="313"/>
      <c r="AC112" s="460"/>
      <c r="AD112" s="460"/>
      <c r="AE112" s="313"/>
      <c r="AF112" s="313"/>
    </row>
    <row r="113" spans="16:32" x14ac:dyDescent="0.2">
      <c r="P113" s="313"/>
      <c r="Q113" s="403"/>
      <c r="R113" s="403"/>
      <c r="S113" s="403"/>
      <c r="T113" s="403"/>
      <c r="U113" s="313"/>
      <c r="V113" s="313"/>
      <c r="W113" s="313"/>
      <c r="X113" s="313"/>
      <c r="Y113" s="313"/>
      <c r="Z113" s="313"/>
      <c r="AA113" s="313"/>
      <c r="AB113" s="313"/>
      <c r="AC113" s="460"/>
      <c r="AD113" s="460"/>
      <c r="AE113" s="313"/>
      <c r="AF113" s="313"/>
    </row>
    <row r="114" spans="16:32" x14ac:dyDescent="0.2">
      <c r="P114" s="313"/>
      <c r="Q114" s="403"/>
      <c r="R114" s="403"/>
      <c r="S114" s="403"/>
      <c r="T114" s="403"/>
      <c r="U114" s="313"/>
      <c r="V114" s="313"/>
      <c r="W114" s="313"/>
      <c r="X114" s="313"/>
      <c r="Y114" s="313"/>
      <c r="Z114" s="313"/>
      <c r="AA114" s="313"/>
      <c r="AB114" s="313"/>
      <c r="AC114" s="460"/>
      <c r="AD114" s="460"/>
      <c r="AE114" s="313"/>
      <c r="AF114" s="313"/>
    </row>
    <row r="115" spans="16:32" x14ac:dyDescent="0.2">
      <c r="P115" s="313"/>
      <c r="Q115" s="403"/>
      <c r="R115" s="403"/>
      <c r="S115" s="403"/>
      <c r="T115" s="403"/>
      <c r="U115" s="313"/>
      <c r="V115" s="313"/>
      <c r="W115" s="313"/>
      <c r="X115" s="313"/>
      <c r="Y115" s="313"/>
      <c r="Z115" s="313"/>
      <c r="AA115" s="313"/>
      <c r="AB115" s="313"/>
      <c r="AC115" s="460"/>
      <c r="AD115" s="460"/>
      <c r="AE115" s="313"/>
      <c r="AF115" s="313"/>
    </row>
    <row r="116" spans="16:32" x14ac:dyDescent="0.2">
      <c r="P116" s="313"/>
      <c r="Q116" s="403"/>
      <c r="R116" s="403"/>
      <c r="S116" s="403"/>
      <c r="T116" s="403"/>
      <c r="U116" s="313"/>
      <c r="V116" s="313"/>
      <c r="W116" s="313"/>
      <c r="X116" s="313"/>
      <c r="Y116" s="313"/>
      <c r="Z116" s="313"/>
      <c r="AA116" s="313"/>
      <c r="AB116" s="313"/>
      <c r="AC116" s="460"/>
      <c r="AD116" s="460"/>
      <c r="AE116" s="313"/>
      <c r="AF116" s="313"/>
    </row>
    <row r="117" spans="16:32" x14ac:dyDescent="0.2">
      <c r="P117" s="313"/>
      <c r="Q117" s="403"/>
      <c r="R117" s="403"/>
      <c r="S117" s="403"/>
      <c r="T117" s="403"/>
      <c r="U117" s="313"/>
      <c r="V117" s="313"/>
      <c r="W117" s="313"/>
      <c r="X117" s="313"/>
      <c r="Y117" s="313"/>
      <c r="Z117" s="313"/>
      <c r="AA117" s="313"/>
      <c r="AB117" s="313"/>
      <c r="AC117" s="460"/>
      <c r="AD117" s="460"/>
      <c r="AE117" s="313"/>
      <c r="AF117" s="313"/>
    </row>
    <row r="118" spans="16:32" x14ac:dyDescent="0.2">
      <c r="P118" s="313"/>
      <c r="Q118" s="403"/>
      <c r="R118" s="403"/>
      <c r="S118" s="403"/>
      <c r="T118" s="403"/>
      <c r="U118" s="313"/>
      <c r="V118" s="313"/>
      <c r="W118" s="313"/>
      <c r="X118" s="313"/>
      <c r="Y118" s="313"/>
      <c r="Z118" s="313"/>
      <c r="AA118" s="313"/>
      <c r="AB118" s="313"/>
      <c r="AC118" s="460"/>
      <c r="AD118" s="460"/>
      <c r="AE118" s="313"/>
      <c r="AF118" s="313"/>
    </row>
    <row r="119" spans="16:32" x14ac:dyDescent="0.2">
      <c r="P119" s="313"/>
      <c r="Q119" s="403"/>
      <c r="R119" s="403"/>
      <c r="S119" s="403"/>
      <c r="T119" s="403"/>
      <c r="U119" s="313"/>
      <c r="V119" s="313"/>
      <c r="W119" s="313"/>
      <c r="X119" s="313"/>
      <c r="Y119" s="313"/>
      <c r="Z119" s="313"/>
      <c r="AA119" s="313"/>
      <c r="AB119" s="313"/>
      <c r="AC119" s="460"/>
      <c r="AD119" s="460"/>
      <c r="AE119" s="313"/>
      <c r="AF119" s="313"/>
    </row>
    <row r="120" spans="16:32" x14ac:dyDescent="0.2">
      <c r="P120" s="313"/>
      <c r="Q120" s="403"/>
      <c r="R120" s="403"/>
      <c r="S120" s="403"/>
      <c r="T120" s="403"/>
      <c r="U120" s="313"/>
      <c r="V120" s="313"/>
      <c r="W120" s="313"/>
      <c r="X120" s="313"/>
      <c r="Y120" s="313"/>
      <c r="Z120" s="313"/>
      <c r="AA120" s="313"/>
      <c r="AB120" s="313"/>
      <c r="AC120" s="460"/>
      <c r="AD120" s="460"/>
      <c r="AE120" s="313"/>
      <c r="AF120" s="313"/>
    </row>
    <row r="121" spans="16:32" x14ac:dyDescent="0.2">
      <c r="P121" s="313"/>
      <c r="Q121" s="403"/>
      <c r="R121" s="403"/>
      <c r="S121" s="403"/>
      <c r="T121" s="403"/>
      <c r="U121" s="313"/>
      <c r="V121" s="313"/>
      <c r="W121" s="313"/>
      <c r="X121" s="313"/>
      <c r="Y121" s="313"/>
      <c r="Z121" s="313"/>
      <c r="AA121" s="313"/>
      <c r="AB121" s="313"/>
      <c r="AC121" s="460"/>
      <c r="AD121" s="460"/>
      <c r="AE121" s="313"/>
      <c r="AF121" s="313"/>
    </row>
    <row r="122" spans="16:32" x14ac:dyDescent="0.2">
      <c r="P122" s="313"/>
      <c r="Q122" s="403"/>
      <c r="R122" s="403"/>
      <c r="S122" s="403"/>
      <c r="T122" s="403"/>
      <c r="U122" s="313"/>
      <c r="V122" s="313"/>
      <c r="W122" s="313"/>
      <c r="X122" s="313"/>
      <c r="Y122" s="313"/>
      <c r="Z122" s="313"/>
      <c r="AA122" s="313"/>
      <c r="AB122" s="313"/>
      <c r="AC122" s="460"/>
      <c r="AD122" s="460"/>
      <c r="AE122" s="313"/>
      <c r="AF122" s="313"/>
    </row>
    <row r="123" spans="16:32" x14ac:dyDescent="0.2">
      <c r="P123" s="313"/>
      <c r="Q123" s="403"/>
      <c r="R123" s="403"/>
      <c r="S123" s="403"/>
      <c r="T123" s="403"/>
      <c r="U123" s="313"/>
      <c r="V123" s="313"/>
      <c r="W123" s="313"/>
      <c r="X123" s="313"/>
      <c r="Y123" s="313"/>
      <c r="Z123" s="313"/>
      <c r="AA123" s="313"/>
      <c r="AB123" s="313"/>
      <c r="AC123" s="460"/>
      <c r="AD123" s="460"/>
      <c r="AE123" s="313"/>
      <c r="AF123" s="313"/>
    </row>
    <row r="124" spans="16:32" x14ac:dyDescent="0.2">
      <c r="P124" s="313"/>
      <c r="Q124" s="403"/>
      <c r="R124" s="403"/>
      <c r="S124" s="403"/>
      <c r="T124" s="403"/>
      <c r="U124" s="313"/>
      <c r="V124" s="313"/>
      <c r="W124" s="313"/>
      <c r="X124" s="313"/>
      <c r="Y124" s="313"/>
      <c r="Z124" s="313"/>
      <c r="AA124" s="313"/>
      <c r="AB124" s="313"/>
      <c r="AC124" s="460"/>
      <c r="AD124" s="460"/>
      <c r="AE124" s="313"/>
      <c r="AF124" s="313"/>
    </row>
    <row r="125" spans="16:32" x14ac:dyDescent="0.2">
      <c r="P125" s="313"/>
      <c r="Q125" s="403"/>
      <c r="R125" s="403"/>
      <c r="S125" s="403"/>
      <c r="T125" s="403"/>
      <c r="U125" s="313"/>
      <c r="V125" s="313"/>
      <c r="W125" s="313"/>
      <c r="X125" s="313"/>
      <c r="Y125" s="313"/>
      <c r="Z125" s="313"/>
      <c r="AA125" s="313"/>
      <c r="AB125" s="313"/>
      <c r="AC125" s="460"/>
      <c r="AD125" s="460"/>
      <c r="AE125" s="313"/>
      <c r="AF125" s="313"/>
    </row>
    <row r="126" spans="16:32" x14ac:dyDescent="0.2">
      <c r="P126" s="313"/>
      <c r="Q126" s="403"/>
      <c r="R126" s="403"/>
      <c r="S126" s="403"/>
      <c r="T126" s="403"/>
      <c r="U126" s="313"/>
      <c r="V126" s="313"/>
      <c r="W126" s="313"/>
      <c r="X126" s="313"/>
      <c r="Y126" s="313"/>
      <c r="Z126" s="313"/>
      <c r="AA126" s="313"/>
      <c r="AB126" s="313"/>
      <c r="AC126" s="460"/>
      <c r="AD126" s="460"/>
      <c r="AE126" s="313"/>
      <c r="AF126" s="313"/>
    </row>
    <row r="127" spans="16:32" x14ac:dyDescent="0.2">
      <c r="P127" s="313"/>
      <c r="Q127" s="403"/>
      <c r="R127" s="403"/>
      <c r="S127" s="403"/>
      <c r="T127" s="403"/>
      <c r="U127" s="313"/>
      <c r="V127" s="313"/>
      <c r="W127" s="313"/>
      <c r="X127" s="313"/>
      <c r="Y127" s="313"/>
      <c r="Z127" s="313"/>
      <c r="AA127" s="313"/>
      <c r="AB127" s="313"/>
      <c r="AC127" s="460"/>
      <c r="AD127" s="460"/>
      <c r="AE127" s="313"/>
      <c r="AF127" s="313"/>
    </row>
    <row r="128" spans="16:32" x14ac:dyDescent="0.2">
      <c r="P128" s="313"/>
      <c r="Q128" s="403"/>
      <c r="R128" s="403"/>
      <c r="S128" s="403"/>
      <c r="T128" s="403"/>
      <c r="U128" s="313"/>
      <c r="V128" s="313"/>
      <c r="W128" s="313"/>
      <c r="X128" s="313"/>
      <c r="Y128" s="313"/>
      <c r="Z128" s="313"/>
      <c r="AA128" s="313"/>
      <c r="AB128" s="313"/>
      <c r="AC128" s="460"/>
      <c r="AD128" s="460"/>
      <c r="AE128" s="313"/>
      <c r="AF128" s="313"/>
    </row>
    <row r="129" spans="16:32" x14ac:dyDescent="0.2">
      <c r="P129" s="313"/>
      <c r="Q129" s="403"/>
      <c r="R129" s="403"/>
      <c r="S129" s="403"/>
      <c r="T129" s="403"/>
      <c r="U129" s="313"/>
      <c r="V129" s="313"/>
      <c r="W129" s="313"/>
      <c r="X129" s="313"/>
      <c r="Y129" s="313"/>
      <c r="Z129" s="313"/>
      <c r="AA129" s="313"/>
      <c r="AB129" s="313"/>
      <c r="AC129" s="460"/>
      <c r="AD129" s="460"/>
      <c r="AE129" s="313"/>
      <c r="AF129" s="313"/>
    </row>
    <row r="130" spans="16:32" x14ac:dyDescent="0.2">
      <c r="P130" s="313"/>
      <c r="Q130" s="403"/>
      <c r="R130" s="403"/>
      <c r="S130" s="403"/>
      <c r="T130" s="403"/>
      <c r="U130" s="313"/>
      <c r="V130" s="313"/>
      <c r="W130" s="313"/>
      <c r="X130" s="313"/>
      <c r="Y130" s="313"/>
      <c r="Z130" s="313"/>
      <c r="AA130" s="313"/>
      <c r="AB130" s="313"/>
      <c r="AC130" s="460"/>
      <c r="AD130" s="460"/>
      <c r="AE130" s="313"/>
      <c r="AF130" s="313"/>
    </row>
    <row r="131" spans="16:32" x14ac:dyDescent="0.2">
      <c r="P131" s="313"/>
      <c r="Q131" s="403"/>
      <c r="R131" s="403"/>
      <c r="S131" s="403"/>
      <c r="T131" s="403"/>
      <c r="U131" s="313"/>
      <c r="V131" s="313"/>
      <c r="W131" s="313"/>
      <c r="X131" s="313"/>
      <c r="Y131" s="313"/>
      <c r="Z131" s="313"/>
      <c r="AA131" s="313"/>
      <c r="AB131" s="313"/>
      <c r="AC131" s="460"/>
      <c r="AD131" s="460"/>
      <c r="AE131" s="313"/>
      <c r="AF131" s="313"/>
    </row>
    <row r="132" spans="16:32" x14ac:dyDescent="0.2">
      <c r="P132" s="313"/>
      <c r="Q132" s="403"/>
      <c r="R132" s="403"/>
      <c r="S132" s="403"/>
      <c r="T132" s="403"/>
      <c r="U132" s="313"/>
      <c r="V132" s="313"/>
      <c r="W132" s="313"/>
      <c r="X132" s="313"/>
      <c r="Y132" s="313"/>
      <c r="Z132" s="313"/>
      <c r="AA132" s="313"/>
      <c r="AB132" s="313"/>
      <c r="AC132" s="460"/>
      <c r="AD132" s="460"/>
      <c r="AE132" s="313"/>
      <c r="AF132" s="313"/>
    </row>
    <row r="133" spans="16:32" x14ac:dyDescent="0.2">
      <c r="P133" s="313"/>
      <c r="Q133" s="403"/>
      <c r="R133" s="403"/>
      <c r="S133" s="403"/>
      <c r="T133" s="403"/>
      <c r="U133" s="313"/>
      <c r="V133" s="313"/>
      <c r="W133" s="313"/>
      <c r="X133" s="313"/>
      <c r="Y133" s="313"/>
      <c r="Z133" s="313"/>
      <c r="AA133" s="313"/>
      <c r="AB133" s="313"/>
      <c r="AC133" s="460"/>
      <c r="AD133" s="460"/>
      <c r="AE133" s="313"/>
      <c r="AF133" s="313"/>
    </row>
    <row r="134" spans="16:32" x14ac:dyDescent="0.2">
      <c r="P134" s="313"/>
      <c r="Q134" s="403"/>
      <c r="R134" s="403"/>
      <c r="S134" s="403"/>
      <c r="T134" s="403"/>
      <c r="U134" s="313"/>
      <c r="V134" s="313"/>
      <c r="W134" s="313"/>
      <c r="X134" s="313"/>
      <c r="Y134" s="313"/>
      <c r="Z134" s="313"/>
      <c r="AA134" s="313"/>
      <c r="AB134" s="313"/>
      <c r="AC134" s="460"/>
      <c r="AD134" s="460"/>
      <c r="AE134" s="313"/>
      <c r="AF134" s="313"/>
    </row>
    <row r="135" spans="16:32" x14ac:dyDescent="0.2">
      <c r="P135" s="313"/>
      <c r="Q135" s="403"/>
      <c r="R135" s="403"/>
      <c r="S135" s="403"/>
      <c r="T135" s="403"/>
      <c r="U135" s="313"/>
      <c r="V135" s="313"/>
      <c r="W135" s="313"/>
      <c r="X135" s="313"/>
      <c r="Y135" s="313"/>
      <c r="Z135" s="313"/>
      <c r="AA135" s="313"/>
      <c r="AB135" s="313"/>
      <c r="AC135" s="460"/>
      <c r="AD135" s="460"/>
      <c r="AE135" s="313"/>
      <c r="AF135" s="313"/>
    </row>
    <row r="136" spans="16:32" x14ac:dyDescent="0.2">
      <c r="P136" s="313"/>
      <c r="Q136" s="403"/>
      <c r="R136" s="403"/>
      <c r="S136" s="403"/>
      <c r="T136" s="403"/>
      <c r="U136" s="313"/>
      <c r="V136" s="313"/>
      <c r="W136" s="313"/>
      <c r="X136" s="313"/>
      <c r="Y136" s="313"/>
      <c r="Z136" s="313"/>
      <c r="AA136" s="313"/>
      <c r="AB136" s="313"/>
      <c r="AC136" s="460"/>
      <c r="AD136" s="460"/>
      <c r="AE136" s="313"/>
      <c r="AF136" s="313"/>
    </row>
    <row r="137" spans="16:32" x14ac:dyDescent="0.2">
      <c r="P137" s="313"/>
      <c r="Q137" s="403"/>
      <c r="R137" s="403"/>
      <c r="S137" s="403"/>
      <c r="T137" s="403"/>
      <c r="U137" s="313"/>
      <c r="V137" s="313"/>
      <c r="W137" s="313"/>
      <c r="X137" s="313"/>
      <c r="Y137" s="313"/>
      <c r="Z137" s="313"/>
      <c r="AA137" s="313"/>
      <c r="AB137" s="313"/>
      <c r="AC137" s="460"/>
      <c r="AD137" s="460"/>
      <c r="AE137" s="313"/>
      <c r="AF137" s="313"/>
    </row>
    <row r="138" spans="16:32" x14ac:dyDescent="0.2">
      <c r="P138" s="313"/>
      <c r="Q138" s="403"/>
      <c r="R138" s="403"/>
      <c r="S138" s="403"/>
      <c r="T138" s="403"/>
      <c r="U138" s="313"/>
      <c r="V138" s="313"/>
      <c r="W138" s="313"/>
      <c r="X138" s="313"/>
      <c r="Y138" s="313"/>
      <c r="Z138" s="313"/>
      <c r="AA138" s="313"/>
      <c r="AB138" s="313"/>
      <c r="AC138" s="460"/>
      <c r="AD138" s="460"/>
      <c r="AE138" s="313"/>
      <c r="AF138" s="313"/>
    </row>
    <row r="139" spans="16:32" x14ac:dyDescent="0.2">
      <c r="P139" s="313"/>
      <c r="Q139" s="403"/>
      <c r="R139" s="403"/>
      <c r="S139" s="403"/>
      <c r="T139" s="403"/>
      <c r="U139" s="313"/>
      <c r="V139" s="313"/>
      <c r="W139" s="313"/>
      <c r="X139" s="313"/>
      <c r="Y139" s="313"/>
      <c r="Z139" s="313"/>
      <c r="AA139" s="313"/>
      <c r="AB139" s="313"/>
      <c r="AC139" s="460"/>
      <c r="AD139" s="460"/>
      <c r="AE139" s="313"/>
      <c r="AF139" s="313"/>
    </row>
    <row r="140" spans="16:32" x14ac:dyDescent="0.2">
      <c r="P140" s="313"/>
      <c r="Q140" s="403"/>
      <c r="R140" s="403"/>
      <c r="S140" s="403"/>
      <c r="T140" s="403"/>
      <c r="U140" s="313"/>
      <c r="V140" s="313"/>
      <c r="W140" s="313"/>
      <c r="X140" s="313"/>
      <c r="Y140" s="313"/>
      <c r="Z140" s="313"/>
      <c r="AA140" s="313"/>
      <c r="AB140" s="313"/>
      <c r="AC140" s="460"/>
      <c r="AD140" s="460"/>
      <c r="AE140" s="313"/>
      <c r="AF140" s="313"/>
    </row>
    <row r="141" spans="16:32" x14ac:dyDescent="0.2">
      <c r="P141" s="313"/>
      <c r="Q141" s="403"/>
      <c r="R141" s="403"/>
      <c r="S141" s="403"/>
      <c r="T141" s="403"/>
      <c r="U141" s="313"/>
      <c r="V141" s="313"/>
      <c r="W141" s="313"/>
      <c r="X141" s="313"/>
      <c r="Y141" s="313"/>
      <c r="Z141" s="313"/>
      <c r="AA141" s="313"/>
      <c r="AB141" s="313"/>
      <c r="AC141" s="460"/>
      <c r="AD141" s="460"/>
      <c r="AE141" s="313"/>
      <c r="AF141" s="313"/>
    </row>
    <row r="142" spans="16:32" x14ac:dyDescent="0.2">
      <c r="P142" s="313"/>
      <c r="Q142" s="403"/>
      <c r="R142" s="403"/>
      <c r="S142" s="403"/>
      <c r="T142" s="403"/>
      <c r="U142" s="313"/>
      <c r="V142" s="313"/>
      <c r="W142" s="313"/>
      <c r="X142" s="313"/>
      <c r="Y142" s="313"/>
      <c r="Z142" s="313"/>
      <c r="AA142" s="313"/>
      <c r="AB142" s="313"/>
      <c r="AC142" s="460"/>
      <c r="AD142" s="460"/>
      <c r="AE142" s="313"/>
      <c r="AF142" s="313"/>
    </row>
    <row r="143" spans="16:32" x14ac:dyDescent="0.2">
      <c r="P143" s="313"/>
      <c r="Q143" s="403"/>
      <c r="R143" s="403"/>
      <c r="S143" s="403"/>
      <c r="T143" s="403"/>
      <c r="U143" s="313"/>
      <c r="V143" s="313"/>
      <c r="W143" s="313"/>
      <c r="X143" s="313"/>
      <c r="Y143" s="313"/>
      <c r="Z143" s="313"/>
      <c r="AA143" s="313"/>
      <c r="AB143" s="313"/>
      <c r="AC143" s="460"/>
      <c r="AD143" s="460"/>
      <c r="AE143" s="313"/>
      <c r="AF143" s="313"/>
    </row>
    <row r="144" spans="16:32" x14ac:dyDescent="0.2">
      <c r="P144" s="313"/>
      <c r="Q144" s="403"/>
      <c r="R144" s="403"/>
      <c r="S144" s="403"/>
      <c r="T144" s="403"/>
      <c r="U144" s="313"/>
      <c r="V144" s="313"/>
      <c r="W144" s="313"/>
      <c r="X144" s="313"/>
      <c r="Y144" s="313"/>
      <c r="Z144" s="313"/>
      <c r="AA144" s="313"/>
      <c r="AB144" s="313"/>
      <c r="AC144" s="460"/>
      <c r="AD144" s="460"/>
      <c r="AE144" s="313"/>
      <c r="AF144" s="313"/>
    </row>
    <row r="145" spans="16:32" x14ac:dyDescent="0.2">
      <c r="P145" s="313"/>
      <c r="Q145" s="403"/>
      <c r="R145" s="403"/>
      <c r="S145" s="403"/>
      <c r="T145" s="403"/>
      <c r="U145" s="313"/>
      <c r="V145" s="313"/>
      <c r="W145" s="313"/>
      <c r="X145" s="313"/>
      <c r="Y145" s="313"/>
      <c r="Z145" s="313"/>
      <c r="AA145" s="313"/>
      <c r="AB145" s="313"/>
      <c r="AC145" s="460"/>
      <c r="AD145" s="460"/>
      <c r="AF145" s="313"/>
    </row>
    <row r="146" spans="16:32" x14ac:dyDescent="0.2">
      <c r="P146" s="313"/>
      <c r="Q146" s="403"/>
      <c r="R146" s="403"/>
      <c r="S146" s="403"/>
      <c r="T146" s="403"/>
      <c r="U146" s="313"/>
      <c r="V146" s="313"/>
      <c r="W146" s="313"/>
      <c r="X146" s="313"/>
      <c r="Y146" s="313"/>
      <c r="Z146" s="313"/>
      <c r="AA146" s="313"/>
      <c r="AB146" s="313"/>
      <c r="AC146" s="460"/>
      <c r="AD146" s="460"/>
    </row>
  </sheetData>
  <sheetProtection algorithmName="SHA-512" hashValue="C8bnjnIo6d0dxw9T3xgJ1MC/0nIy6EYohehrSCDyfqA1ETmllcTozwugqx4cqFYXbbZiGgfQAWJWWa0fmmJc/w==" saltValue="L1RQjvxudt62mmaTXcI5FA==" spinCount="100000" sheet="1" objects="1" scenarios="1"/>
  <mergeCells count="43">
    <mergeCell ref="C13:F13"/>
    <mergeCell ref="F19:F20"/>
    <mergeCell ref="C42:K42"/>
    <mergeCell ref="H28:K28"/>
    <mergeCell ref="C34:L34"/>
    <mergeCell ref="C35:L35"/>
    <mergeCell ref="C36:L36"/>
    <mergeCell ref="C37:L37"/>
    <mergeCell ref="C38:L38"/>
    <mergeCell ref="C39:L39"/>
    <mergeCell ref="C40:L40"/>
    <mergeCell ref="C41:L41"/>
    <mergeCell ref="C33:L33"/>
    <mergeCell ref="C30:L30"/>
    <mergeCell ref="C31:L31"/>
    <mergeCell ref="H19:K19"/>
    <mergeCell ref="H4:J4"/>
    <mergeCell ref="B12:F12"/>
    <mergeCell ref="D7:D8"/>
    <mergeCell ref="J9:J10"/>
    <mergeCell ref="B4:F4"/>
    <mergeCell ref="E5:F5"/>
    <mergeCell ref="H5:I5"/>
    <mergeCell ref="E6:F11"/>
    <mergeCell ref="J6:J7"/>
    <mergeCell ref="H6:I7"/>
    <mergeCell ref="H9:I10"/>
    <mergeCell ref="C1:I1"/>
    <mergeCell ref="H13:K14"/>
    <mergeCell ref="H16:K18"/>
    <mergeCell ref="Y32:Y33"/>
    <mergeCell ref="H3:J3"/>
    <mergeCell ref="C16:E16"/>
    <mergeCell ref="X32:X33"/>
    <mergeCell ref="U31:U33"/>
    <mergeCell ref="S29:S33"/>
    <mergeCell ref="Q29:Q33"/>
    <mergeCell ref="H20:K27"/>
    <mergeCell ref="R29:R33"/>
    <mergeCell ref="T31:T33"/>
    <mergeCell ref="H2:J2"/>
    <mergeCell ref="B3:F3"/>
    <mergeCell ref="B19:E20"/>
  </mergeCells>
  <phoneticPr fontId="16" type="noConversion"/>
  <dataValidations count="5">
    <dataValidation type="list" allowBlank="1" showInputMessage="1" showErrorMessage="1" sqref="D5" xr:uid="{00000000-0002-0000-0700-000000000000}">
      <formula1>$P$13:$P$14</formula1>
    </dataValidation>
    <dataValidation type="list" allowBlank="1" showInputMessage="1" showErrorMessage="1" sqref="D14" xr:uid="{00000000-0002-0000-0700-000001000000}">
      <formula1>$O$27:$O$28</formula1>
    </dataValidation>
    <dataValidation type="list" allowBlank="1" showInputMessage="1" showErrorMessage="1" sqref="D7" xr:uid="{00000000-0002-0000-0700-000002000000}">
      <formula1>$Q$13:$Q$14</formula1>
    </dataValidation>
    <dataValidation type="list" allowBlank="1" showInputMessage="1" showErrorMessage="1" sqref="D10" xr:uid="{00000000-0002-0000-0700-000003000000}">
      <formula1>$U$13:$U$14</formula1>
    </dataValidation>
    <dataValidation type="list" allowBlank="1" showInputMessage="1" showErrorMessage="1" sqref="C16" xr:uid="{00000000-0002-0000-0700-000004000000}">
      <formula1>$N$34:$N$59</formula1>
    </dataValidation>
  </dataValidations>
  <pageMargins left="0.75" right="0.38" top="0.65" bottom="0.78" header="0.5" footer="0.5"/>
  <pageSetup scale="65" orientation="portrait" horizontalDpi="4294967293" r:id="rId1"/>
  <headerFooter alignWithMargins="0">
    <oddFooter>&amp;R&amp;A</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indexed="29"/>
    <pageSetUpPr fitToPage="1"/>
  </sheetPr>
  <dimension ref="A1:Q250"/>
  <sheetViews>
    <sheetView topLeftCell="C1" zoomScaleNormal="100" workbookViewId="0">
      <selection activeCell="F24" sqref="F24"/>
    </sheetView>
  </sheetViews>
  <sheetFormatPr defaultColWidth="8.7109375" defaultRowHeight="11.25" x14ac:dyDescent="0.2"/>
  <cols>
    <col min="1" max="1" width="0" style="470" hidden="1" customWidth="1"/>
    <col min="2" max="2" width="9.140625" style="470" hidden="1" customWidth="1"/>
    <col min="3" max="3" width="50.5703125" style="517" customWidth="1"/>
    <col min="4" max="4" width="13.5703125" style="504" customWidth="1"/>
    <col min="5" max="5" width="13.5703125" style="504" hidden="1" customWidth="1"/>
    <col min="6" max="6" width="13.5703125" style="504" customWidth="1"/>
    <col min="7" max="7" width="11.140625" style="504" customWidth="1"/>
    <col min="8" max="8" width="11.140625" style="515" customWidth="1"/>
    <col min="9" max="12" width="14.5703125" style="515" customWidth="1"/>
    <col min="13" max="13" width="13.5703125" style="515" customWidth="1"/>
    <col min="14" max="14" width="13.5703125" style="505" customWidth="1"/>
    <col min="15" max="16" width="13.5703125" style="470" customWidth="1"/>
    <col min="17" max="16384" width="8.7109375" style="470"/>
  </cols>
  <sheetData>
    <row r="1" spans="1:17" ht="15.75" x14ac:dyDescent="0.2">
      <c r="C1" s="562" t="s">
        <v>767</v>
      </c>
      <c r="D1" s="563"/>
      <c r="E1" s="563"/>
      <c r="F1" s="563"/>
      <c r="G1" s="563"/>
      <c r="H1" s="564"/>
      <c r="I1" s="564"/>
      <c r="J1" s="564"/>
      <c r="K1" s="564"/>
      <c r="L1" s="564"/>
      <c r="M1" s="564"/>
      <c r="N1" s="564"/>
    </row>
    <row r="2" spans="1:17" ht="16.5" thickBot="1" x14ac:dyDescent="0.25">
      <c r="C2" s="562"/>
      <c r="D2" s="563"/>
      <c r="E2" s="563"/>
      <c r="F2" s="563"/>
      <c r="G2" s="563"/>
      <c r="H2" s="564"/>
      <c r="I2" s="564"/>
      <c r="J2" s="564"/>
      <c r="K2" s="564"/>
      <c r="L2" s="564"/>
      <c r="M2" s="564"/>
      <c r="N2" s="564"/>
      <c r="O2" s="505"/>
    </row>
    <row r="3" spans="1:17" s="565" customFormat="1" ht="17.25" thickTop="1" thickBot="1" x14ac:dyDescent="0.3">
      <c r="C3" s="566"/>
      <c r="G3" s="567"/>
      <c r="H3" s="568"/>
      <c r="I3" s="569" t="s">
        <v>768</v>
      </c>
      <c r="J3" s="570"/>
      <c r="K3" s="570"/>
      <c r="L3" s="570"/>
      <c r="M3" s="571" t="s">
        <v>769</v>
      </c>
      <c r="N3" s="570"/>
      <c r="O3" s="572"/>
      <c r="P3" s="573"/>
    </row>
    <row r="4" spans="1:17" s="565" customFormat="1" ht="16.5" thickBot="1" x14ac:dyDescent="0.3">
      <c r="C4" s="566"/>
      <c r="E4" s="567" t="s">
        <v>770</v>
      </c>
      <c r="G4" s="567"/>
      <c r="H4" s="568"/>
      <c r="I4" s="574" t="s">
        <v>771</v>
      </c>
      <c r="J4" s="575"/>
      <c r="K4" s="473" t="s">
        <v>772</v>
      </c>
      <c r="L4" s="576"/>
      <c r="M4" s="577" t="s">
        <v>771</v>
      </c>
      <c r="N4" s="578"/>
      <c r="O4" s="575" t="s">
        <v>772</v>
      </c>
      <c r="P4" s="579"/>
    </row>
    <row r="5" spans="1:17" s="565" customFormat="1" ht="68.25" thickTop="1" x14ac:dyDescent="0.2">
      <c r="C5" s="580"/>
      <c r="D5" s="581" t="s">
        <v>773</v>
      </c>
      <c r="E5" s="582" t="s">
        <v>774</v>
      </c>
      <c r="F5" s="583" t="s">
        <v>775</v>
      </c>
      <c r="G5" s="584" t="s">
        <v>776</v>
      </c>
      <c r="H5" s="585" t="s">
        <v>777</v>
      </c>
      <c r="I5" s="586" t="s">
        <v>778</v>
      </c>
      <c r="J5" s="587" t="s">
        <v>779</v>
      </c>
      <c r="K5" s="587" t="s">
        <v>780</v>
      </c>
      <c r="L5" s="588" t="s">
        <v>781</v>
      </c>
      <c r="M5" s="586" t="s">
        <v>782</v>
      </c>
      <c r="N5" s="589" t="s">
        <v>783</v>
      </c>
      <c r="O5" s="587" t="s">
        <v>782</v>
      </c>
      <c r="P5" s="590" t="s">
        <v>783</v>
      </c>
    </row>
    <row r="6" spans="1:17" s="565" customFormat="1" ht="15" customHeight="1" thickBot="1" x14ac:dyDescent="0.25">
      <c r="B6" s="565" t="s">
        <v>784</v>
      </c>
      <c r="C6" s="591" t="s">
        <v>785</v>
      </c>
      <c r="D6" s="592" t="s">
        <v>786</v>
      </c>
      <c r="E6" s="593" t="s">
        <v>787</v>
      </c>
      <c r="F6" s="594" t="s">
        <v>788</v>
      </c>
      <c r="G6" s="595"/>
      <c r="H6" s="488" t="s">
        <v>579</v>
      </c>
      <c r="I6" s="596" t="s">
        <v>567</v>
      </c>
      <c r="J6" s="597" t="s">
        <v>567</v>
      </c>
      <c r="K6" s="597" t="s">
        <v>567</v>
      </c>
      <c r="L6" s="488" t="s">
        <v>567</v>
      </c>
      <c r="M6" s="596" t="s">
        <v>579</v>
      </c>
      <c r="N6" s="598" t="s">
        <v>579</v>
      </c>
      <c r="O6" s="597" t="s">
        <v>579</v>
      </c>
      <c r="P6" s="599" t="s">
        <v>579</v>
      </c>
    </row>
    <row r="7" spans="1:17" ht="12" customHeight="1" x14ac:dyDescent="0.2">
      <c r="A7" s="470" t="s">
        <v>11</v>
      </c>
      <c r="B7" s="470" t="s">
        <v>472</v>
      </c>
      <c r="C7" s="600" t="s">
        <v>472</v>
      </c>
      <c r="D7" s="601">
        <v>490</v>
      </c>
      <c r="E7" s="602">
        <v>490</v>
      </c>
      <c r="F7" s="602">
        <v>2.9500000000000002E-10</v>
      </c>
      <c r="G7" s="603">
        <v>81.34000183106501</v>
      </c>
      <c r="H7" s="604">
        <v>6591.9436049499936</v>
      </c>
      <c r="I7" s="605">
        <v>2</v>
      </c>
      <c r="J7" s="606">
        <v>2</v>
      </c>
      <c r="K7" s="606">
        <v>50000</v>
      </c>
      <c r="L7" s="604">
        <v>50000</v>
      </c>
      <c r="M7" s="605">
        <v>0.16268000366213003</v>
      </c>
      <c r="N7" s="606">
        <v>0.16268000366213003</v>
      </c>
      <c r="O7" s="606">
        <v>4067.0000915532505</v>
      </c>
      <c r="P7" s="607">
        <v>4067.0000915532505</v>
      </c>
      <c r="Q7" s="505"/>
    </row>
    <row r="8" spans="1:17" ht="12" customHeight="1" x14ac:dyDescent="0.2">
      <c r="A8" s="470" t="s">
        <v>16</v>
      </c>
      <c r="B8" s="470" t="s">
        <v>473</v>
      </c>
      <c r="C8" s="608" t="s">
        <v>473</v>
      </c>
      <c r="D8" s="609">
        <v>1050</v>
      </c>
      <c r="E8" s="610">
        <v>1050</v>
      </c>
      <c r="F8" s="610">
        <v>2.1400000000000001E-10</v>
      </c>
      <c r="G8" s="611">
        <v>174.30000132829801</v>
      </c>
      <c r="H8" s="612">
        <v>839833.60021730501</v>
      </c>
      <c r="I8" s="613">
        <v>0.58076923076923059</v>
      </c>
      <c r="J8" s="614">
        <v>0.58076923076923059</v>
      </c>
      <c r="K8" s="614">
        <v>0.58076923076923059</v>
      </c>
      <c r="L8" s="612">
        <v>0.58076923076923059</v>
      </c>
      <c r="M8" s="613">
        <v>0.10122807769451152</v>
      </c>
      <c r="N8" s="614">
        <v>0.10122807769451152</v>
      </c>
      <c r="O8" s="614">
        <v>0.10122807769451152</v>
      </c>
      <c r="P8" s="615">
        <v>0.10122807769451152</v>
      </c>
      <c r="Q8" s="505"/>
    </row>
    <row r="9" spans="1:17" ht="12" customHeight="1" x14ac:dyDescent="0.2">
      <c r="A9" s="470" t="s">
        <v>22</v>
      </c>
      <c r="B9" s="470" t="s">
        <v>474</v>
      </c>
      <c r="C9" s="608" t="s">
        <v>474</v>
      </c>
      <c r="D9" s="609">
        <v>2290</v>
      </c>
      <c r="E9" s="610">
        <v>2290</v>
      </c>
      <c r="F9" s="610">
        <v>1.94E-10</v>
      </c>
      <c r="G9" s="611">
        <v>380.14000120415807</v>
      </c>
      <c r="H9" s="612">
        <v>1000000</v>
      </c>
      <c r="I9" s="613">
        <v>0.01</v>
      </c>
      <c r="J9" s="614">
        <v>0.01</v>
      </c>
      <c r="K9" s="614">
        <v>10</v>
      </c>
      <c r="L9" s="612">
        <v>10</v>
      </c>
      <c r="M9" s="613">
        <v>3.8014000120415808E-3</v>
      </c>
      <c r="N9" s="614">
        <v>3.8014000120415808E-3</v>
      </c>
      <c r="O9" s="614">
        <v>3.8014000120415807</v>
      </c>
      <c r="P9" s="615">
        <v>3.8014000120415807</v>
      </c>
      <c r="Q9" s="505"/>
    </row>
    <row r="10" spans="1:17" ht="12" customHeight="1" x14ac:dyDescent="0.2">
      <c r="A10" s="470" t="s">
        <v>28</v>
      </c>
      <c r="B10" s="470" t="s">
        <v>475</v>
      </c>
      <c r="C10" s="608" t="s">
        <v>475</v>
      </c>
      <c r="D10" s="609">
        <v>1230</v>
      </c>
      <c r="E10" s="610">
        <v>1230</v>
      </c>
      <c r="F10" s="610">
        <v>1.79E-10</v>
      </c>
      <c r="G10" s="611">
        <v>204.180001111053</v>
      </c>
      <c r="H10" s="612">
        <v>1000000</v>
      </c>
      <c r="I10" s="613">
        <v>3.8461538461538471E-2</v>
      </c>
      <c r="J10" s="614">
        <v>3.8461538461538471E-2</v>
      </c>
      <c r="K10" s="614">
        <v>3.8461538461538471E-2</v>
      </c>
      <c r="L10" s="612">
        <v>3.8461538461538471E-2</v>
      </c>
      <c r="M10" s="613">
        <v>7.853076965809733E-3</v>
      </c>
      <c r="N10" s="614">
        <v>7.853076965809733E-3</v>
      </c>
      <c r="O10" s="614">
        <v>7.853076965809733E-3</v>
      </c>
      <c r="P10" s="615">
        <v>7.853076965809733E-3</v>
      </c>
      <c r="Q10" s="505"/>
    </row>
    <row r="11" spans="1:17" ht="12" customHeight="1" x14ac:dyDescent="0.2">
      <c r="A11" s="470" t="s">
        <v>34</v>
      </c>
      <c r="B11" s="470" t="s">
        <v>476</v>
      </c>
      <c r="C11" s="608" t="s">
        <v>476</v>
      </c>
      <c r="D11" s="609">
        <v>355</v>
      </c>
      <c r="E11" s="610">
        <v>355</v>
      </c>
      <c r="F11" s="610">
        <v>1.7999999999999999E-11</v>
      </c>
      <c r="G11" s="611">
        <v>58.930000111726002</v>
      </c>
      <c r="H11" s="612">
        <v>1000000</v>
      </c>
      <c r="I11" s="613">
        <v>4.0000000000000001E-3</v>
      </c>
      <c r="J11" s="614">
        <v>4.0000000000000001E-3</v>
      </c>
      <c r="K11" s="614">
        <v>1.1000000000000001</v>
      </c>
      <c r="L11" s="612">
        <v>31</v>
      </c>
      <c r="M11" s="613">
        <v>2.3572000044690404E-4</v>
      </c>
      <c r="N11" s="614">
        <v>2.3572000044690404E-4</v>
      </c>
      <c r="O11" s="614">
        <v>6.4823000122898614E-2</v>
      </c>
      <c r="P11" s="615">
        <v>1.8268300034635061</v>
      </c>
      <c r="Q11" s="505"/>
    </row>
    <row r="12" spans="1:17" ht="12" customHeight="1" x14ac:dyDescent="0.2">
      <c r="A12" s="470" t="s">
        <v>40</v>
      </c>
      <c r="B12" s="470" t="s">
        <v>477</v>
      </c>
      <c r="C12" s="608" t="s">
        <v>477</v>
      </c>
      <c r="D12" s="609">
        <v>19100</v>
      </c>
      <c r="E12" s="610">
        <v>19100</v>
      </c>
      <c r="F12" s="610">
        <v>3.3099999999999999E-10</v>
      </c>
      <c r="G12" s="611">
        <v>3170.6000020545175</v>
      </c>
      <c r="H12" s="612">
        <v>1000000</v>
      </c>
      <c r="I12" s="613">
        <v>3.8461538461538471E-2</v>
      </c>
      <c r="J12" s="614">
        <v>3.8461538461538471E-2</v>
      </c>
      <c r="K12" s="614">
        <v>3.8461538461538471E-2</v>
      </c>
      <c r="L12" s="612">
        <v>3.8461538461538471E-2</v>
      </c>
      <c r="M12" s="613">
        <v>1000000</v>
      </c>
      <c r="N12" s="614">
        <v>1000000</v>
      </c>
      <c r="O12" s="614">
        <v>1000000</v>
      </c>
      <c r="P12" s="615">
        <v>1000000</v>
      </c>
      <c r="Q12" s="505"/>
    </row>
    <row r="13" spans="1:17" ht="12" customHeight="1" x14ac:dyDescent="0.2">
      <c r="B13" s="470" t="s">
        <v>200</v>
      </c>
      <c r="C13" s="608" t="s">
        <v>200</v>
      </c>
      <c r="D13" s="609">
        <v>4.07</v>
      </c>
      <c r="E13" s="610">
        <v>4.07</v>
      </c>
      <c r="F13" s="610">
        <v>3.31E-3</v>
      </c>
      <c r="G13" s="611">
        <v>21.220789999999997</v>
      </c>
      <c r="H13" s="612">
        <v>149004.4165629714</v>
      </c>
      <c r="I13" s="613">
        <v>18.475073313782989</v>
      </c>
      <c r="J13" s="614">
        <v>18.475073313782989</v>
      </c>
      <c r="K13" s="614">
        <v>100</v>
      </c>
      <c r="L13" s="612">
        <v>100</v>
      </c>
      <c r="M13" s="613">
        <v>0.39205565102639289</v>
      </c>
      <c r="N13" s="614">
        <v>0.39205565102639289</v>
      </c>
      <c r="O13" s="614">
        <v>2.1220789999999998</v>
      </c>
      <c r="P13" s="615">
        <v>2.1220789999999998</v>
      </c>
      <c r="Q13" s="505"/>
    </row>
    <row r="14" spans="1:17" ht="12" customHeight="1" x14ac:dyDescent="0.2">
      <c r="A14" s="470" t="s">
        <v>53</v>
      </c>
      <c r="B14" s="470" t="s">
        <v>478</v>
      </c>
      <c r="C14" s="608" t="s">
        <v>478</v>
      </c>
      <c r="D14" s="609">
        <v>5.89</v>
      </c>
      <c r="E14" s="610">
        <v>5.89</v>
      </c>
      <c r="F14" s="610">
        <v>3.63E-6</v>
      </c>
      <c r="G14" s="611">
        <v>1.0002714099999999</v>
      </c>
      <c r="H14" s="612">
        <v>3307.8546432463559</v>
      </c>
      <c r="I14" s="613">
        <v>0.51319648093841652</v>
      </c>
      <c r="J14" s="614">
        <v>0.51319648093841652</v>
      </c>
      <c r="K14" s="614">
        <v>0.51319648093841652</v>
      </c>
      <c r="L14" s="612">
        <v>0.51319648093841652</v>
      </c>
      <c r="M14" s="613">
        <v>5.1333576759530803E-4</v>
      </c>
      <c r="N14" s="614">
        <v>5.1333576759530803E-4</v>
      </c>
      <c r="O14" s="614">
        <v>5.1333576759530803E-4</v>
      </c>
      <c r="P14" s="615">
        <v>5.1333576759530803E-4</v>
      </c>
      <c r="Q14" s="505"/>
    </row>
    <row r="15" spans="1:17" ht="12" customHeight="1" x14ac:dyDescent="0.2">
      <c r="A15" s="470" t="s">
        <v>59</v>
      </c>
      <c r="B15" s="470" t="s">
        <v>479</v>
      </c>
      <c r="C15" s="608" t="s">
        <v>479</v>
      </c>
      <c r="D15" s="609">
        <v>89.1</v>
      </c>
      <c r="E15" s="610">
        <v>89.1</v>
      </c>
      <c r="F15" s="610">
        <v>5.0099999999999998E-5</v>
      </c>
      <c r="G15" s="611">
        <v>15.1015707</v>
      </c>
      <c r="H15" s="612">
        <v>92796.634376522634</v>
      </c>
      <c r="I15" s="613">
        <v>14.615384615384617</v>
      </c>
      <c r="J15" s="614">
        <v>14.615384615384617</v>
      </c>
      <c r="K15" s="614">
        <v>830</v>
      </c>
      <c r="L15" s="612">
        <v>4200</v>
      </c>
      <c r="M15" s="613">
        <v>0.2207152640769231</v>
      </c>
      <c r="N15" s="614">
        <v>0.2207152640769231</v>
      </c>
      <c r="O15" s="614">
        <v>12.534303680999999</v>
      </c>
      <c r="P15" s="615">
        <v>63.426596940000003</v>
      </c>
      <c r="Q15" s="505"/>
    </row>
    <row r="16" spans="1:17" ht="12" customHeight="1" x14ac:dyDescent="0.2">
      <c r="A16" s="470" t="s">
        <v>65</v>
      </c>
      <c r="B16" s="470" t="s">
        <v>480</v>
      </c>
      <c r="C16" s="608" t="s">
        <v>480</v>
      </c>
      <c r="D16" s="609">
        <v>95.5</v>
      </c>
      <c r="E16" s="610">
        <v>95.5</v>
      </c>
      <c r="F16" s="610">
        <v>2.9700000000000001E-10</v>
      </c>
      <c r="G16" s="611">
        <v>15.853001843479001</v>
      </c>
      <c r="H16" s="612">
        <v>163748.35403419196</v>
      </c>
      <c r="I16" s="613">
        <v>1.5384615384615383</v>
      </c>
      <c r="J16" s="614">
        <v>1.5384615384615383</v>
      </c>
      <c r="K16" s="614">
        <v>1.5384615384615383</v>
      </c>
      <c r="L16" s="612">
        <v>1.5384615384615383</v>
      </c>
      <c r="M16" s="613">
        <v>2.4389233605352306E-2</v>
      </c>
      <c r="N16" s="614">
        <v>2.4389233605352306E-2</v>
      </c>
      <c r="O16" s="614">
        <v>2.4389233605352306E-2</v>
      </c>
      <c r="P16" s="615">
        <v>2.4389233605352306E-2</v>
      </c>
      <c r="Q16" s="505"/>
    </row>
    <row r="17" spans="1:17" ht="12" customHeight="1" x14ac:dyDescent="0.2">
      <c r="A17" s="470" t="s">
        <v>71</v>
      </c>
      <c r="B17" s="470" t="s">
        <v>481</v>
      </c>
      <c r="C17" s="608" t="s">
        <v>481</v>
      </c>
      <c r="D17" s="609">
        <v>1070</v>
      </c>
      <c r="E17" s="610">
        <v>1070</v>
      </c>
      <c r="F17" s="610">
        <v>2.3500000000000002E-10</v>
      </c>
      <c r="G17" s="611">
        <v>177.62000145864499</v>
      </c>
      <c r="H17" s="612">
        <v>1000000</v>
      </c>
      <c r="I17" s="613">
        <v>1.9230769230769231</v>
      </c>
      <c r="J17" s="614">
        <v>1.9230769230769231</v>
      </c>
      <c r="K17" s="614">
        <v>6300</v>
      </c>
      <c r="L17" s="612">
        <v>48000</v>
      </c>
      <c r="M17" s="613">
        <v>0.34157692588200961</v>
      </c>
      <c r="N17" s="614">
        <v>0.34157692588200961</v>
      </c>
      <c r="O17" s="614">
        <v>1119.0060091894634</v>
      </c>
      <c r="P17" s="615">
        <v>8525.7600700149596</v>
      </c>
      <c r="Q17" s="505"/>
    </row>
    <row r="18" spans="1:17" ht="12" customHeight="1" x14ac:dyDescent="0.2">
      <c r="A18" s="470" t="s">
        <v>77</v>
      </c>
      <c r="B18" s="470" t="s">
        <v>482</v>
      </c>
      <c r="C18" s="608" t="s">
        <v>482</v>
      </c>
      <c r="D18" s="609">
        <v>2090</v>
      </c>
      <c r="E18" s="610">
        <v>2090</v>
      </c>
      <c r="F18" s="610">
        <v>2.09E-10</v>
      </c>
      <c r="G18" s="611">
        <v>346.940001297263</v>
      </c>
      <c r="H18" s="612">
        <v>1000000</v>
      </c>
      <c r="I18" s="613">
        <v>7.6923076923076941E-2</v>
      </c>
      <c r="J18" s="614">
        <v>7.6923076923076941E-2</v>
      </c>
      <c r="K18" s="614">
        <v>7.6923076923076941E-2</v>
      </c>
      <c r="L18" s="612">
        <v>7.6923076923076941E-2</v>
      </c>
      <c r="M18" s="613">
        <v>2.6687692407481776E-2</v>
      </c>
      <c r="N18" s="614">
        <v>2.6687692407481776E-2</v>
      </c>
      <c r="O18" s="614">
        <v>2.6687692407481776E-2</v>
      </c>
      <c r="P18" s="615">
        <v>2.6687692407481776E-2</v>
      </c>
      <c r="Q18" s="505"/>
    </row>
    <row r="19" spans="1:17" ht="12" customHeight="1" x14ac:dyDescent="0.2">
      <c r="A19" s="470" t="s">
        <v>83</v>
      </c>
      <c r="B19" s="470" t="s">
        <v>483</v>
      </c>
      <c r="C19" s="608" t="s">
        <v>483</v>
      </c>
      <c r="D19" s="609">
        <v>1660</v>
      </c>
      <c r="E19" s="610">
        <v>1660</v>
      </c>
      <c r="F19" s="610">
        <v>1.9200000000000001E-10</v>
      </c>
      <c r="G19" s="611">
        <v>275.56000119174399</v>
      </c>
      <c r="H19" s="612">
        <v>1000000</v>
      </c>
      <c r="I19" s="613">
        <v>4.0000000000000001E-3</v>
      </c>
      <c r="J19" s="614">
        <v>4.0000000000000001E-3</v>
      </c>
      <c r="K19" s="614">
        <v>8.3000000000000007</v>
      </c>
      <c r="L19" s="612">
        <v>119</v>
      </c>
      <c r="M19" s="613">
        <v>1.1022400047669761E-3</v>
      </c>
      <c r="N19" s="614">
        <v>1.1022400047669761E-3</v>
      </c>
      <c r="O19" s="614">
        <v>2.2871480098914754</v>
      </c>
      <c r="P19" s="615">
        <v>32.791640141817538</v>
      </c>
      <c r="Q19" s="505"/>
    </row>
    <row r="20" spans="1:17" ht="12" customHeight="1" x14ac:dyDescent="0.2">
      <c r="A20" s="470" t="s">
        <v>89</v>
      </c>
      <c r="B20" s="470" t="s">
        <v>484</v>
      </c>
      <c r="C20" s="608" t="s">
        <v>484</v>
      </c>
      <c r="D20" s="609">
        <v>2820</v>
      </c>
      <c r="E20" s="610">
        <v>2820</v>
      </c>
      <c r="F20" s="610">
        <v>1.1800000000000001E-9</v>
      </c>
      <c r="G20" s="611">
        <v>468.12000732426003</v>
      </c>
      <c r="H20" s="612">
        <v>1000000</v>
      </c>
      <c r="I20" s="613">
        <v>0.01</v>
      </c>
      <c r="J20" s="614">
        <v>0.01</v>
      </c>
      <c r="K20" s="614">
        <v>8</v>
      </c>
      <c r="L20" s="612">
        <v>10</v>
      </c>
      <c r="M20" s="613">
        <v>4.6812000732426003E-3</v>
      </c>
      <c r="N20" s="614">
        <v>4.6812000732426003E-3</v>
      </c>
      <c r="O20" s="614">
        <v>3.7449600585940801</v>
      </c>
      <c r="P20" s="615">
        <v>4.6812000732426009</v>
      </c>
      <c r="Q20" s="505"/>
    </row>
    <row r="21" spans="1:17" ht="12" customHeight="1" x14ac:dyDescent="0.2">
      <c r="A21" s="470" t="s">
        <v>95</v>
      </c>
      <c r="B21" s="470" t="s">
        <v>485</v>
      </c>
      <c r="C21" s="608" t="s">
        <v>485</v>
      </c>
      <c r="D21" s="609">
        <v>398</v>
      </c>
      <c r="E21" s="610">
        <v>398</v>
      </c>
      <c r="F21" s="610">
        <v>1.5E-10</v>
      </c>
      <c r="G21" s="611">
        <v>66.068000931049994</v>
      </c>
      <c r="H21" s="612">
        <v>1000000</v>
      </c>
      <c r="I21" s="613">
        <v>7.6923076923076927E-3</v>
      </c>
      <c r="J21" s="614">
        <v>7.6923076923076927E-3</v>
      </c>
      <c r="K21" s="614">
        <v>10</v>
      </c>
      <c r="L21" s="612">
        <v>10</v>
      </c>
      <c r="M21" s="613">
        <v>5.0821539177730766E-4</v>
      </c>
      <c r="N21" s="614">
        <v>5.0821539177730766E-4</v>
      </c>
      <c r="O21" s="614">
        <v>0.66068000931049997</v>
      </c>
      <c r="P21" s="615">
        <v>0.66068000931049997</v>
      </c>
      <c r="Q21" s="505"/>
    </row>
    <row r="22" spans="1:17" ht="12" customHeight="1" x14ac:dyDescent="0.2">
      <c r="A22" s="470" t="s">
        <v>101</v>
      </c>
      <c r="B22" s="470" t="s">
        <v>486</v>
      </c>
      <c r="C22" s="608" t="s">
        <v>486</v>
      </c>
      <c r="D22" s="609">
        <v>16600</v>
      </c>
      <c r="E22" s="610">
        <v>16600</v>
      </c>
      <c r="F22" s="610">
        <v>3.3399999999999998E-10</v>
      </c>
      <c r="G22" s="611">
        <v>2755.6000020731385</v>
      </c>
      <c r="H22" s="612">
        <v>1000000</v>
      </c>
      <c r="I22" s="613">
        <v>1.9230769230769235E-2</v>
      </c>
      <c r="J22" s="614">
        <v>1.9230769230769235E-2</v>
      </c>
      <c r="K22" s="614">
        <v>10</v>
      </c>
      <c r="L22" s="612">
        <v>440</v>
      </c>
      <c r="M22" s="613">
        <v>1000000</v>
      </c>
      <c r="N22" s="614">
        <v>1000000</v>
      </c>
      <c r="O22" s="614">
        <v>1000000</v>
      </c>
      <c r="P22" s="615">
        <v>1000000</v>
      </c>
      <c r="Q22" s="505"/>
    </row>
    <row r="23" spans="1:17" ht="12" customHeight="1" x14ac:dyDescent="0.2">
      <c r="A23" s="470" t="s">
        <v>107</v>
      </c>
      <c r="B23" s="470" t="s">
        <v>487</v>
      </c>
      <c r="C23" s="608" t="s">
        <v>487</v>
      </c>
      <c r="D23" s="609">
        <v>85400</v>
      </c>
      <c r="E23" s="610">
        <v>85400</v>
      </c>
      <c r="F23" s="610">
        <v>3.4000000000000001E-10</v>
      </c>
      <c r="G23" s="611">
        <v>14176.400002110382</v>
      </c>
      <c r="H23" s="612">
        <v>1000000</v>
      </c>
      <c r="I23" s="613">
        <v>2.5769230769230766E-2</v>
      </c>
      <c r="J23" s="614">
        <v>2.5769230769230766E-2</v>
      </c>
      <c r="K23" s="614">
        <v>20</v>
      </c>
      <c r="L23" s="612">
        <v>640</v>
      </c>
      <c r="M23" s="613">
        <v>1000000</v>
      </c>
      <c r="N23" s="614">
        <v>1000000</v>
      </c>
      <c r="O23" s="614">
        <v>1000000</v>
      </c>
      <c r="P23" s="615">
        <v>1000000</v>
      </c>
      <c r="Q23" s="505"/>
    </row>
    <row r="24" spans="1:17" ht="12" customHeight="1" x14ac:dyDescent="0.2">
      <c r="A24" s="470" t="s">
        <v>113</v>
      </c>
      <c r="B24" s="470" t="s">
        <v>488</v>
      </c>
      <c r="C24" s="608" t="s">
        <v>488</v>
      </c>
      <c r="D24" s="609">
        <v>184000</v>
      </c>
      <c r="E24" s="610">
        <v>184000</v>
      </c>
      <c r="F24" s="610">
        <v>3.4799999999999999E-10</v>
      </c>
      <c r="G24" s="611">
        <v>30544.000002160035</v>
      </c>
      <c r="H24" s="612">
        <v>1000000</v>
      </c>
      <c r="I24" s="613">
        <v>2.5769230769230766E-2</v>
      </c>
      <c r="J24" s="614">
        <v>2.5769230769230766E-2</v>
      </c>
      <c r="K24" s="614">
        <v>2.5769230769230766E-2</v>
      </c>
      <c r="L24" s="612">
        <v>2.5769230769230766E-2</v>
      </c>
      <c r="M24" s="613">
        <v>1000000</v>
      </c>
      <c r="N24" s="614">
        <v>1000000</v>
      </c>
      <c r="O24" s="614">
        <v>1000000</v>
      </c>
      <c r="P24" s="615">
        <v>1000000</v>
      </c>
      <c r="Q24" s="505"/>
    </row>
    <row r="25" spans="1:17" ht="12" customHeight="1" x14ac:dyDescent="0.2">
      <c r="A25" s="470" t="s">
        <v>119</v>
      </c>
      <c r="B25" s="470" t="s">
        <v>489</v>
      </c>
      <c r="C25" s="608" t="s">
        <v>489</v>
      </c>
      <c r="D25" s="609">
        <v>233000</v>
      </c>
      <c r="E25" s="610">
        <v>233000</v>
      </c>
      <c r="F25" s="610">
        <v>3.5500000000000001E-10</v>
      </c>
      <c r="G25" s="611">
        <v>38678.000002203487</v>
      </c>
      <c r="H25" s="612">
        <v>1000000</v>
      </c>
      <c r="I25" s="613">
        <v>0.25769230769230772</v>
      </c>
      <c r="J25" s="614">
        <v>0.25769230769230772</v>
      </c>
      <c r="K25" s="614">
        <v>0.25769230769230772</v>
      </c>
      <c r="L25" s="612">
        <v>0.25769230769230772</v>
      </c>
      <c r="M25" s="613">
        <v>1000000</v>
      </c>
      <c r="N25" s="614">
        <v>1000000</v>
      </c>
      <c r="O25" s="614">
        <v>1000000</v>
      </c>
      <c r="P25" s="615">
        <v>1000000</v>
      </c>
      <c r="Q25" s="505"/>
    </row>
    <row r="26" spans="1:17" ht="12" customHeight="1" x14ac:dyDescent="0.2">
      <c r="A26" s="470" t="s">
        <v>123</v>
      </c>
      <c r="B26" s="470" t="s">
        <v>490</v>
      </c>
      <c r="C26" s="608" t="s">
        <v>490</v>
      </c>
      <c r="D26" s="609">
        <v>661</v>
      </c>
      <c r="E26" s="610">
        <v>661</v>
      </c>
      <c r="F26" s="610">
        <v>2.24E-10</v>
      </c>
      <c r="G26" s="611">
        <v>109.726001390368</v>
      </c>
      <c r="H26" s="612">
        <v>1000000</v>
      </c>
      <c r="I26" s="613">
        <v>4.6153846153846156E-2</v>
      </c>
      <c r="J26" s="614">
        <v>4.6153846153846156E-2</v>
      </c>
      <c r="K26" s="614">
        <v>4.6153846153846156E-2</v>
      </c>
      <c r="L26" s="612">
        <v>4.6153846153846156E-2</v>
      </c>
      <c r="M26" s="613">
        <v>5.0642769872477544E-3</v>
      </c>
      <c r="N26" s="614">
        <v>5.0642769872477544E-3</v>
      </c>
      <c r="O26" s="614">
        <v>5.0642769872477544E-3</v>
      </c>
      <c r="P26" s="615">
        <v>5.0642769872477544E-3</v>
      </c>
      <c r="Q26" s="505"/>
    </row>
    <row r="27" spans="1:17" ht="12" customHeight="1" x14ac:dyDescent="0.2">
      <c r="A27" s="470" t="s">
        <v>129</v>
      </c>
      <c r="B27" s="470" t="s">
        <v>491</v>
      </c>
      <c r="C27" s="608" t="s">
        <v>491</v>
      </c>
      <c r="D27" s="609">
        <v>407</v>
      </c>
      <c r="E27" s="610">
        <v>407</v>
      </c>
      <c r="F27" s="610">
        <v>4.0600000000000001E-6</v>
      </c>
      <c r="G27" s="611">
        <v>67.587200420000002</v>
      </c>
      <c r="H27" s="612">
        <v>1000000</v>
      </c>
      <c r="I27" s="613">
        <v>0.01</v>
      </c>
      <c r="J27" s="614">
        <v>0.01</v>
      </c>
      <c r="K27" s="614">
        <v>0.01</v>
      </c>
      <c r="L27" s="612">
        <v>0.01</v>
      </c>
      <c r="M27" s="613">
        <v>6.7587200420000004E-4</v>
      </c>
      <c r="N27" s="614">
        <v>6.7587200420000004E-4</v>
      </c>
      <c r="O27" s="614">
        <v>6.7587200420000004E-4</v>
      </c>
      <c r="P27" s="615">
        <v>6.7587200420000004E-4</v>
      </c>
      <c r="Q27" s="505"/>
    </row>
    <row r="28" spans="1:17" ht="12" customHeight="1" x14ac:dyDescent="0.2">
      <c r="A28" s="470" t="s">
        <v>789</v>
      </c>
      <c r="B28" s="470" t="s">
        <v>492</v>
      </c>
      <c r="C28" s="608" t="s">
        <v>492</v>
      </c>
      <c r="D28" s="609">
        <v>947</v>
      </c>
      <c r="E28" s="610">
        <v>947</v>
      </c>
      <c r="F28" s="610">
        <v>1.8299999999999999E-10</v>
      </c>
      <c r="G28" s="611">
        <v>157.20200113588101</v>
      </c>
      <c r="H28" s="612">
        <v>1000000</v>
      </c>
      <c r="I28" s="613">
        <v>1.5</v>
      </c>
      <c r="J28" s="614">
        <v>1.5</v>
      </c>
      <c r="K28" s="614">
        <v>260</v>
      </c>
      <c r="L28" s="612">
        <v>10800</v>
      </c>
      <c r="M28" s="613">
        <v>0.23580300170382151</v>
      </c>
      <c r="N28" s="614">
        <v>0.23580300170382151</v>
      </c>
      <c r="O28" s="614">
        <v>40.872520295329068</v>
      </c>
      <c r="P28" s="615">
        <v>1697.7816122675149</v>
      </c>
      <c r="Q28" s="505"/>
    </row>
    <row r="29" spans="1:17" ht="12" customHeight="1" x14ac:dyDescent="0.2">
      <c r="A29" s="470" t="s">
        <v>140</v>
      </c>
      <c r="B29" s="470" t="s">
        <v>493</v>
      </c>
      <c r="C29" s="608" t="s">
        <v>493</v>
      </c>
      <c r="D29" s="609">
        <v>967</v>
      </c>
      <c r="E29" s="610">
        <v>967</v>
      </c>
      <c r="F29" s="610">
        <v>1.8E-10</v>
      </c>
      <c r="G29" s="611">
        <v>160.52200111726003</v>
      </c>
      <c r="H29" s="612">
        <v>1000000</v>
      </c>
      <c r="I29" s="613">
        <v>1.153846153846154</v>
      </c>
      <c r="J29" s="614">
        <v>1.153846153846154</v>
      </c>
      <c r="K29" s="614">
        <v>10000</v>
      </c>
      <c r="L29" s="612">
        <v>10000</v>
      </c>
      <c r="M29" s="613">
        <v>0.18521769359683854</v>
      </c>
      <c r="N29" s="614">
        <v>0.18521769359683854</v>
      </c>
      <c r="O29" s="614">
        <v>1605.2200111726004</v>
      </c>
      <c r="P29" s="615">
        <v>1605.2200111726004</v>
      </c>
      <c r="Q29" s="505"/>
    </row>
    <row r="30" spans="1:17" ht="12" customHeight="1" x14ac:dyDescent="0.2">
      <c r="A30" s="470" t="s">
        <v>143</v>
      </c>
      <c r="B30" s="470" t="s">
        <v>494</v>
      </c>
      <c r="C30" s="608" t="s">
        <v>494</v>
      </c>
      <c r="D30" s="609">
        <v>3160</v>
      </c>
      <c r="E30" s="610">
        <v>3160</v>
      </c>
      <c r="F30" s="610">
        <v>2.5999999999999998E-10</v>
      </c>
      <c r="G30" s="611">
        <v>524.56000161382008</v>
      </c>
      <c r="H30" s="612">
        <v>335.79145603544561</v>
      </c>
      <c r="I30" s="613">
        <v>5</v>
      </c>
      <c r="J30" s="614">
        <v>5</v>
      </c>
      <c r="K30" s="614">
        <v>5</v>
      </c>
      <c r="L30" s="612">
        <v>5</v>
      </c>
      <c r="M30" s="613">
        <v>2.6228000080691003</v>
      </c>
      <c r="N30" s="614">
        <v>2.6228000080691003</v>
      </c>
      <c r="O30" s="614">
        <v>2.6228000080691003</v>
      </c>
      <c r="P30" s="615">
        <v>2.6228000080691003</v>
      </c>
      <c r="Q30" s="505"/>
    </row>
    <row r="31" spans="1:17" ht="12" customHeight="1" x14ac:dyDescent="0.2">
      <c r="A31" s="470" t="s">
        <v>146</v>
      </c>
      <c r="B31" s="470" t="s">
        <v>495</v>
      </c>
      <c r="C31" s="608" t="s">
        <v>495</v>
      </c>
      <c r="D31" s="609">
        <v>2240</v>
      </c>
      <c r="E31" s="610">
        <v>2240</v>
      </c>
      <c r="F31" s="610">
        <v>2.09E-10</v>
      </c>
      <c r="G31" s="611">
        <v>371.84000129726303</v>
      </c>
      <c r="H31" s="612">
        <v>2.6763705603196803</v>
      </c>
      <c r="I31" s="613">
        <v>4.2307692307692308</v>
      </c>
      <c r="J31" s="614">
        <v>4.2307692307692308</v>
      </c>
      <c r="K31" s="614">
        <v>4.2307692307692308</v>
      </c>
      <c r="L31" s="612">
        <v>4.2307692307692308</v>
      </c>
      <c r="M31" s="613">
        <v>1.5731692362576515</v>
      </c>
      <c r="N31" s="614">
        <v>1.5731692362576515</v>
      </c>
      <c r="O31" s="614">
        <v>1.5731692362576515</v>
      </c>
      <c r="P31" s="615">
        <v>1.5731692362576515</v>
      </c>
      <c r="Q31" s="505"/>
    </row>
    <row r="32" spans="1:17" ht="12" customHeight="1" thickBot="1" x14ac:dyDescent="0.25">
      <c r="A32" s="470" t="s">
        <v>152</v>
      </c>
      <c r="B32" s="470" t="s">
        <v>496</v>
      </c>
      <c r="C32" s="616" t="s">
        <v>496</v>
      </c>
      <c r="D32" s="617">
        <v>67600</v>
      </c>
      <c r="E32" s="618">
        <v>67600</v>
      </c>
      <c r="F32" s="618">
        <v>8.9100000000000003E-10</v>
      </c>
      <c r="G32" s="619">
        <v>11221.600005530438</v>
      </c>
      <c r="H32" s="620">
        <v>77741.0454013212</v>
      </c>
      <c r="I32" s="621">
        <v>1.9230769230769231</v>
      </c>
      <c r="J32" s="622">
        <v>1.9230769230769231</v>
      </c>
      <c r="K32" s="622">
        <v>1.9230769230769231</v>
      </c>
      <c r="L32" s="620">
        <v>1.9230769230769231</v>
      </c>
      <c r="M32" s="621">
        <v>77741.0454013212</v>
      </c>
      <c r="N32" s="622">
        <v>77741.0454013212</v>
      </c>
      <c r="O32" s="622">
        <v>77741.0454013212</v>
      </c>
      <c r="P32" s="623">
        <v>77741.0454013212</v>
      </c>
      <c r="Q32" s="505"/>
    </row>
    <row r="33" spans="3:16" ht="12" thickTop="1" x14ac:dyDescent="0.2">
      <c r="C33" s="514" t="s">
        <v>238</v>
      </c>
      <c r="P33" s="624"/>
    </row>
    <row r="34" spans="3:16" x14ac:dyDescent="0.2">
      <c r="C34" s="521" t="s">
        <v>790</v>
      </c>
      <c r="P34" s="624"/>
    </row>
    <row r="35" spans="3:16" x14ac:dyDescent="0.2">
      <c r="C35" s="625" t="s">
        <v>791</v>
      </c>
      <c r="P35" s="624"/>
    </row>
    <row r="36" spans="3:16" x14ac:dyDescent="0.2">
      <c r="C36" s="518" t="s">
        <v>792</v>
      </c>
      <c r="P36" s="624"/>
    </row>
    <row r="37" spans="3:16" ht="33" customHeight="1" thickBot="1" x14ac:dyDescent="0.25">
      <c r="C37" s="1536" t="s">
        <v>793</v>
      </c>
      <c r="D37" s="1520"/>
      <c r="E37" s="1520"/>
      <c r="F37" s="1520"/>
      <c r="G37" s="1520"/>
      <c r="H37" s="1520"/>
      <c r="I37" s="1520"/>
      <c r="J37" s="1520"/>
      <c r="K37" s="1520"/>
      <c r="L37" s="1520"/>
      <c r="M37" s="1520"/>
      <c r="N37" s="1520"/>
      <c r="O37" s="1520"/>
      <c r="P37" s="1521"/>
    </row>
    <row r="38" spans="3:16" s="627" customFormat="1" ht="13.5" thickTop="1" x14ac:dyDescent="0.2">
      <c r="C38" s="469"/>
      <c r="D38" s="469"/>
      <c r="E38" s="469"/>
      <c r="F38" s="469"/>
      <c r="G38" s="469"/>
      <c r="H38" s="626"/>
      <c r="I38" s="626"/>
      <c r="J38" s="626"/>
      <c r="K38" s="626"/>
      <c r="L38" s="626"/>
      <c r="M38" s="626"/>
      <c r="N38" s="626"/>
      <c r="O38" s="469"/>
      <c r="P38" s="469"/>
    </row>
    <row r="39" spans="3:16" s="627" customFormat="1" ht="12.75" x14ac:dyDescent="0.2">
      <c r="C39" s="469"/>
      <c r="D39" s="469"/>
      <c r="E39" s="469"/>
      <c r="F39" s="469"/>
      <c r="G39" s="469"/>
      <c r="H39" s="626"/>
      <c r="I39" s="626"/>
      <c r="J39" s="626"/>
      <c r="K39" s="626"/>
      <c r="L39" s="626"/>
      <c r="M39" s="626"/>
      <c r="N39" s="626"/>
      <c r="O39" s="469"/>
      <c r="P39" s="469"/>
    </row>
    <row r="40" spans="3:16" s="627" customFormat="1" ht="12.75" x14ac:dyDescent="0.2">
      <c r="C40" s="469"/>
      <c r="D40" s="469"/>
      <c r="E40" s="469"/>
      <c r="F40" s="469"/>
      <c r="G40" s="469"/>
      <c r="H40" s="626"/>
      <c r="I40" s="626"/>
      <c r="J40" s="626"/>
      <c r="K40" s="626"/>
      <c r="L40" s="626"/>
      <c r="M40" s="626"/>
      <c r="N40" s="626"/>
      <c r="O40" s="469"/>
      <c r="P40" s="469"/>
    </row>
    <row r="41" spans="3:16" s="627" customFormat="1" ht="12.75" x14ac:dyDescent="0.2">
      <c r="C41" s="469"/>
      <c r="D41" s="469"/>
      <c r="E41" s="469"/>
      <c r="F41" s="469"/>
      <c r="G41" s="469"/>
      <c r="H41" s="626"/>
      <c r="I41" s="626"/>
      <c r="J41" s="626"/>
      <c r="K41" s="626"/>
      <c r="L41" s="626"/>
      <c r="M41" s="626"/>
      <c r="N41" s="626"/>
      <c r="O41" s="469"/>
      <c r="P41" s="469"/>
    </row>
    <row r="42" spans="3:16" s="627" customFormat="1" ht="12.75" x14ac:dyDescent="0.2">
      <c r="C42" s="469"/>
      <c r="D42" s="469"/>
      <c r="E42" s="469"/>
      <c r="F42" s="469"/>
      <c r="G42" s="469"/>
      <c r="H42" s="626"/>
      <c r="I42" s="626"/>
      <c r="J42" s="626"/>
      <c r="K42" s="626"/>
      <c r="L42" s="626"/>
      <c r="M42" s="626"/>
      <c r="N42" s="626"/>
      <c r="O42" s="469"/>
      <c r="P42" s="469"/>
    </row>
    <row r="43" spans="3:16" s="627" customFormat="1" ht="12.75" x14ac:dyDescent="0.2">
      <c r="C43" s="469"/>
      <c r="D43" s="469"/>
      <c r="E43" s="469"/>
      <c r="F43" s="469"/>
      <c r="G43" s="469"/>
      <c r="H43" s="626"/>
      <c r="I43" s="626"/>
      <c r="J43" s="626"/>
      <c r="K43" s="626"/>
      <c r="L43" s="626"/>
      <c r="M43" s="626"/>
      <c r="N43" s="626"/>
      <c r="O43" s="469"/>
      <c r="P43" s="469"/>
    </row>
    <row r="44" spans="3:16" s="627" customFormat="1" ht="12.75" x14ac:dyDescent="0.2">
      <c r="C44" s="469"/>
      <c r="D44" s="469"/>
      <c r="E44" s="469"/>
      <c r="F44" s="469"/>
      <c r="G44" s="469"/>
      <c r="H44" s="626"/>
      <c r="I44" s="626"/>
      <c r="J44" s="626"/>
      <c r="K44" s="626"/>
      <c r="L44" s="626"/>
      <c r="M44" s="626"/>
      <c r="N44" s="626"/>
      <c r="O44" s="469"/>
      <c r="P44" s="469"/>
    </row>
    <row r="45" spans="3:16" s="627" customFormat="1" ht="12.75" x14ac:dyDescent="0.2">
      <c r="C45" s="469"/>
      <c r="D45" s="469"/>
      <c r="E45" s="469"/>
      <c r="F45" s="469"/>
      <c r="G45" s="469"/>
      <c r="H45" s="626"/>
      <c r="I45" s="626"/>
      <c r="J45" s="626"/>
      <c r="K45" s="626"/>
      <c r="L45" s="626"/>
      <c r="M45" s="626"/>
      <c r="N45" s="626"/>
      <c r="O45" s="469"/>
      <c r="P45" s="469"/>
    </row>
    <row r="46" spans="3:16" s="627" customFormat="1" ht="12.75" x14ac:dyDescent="0.2">
      <c r="C46" s="469"/>
      <c r="D46" s="469"/>
      <c r="E46" s="469"/>
      <c r="F46" s="469"/>
      <c r="G46" s="469"/>
      <c r="H46" s="626"/>
      <c r="I46" s="626"/>
      <c r="J46" s="626"/>
      <c r="K46" s="626"/>
      <c r="L46" s="626"/>
      <c r="M46" s="626"/>
      <c r="N46" s="626"/>
      <c r="O46" s="469"/>
      <c r="P46" s="469"/>
    </row>
    <row r="47" spans="3:16" s="627" customFormat="1" ht="12.75" x14ac:dyDescent="0.2">
      <c r="C47" s="469"/>
      <c r="D47" s="469"/>
      <c r="E47" s="469"/>
      <c r="F47" s="469"/>
      <c r="G47" s="469"/>
      <c r="H47" s="626"/>
      <c r="I47" s="626"/>
      <c r="J47" s="626"/>
      <c r="K47" s="626"/>
      <c r="L47" s="626"/>
      <c r="M47" s="626"/>
      <c r="N47" s="626"/>
      <c r="O47" s="469"/>
      <c r="P47" s="469"/>
    </row>
    <row r="48" spans="3:16" s="627" customFormat="1" ht="12.75" x14ac:dyDescent="0.2">
      <c r="C48" s="469"/>
      <c r="D48" s="469"/>
      <c r="E48" s="469"/>
      <c r="F48" s="469"/>
      <c r="G48" s="469"/>
      <c r="H48" s="626"/>
      <c r="I48" s="626"/>
      <c r="J48" s="626"/>
      <c r="K48" s="626"/>
      <c r="L48" s="626"/>
      <c r="M48" s="626"/>
      <c r="N48" s="626"/>
      <c r="O48" s="469"/>
      <c r="P48" s="469"/>
    </row>
    <row r="49" spans="3:16" s="627" customFormat="1" ht="12.75" x14ac:dyDescent="0.2">
      <c r="C49" s="469"/>
      <c r="D49" s="469"/>
      <c r="E49" s="469"/>
      <c r="F49" s="469"/>
      <c r="G49" s="469"/>
      <c r="H49" s="626"/>
      <c r="I49" s="626"/>
      <c r="J49" s="626"/>
      <c r="K49" s="626"/>
      <c r="L49" s="626"/>
      <c r="M49" s="626"/>
      <c r="N49" s="626"/>
      <c r="O49" s="469"/>
      <c r="P49" s="469"/>
    </row>
    <row r="50" spans="3:16" s="627" customFormat="1" ht="12.75" x14ac:dyDescent="0.2">
      <c r="C50" s="469"/>
      <c r="D50" s="469"/>
      <c r="E50" s="469"/>
      <c r="F50" s="469"/>
      <c r="G50" s="469"/>
      <c r="H50" s="626"/>
      <c r="I50" s="626"/>
      <c r="J50" s="626"/>
      <c r="K50" s="626"/>
      <c r="L50" s="626"/>
      <c r="M50" s="626"/>
      <c r="N50" s="626"/>
      <c r="O50" s="469"/>
      <c r="P50" s="469"/>
    </row>
    <row r="51" spans="3:16" s="627" customFormat="1" ht="12.75" x14ac:dyDescent="0.2">
      <c r="C51" s="469"/>
      <c r="D51" s="469"/>
      <c r="E51" s="469"/>
      <c r="F51" s="469"/>
      <c r="G51" s="469"/>
      <c r="H51" s="626"/>
      <c r="I51" s="626"/>
      <c r="J51" s="626"/>
      <c r="K51" s="626"/>
      <c r="L51" s="626"/>
      <c r="M51" s="626"/>
      <c r="N51" s="626"/>
      <c r="O51" s="469"/>
      <c r="P51" s="469"/>
    </row>
    <row r="52" spans="3:16" s="627" customFormat="1" ht="12.75" x14ac:dyDescent="0.2">
      <c r="C52" s="469"/>
      <c r="D52" s="469"/>
      <c r="E52" s="469"/>
      <c r="F52" s="469"/>
      <c r="G52" s="469"/>
      <c r="H52" s="626"/>
      <c r="I52" s="626"/>
      <c r="J52" s="626"/>
      <c r="K52" s="626"/>
      <c r="L52" s="626"/>
      <c r="M52" s="626"/>
      <c r="N52" s="626"/>
      <c r="O52" s="469"/>
      <c r="P52" s="469"/>
    </row>
    <row r="53" spans="3:16" s="627" customFormat="1" ht="12.75" x14ac:dyDescent="0.2">
      <c r="C53" s="469"/>
      <c r="D53" s="469"/>
      <c r="E53" s="469"/>
      <c r="F53" s="469"/>
      <c r="G53" s="469"/>
      <c r="H53" s="626"/>
      <c r="I53" s="626"/>
      <c r="J53" s="626"/>
      <c r="K53" s="626"/>
      <c r="L53" s="626"/>
      <c r="M53" s="626"/>
      <c r="N53" s="626"/>
      <c r="O53" s="469"/>
      <c r="P53" s="469"/>
    </row>
    <row r="54" spans="3:16" s="627" customFormat="1" ht="12.75" x14ac:dyDescent="0.2">
      <c r="C54" s="469"/>
      <c r="D54" s="469"/>
      <c r="E54" s="469"/>
      <c r="F54" s="469"/>
      <c r="G54" s="469"/>
      <c r="H54" s="626"/>
      <c r="I54" s="626"/>
      <c r="J54" s="626"/>
      <c r="K54" s="626"/>
      <c r="L54" s="626"/>
      <c r="M54" s="626"/>
      <c r="N54" s="626"/>
      <c r="O54" s="469"/>
      <c r="P54" s="469"/>
    </row>
    <row r="55" spans="3:16" s="627" customFormat="1" ht="12.75" x14ac:dyDescent="0.2">
      <c r="C55" s="469"/>
      <c r="D55" s="469"/>
      <c r="E55" s="469"/>
      <c r="F55" s="469"/>
      <c r="G55" s="469"/>
      <c r="H55" s="626"/>
      <c r="I55" s="626"/>
      <c r="J55" s="626"/>
      <c r="K55" s="626"/>
      <c r="L55" s="626"/>
      <c r="M55" s="626"/>
      <c r="N55" s="626"/>
      <c r="O55" s="469"/>
      <c r="P55" s="469"/>
    </row>
    <row r="56" spans="3:16" s="627" customFormat="1" ht="12.75" x14ac:dyDescent="0.2">
      <c r="C56" s="469"/>
      <c r="D56" s="469"/>
      <c r="E56" s="469"/>
      <c r="F56" s="469"/>
      <c r="G56" s="469"/>
      <c r="H56" s="626"/>
      <c r="I56" s="626"/>
      <c r="J56" s="626"/>
      <c r="K56" s="626"/>
      <c r="L56" s="626"/>
      <c r="M56" s="626"/>
      <c r="N56" s="626"/>
      <c r="O56" s="469"/>
      <c r="P56" s="469"/>
    </row>
    <row r="57" spans="3:16" s="627" customFormat="1" ht="12.75" x14ac:dyDescent="0.2">
      <c r="C57" s="469"/>
      <c r="D57" s="469"/>
      <c r="E57" s="469"/>
      <c r="F57" s="469"/>
      <c r="G57" s="469"/>
      <c r="H57" s="626"/>
      <c r="I57" s="626"/>
      <c r="J57" s="626"/>
      <c r="K57" s="626"/>
      <c r="L57" s="626"/>
      <c r="M57" s="626"/>
      <c r="N57" s="626"/>
      <c r="O57" s="469"/>
      <c r="P57" s="469"/>
    </row>
    <row r="58" spans="3:16" s="627" customFormat="1" ht="12.75" x14ac:dyDescent="0.2">
      <c r="C58" s="469"/>
      <c r="D58" s="469"/>
      <c r="E58" s="469"/>
      <c r="F58" s="469"/>
      <c r="G58" s="469"/>
      <c r="H58" s="626"/>
      <c r="I58" s="626"/>
      <c r="J58" s="626"/>
      <c r="K58" s="626"/>
      <c r="L58" s="626"/>
      <c r="M58" s="626"/>
      <c r="N58" s="626"/>
      <c r="O58" s="469"/>
      <c r="P58" s="469"/>
    </row>
    <row r="59" spans="3:16" s="627" customFormat="1" ht="12.75" x14ac:dyDescent="0.2">
      <c r="C59" s="469"/>
      <c r="D59" s="469"/>
      <c r="E59" s="469"/>
      <c r="F59" s="469"/>
      <c r="G59" s="469"/>
      <c r="H59" s="626"/>
      <c r="I59" s="626"/>
      <c r="J59" s="626"/>
      <c r="K59" s="626"/>
      <c r="L59" s="626"/>
      <c r="M59" s="626"/>
      <c r="N59" s="626"/>
      <c r="O59" s="469"/>
      <c r="P59" s="469"/>
    </row>
    <row r="60" spans="3:16" s="627" customFormat="1" ht="12.75" x14ac:dyDescent="0.2">
      <c r="C60" s="469"/>
      <c r="D60" s="469"/>
      <c r="E60" s="469"/>
      <c r="F60" s="469"/>
      <c r="G60" s="469"/>
      <c r="H60" s="626"/>
      <c r="I60" s="626"/>
      <c r="J60" s="626"/>
      <c r="K60" s="626"/>
      <c r="L60" s="626"/>
      <c r="M60" s="626"/>
      <c r="N60" s="626"/>
      <c r="O60" s="469"/>
      <c r="P60" s="469"/>
    </row>
    <row r="61" spans="3:16" s="627" customFormat="1" ht="12.75" x14ac:dyDescent="0.2">
      <c r="C61" s="469"/>
      <c r="D61" s="469"/>
      <c r="E61" s="469"/>
      <c r="F61" s="469"/>
      <c r="G61" s="469"/>
      <c r="H61" s="626"/>
      <c r="I61" s="626"/>
      <c r="J61" s="626"/>
      <c r="K61" s="626"/>
      <c r="L61" s="626"/>
      <c r="M61" s="626"/>
      <c r="N61" s="626"/>
      <c r="O61" s="469"/>
      <c r="P61" s="469"/>
    </row>
    <row r="62" spans="3:16" s="627" customFormat="1" ht="12.75" x14ac:dyDescent="0.2">
      <c r="C62" s="469"/>
      <c r="D62" s="469"/>
      <c r="E62" s="469"/>
      <c r="F62" s="469"/>
      <c r="G62" s="469"/>
      <c r="H62" s="626"/>
      <c r="I62" s="626"/>
      <c r="J62" s="626"/>
      <c r="K62" s="626"/>
      <c r="L62" s="626"/>
      <c r="M62" s="626"/>
      <c r="N62" s="626"/>
      <c r="O62" s="469"/>
      <c r="P62" s="469"/>
    </row>
    <row r="63" spans="3:16" s="627" customFormat="1" ht="12.75" x14ac:dyDescent="0.2">
      <c r="C63" s="469"/>
      <c r="D63" s="469"/>
      <c r="E63" s="469"/>
      <c r="F63" s="469"/>
      <c r="G63" s="469"/>
      <c r="H63" s="626"/>
      <c r="I63" s="626"/>
      <c r="J63" s="626"/>
      <c r="K63" s="626"/>
      <c r="L63" s="626"/>
      <c r="M63" s="626"/>
      <c r="N63" s="626"/>
      <c r="O63" s="469"/>
      <c r="P63" s="469"/>
    </row>
    <row r="64" spans="3:16" s="627" customFormat="1" ht="12.75" x14ac:dyDescent="0.2">
      <c r="C64" s="469"/>
      <c r="D64" s="469"/>
      <c r="E64" s="469"/>
      <c r="F64" s="469"/>
      <c r="G64" s="469"/>
      <c r="H64" s="626"/>
      <c r="I64" s="626"/>
      <c r="J64" s="626"/>
      <c r="K64" s="626"/>
      <c r="L64" s="626"/>
      <c r="M64" s="626"/>
      <c r="N64" s="626"/>
      <c r="O64" s="469"/>
      <c r="P64" s="469"/>
    </row>
    <row r="65" spans="3:14" s="627" customFormat="1" ht="12.75" x14ac:dyDescent="0.2">
      <c r="C65" s="469"/>
      <c r="D65" s="469"/>
      <c r="E65" s="469"/>
      <c r="F65" s="469"/>
      <c r="G65" s="469"/>
      <c r="H65" s="626"/>
      <c r="I65" s="626"/>
      <c r="J65" s="626"/>
      <c r="K65" s="626"/>
      <c r="L65" s="626"/>
      <c r="M65" s="626"/>
      <c r="N65" s="626"/>
    </row>
    <row r="66" spans="3:14" s="627" customFormat="1" ht="12.75" x14ac:dyDescent="0.2">
      <c r="C66" s="469"/>
      <c r="D66" s="469"/>
      <c r="E66" s="469"/>
      <c r="F66" s="469"/>
      <c r="G66" s="469"/>
      <c r="H66" s="626"/>
      <c r="I66" s="626"/>
      <c r="J66" s="626"/>
      <c r="K66" s="626"/>
      <c r="L66" s="626"/>
      <c r="M66" s="626"/>
      <c r="N66" s="626"/>
    </row>
    <row r="67" spans="3:14" s="627" customFormat="1" ht="12.75" x14ac:dyDescent="0.2">
      <c r="C67" s="469"/>
      <c r="D67" s="469"/>
      <c r="E67" s="469"/>
      <c r="F67" s="469"/>
      <c r="G67" s="469"/>
      <c r="H67" s="626"/>
      <c r="I67" s="626"/>
      <c r="J67" s="626"/>
      <c r="K67" s="626"/>
      <c r="L67" s="626"/>
      <c r="M67" s="626"/>
      <c r="N67" s="626"/>
    </row>
    <row r="68" spans="3:14" s="627" customFormat="1" ht="12.75" x14ac:dyDescent="0.2">
      <c r="C68" s="469"/>
      <c r="D68" s="469"/>
      <c r="E68" s="469"/>
      <c r="F68" s="469"/>
      <c r="G68" s="469"/>
      <c r="H68" s="626"/>
      <c r="I68" s="626"/>
      <c r="J68" s="626"/>
      <c r="K68" s="626"/>
      <c r="L68" s="626"/>
      <c r="M68" s="626"/>
      <c r="N68" s="626"/>
    </row>
    <row r="69" spans="3:14" s="627" customFormat="1" ht="12.75" x14ac:dyDescent="0.2">
      <c r="C69" s="469"/>
      <c r="D69" s="469"/>
      <c r="E69" s="469"/>
      <c r="F69" s="469"/>
      <c r="G69" s="469"/>
      <c r="H69" s="626"/>
      <c r="I69" s="626"/>
      <c r="J69" s="626"/>
      <c r="K69" s="626"/>
      <c r="L69" s="626"/>
      <c r="M69" s="626"/>
      <c r="N69" s="626"/>
    </row>
    <row r="70" spans="3:14" s="627" customFormat="1" ht="12.75" x14ac:dyDescent="0.2">
      <c r="C70" s="469"/>
      <c r="D70" s="469"/>
      <c r="E70" s="469"/>
      <c r="F70" s="469"/>
      <c r="G70" s="469"/>
      <c r="H70" s="626"/>
      <c r="I70" s="626"/>
      <c r="J70" s="626"/>
      <c r="K70" s="626"/>
      <c r="L70" s="626"/>
      <c r="M70" s="626"/>
      <c r="N70" s="626"/>
    </row>
    <row r="71" spans="3:14" s="627" customFormat="1" ht="12.75" x14ac:dyDescent="0.2">
      <c r="C71" s="469"/>
      <c r="D71" s="469"/>
      <c r="E71" s="469"/>
      <c r="F71" s="469"/>
      <c r="G71" s="469"/>
      <c r="H71" s="626"/>
      <c r="I71" s="626"/>
      <c r="J71" s="626"/>
      <c r="K71" s="626"/>
      <c r="L71" s="626"/>
      <c r="M71" s="626"/>
      <c r="N71" s="626"/>
    </row>
    <row r="72" spans="3:14" s="627" customFormat="1" ht="12.75" x14ac:dyDescent="0.2">
      <c r="C72" s="469"/>
      <c r="D72" s="469"/>
      <c r="E72" s="469"/>
      <c r="F72" s="469"/>
      <c r="G72" s="469"/>
      <c r="H72" s="626"/>
      <c r="I72" s="626"/>
      <c r="J72" s="626"/>
      <c r="K72" s="626"/>
      <c r="L72" s="626"/>
      <c r="M72" s="626"/>
      <c r="N72" s="626"/>
    </row>
    <row r="73" spans="3:14" s="627" customFormat="1" ht="12.75" x14ac:dyDescent="0.2">
      <c r="C73" s="469"/>
      <c r="D73" s="469"/>
      <c r="E73" s="469"/>
      <c r="F73" s="469"/>
      <c r="G73" s="469"/>
      <c r="H73" s="626"/>
      <c r="I73" s="626"/>
      <c r="J73" s="626"/>
      <c r="K73" s="626"/>
      <c r="L73" s="626"/>
      <c r="M73" s="626"/>
      <c r="N73" s="626"/>
    </row>
    <row r="74" spans="3:14" s="627" customFormat="1" ht="12.75" x14ac:dyDescent="0.2">
      <c r="C74" s="469"/>
      <c r="D74" s="469"/>
      <c r="E74" s="469"/>
      <c r="F74" s="469"/>
      <c r="G74" s="469"/>
      <c r="H74" s="626"/>
      <c r="I74" s="626"/>
      <c r="J74" s="626"/>
      <c r="K74" s="626"/>
      <c r="L74" s="626"/>
      <c r="M74" s="626"/>
      <c r="N74" s="626"/>
    </row>
    <row r="75" spans="3:14" s="627" customFormat="1" ht="12.75" x14ac:dyDescent="0.2">
      <c r="C75" s="469"/>
      <c r="D75" s="469"/>
      <c r="E75" s="469"/>
      <c r="F75" s="469"/>
      <c r="G75" s="469"/>
      <c r="H75" s="626"/>
      <c r="I75" s="626"/>
      <c r="J75" s="626"/>
      <c r="K75" s="626"/>
      <c r="L75" s="626"/>
      <c r="M75" s="626"/>
      <c r="N75" s="626"/>
    </row>
    <row r="76" spans="3:14" s="627" customFormat="1" ht="12.75" x14ac:dyDescent="0.2">
      <c r="C76" s="469"/>
      <c r="D76" s="469"/>
      <c r="E76" s="469"/>
      <c r="F76" s="469"/>
      <c r="G76" s="469"/>
      <c r="H76" s="626"/>
      <c r="I76" s="626"/>
      <c r="J76" s="626"/>
      <c r="K76" s="626"/>
      <c r="L76" s="626"/>
      <c r="M76" s="626"/>
      <c r="N76" s="626"/>
    </row>
    <row r="77" spans="3:14" s="627" customFormat="1" ht="12.75" x14ac:dyDescent="0.2">
      <c r="C77" s="469"/>
      <c r="D77" s="469"/>
      <c r="E77" s="469"/>
      <c r="F77" s="469"/>
      <c r="G77" s="469"/>
      <c r="H77" s="626"/>
      <c r="I77" s="626"/>
      <c r="J77" s="626"/>
      <c r="K77" s="626"/>
      <c r="L77" s="626"/>
      <c r="M77" s="626"/>
      <c r="N77" s="626"/>
    </row>
    <row r="78" spans="3:14" s="627" customFormat="1" ht="12.75" x14ac:dyDescent="0.2">
      <c r="C78" s="469"/>
      <c r="D78" s="469"/>
      <c r="E78" s="469"/>
      <c r="F78" s="469"/>
      <c r="G78" s="469"/>
      <c r="H78" s="626"/>
      <c r="I78" s="626"/>
      <c r="J78" s="626"/>
      <c r="K78" s="626"/>
      <c r="L78" s="626"/>
      <c r="M78" s="626"/>
      <c r="N78" s="626"/>
    </row>
    <row r="79" spans="3:14" s="627" customFormat="1" ht="12.75" x14ac:dyDescent="0.2">
      <c r="C79" s="469"/>
      <c r="D79" s="469"/>
      <c r="E79" s="469"/>
      <c r="F79" s="469"/>
      <c r="G79" s="469"/>
      <c r="H79" s="626"/>
      <c r="I79" s="626"/>
      <c r="J79" s="626"/>
      <c r="K79" s="626"/>
      <c r="L79" s="626"/>
      <c r="M79" s="626"/>
      <c r="N79" s="626"/>
    </row>
    <row r="80" spans="3:14" s="627" customFormat="1" ht="12.75" x14ac:dyDescent="0.2">
      <c r="C80" s="469"/>
      <c r="D80" s="469"/>
      <c r="E80" s="469"/>
      <c r="F80" s="469"/>
      <c r="G80" s="469"/>
      <c r="H80" s="626"/>
      <c r="I80" s="626"/>
      <c r="J80" s="626"/>
      <c r="K80" s="626"/>
      <c r="L80" s="626"/>
      <c r="M80" s="626"/>
      <c r="N80" s="626"/>
    </row>
    <row r="81" spans="3:14" s="627" customFormat="1" ht="12.75" x14ac:dyDescent="0.2">
      <c r="C81" s="469"/>
      <c r="D81" s="469"/>
      <c r="E81" s="469"/>
      <c r="F81" s="469"/>
      <c r="G81" s="469"/>
      <c r="H81" s="626"/>
      <c r="I81" s="626"/>
      <c r="J81" s="626"/>
      <c r="K81" s="626"/>
      <c r="L81" s="626"/>
      <c r="M81" s="626"/>
      <c r="N81" s="626"/>
    </row>
    <row r="82" spans="3:14" s="627" customFormat="1" ht="12.75" x14ac:dyDescent="0.2">
      <c r="C82" s="469"/>
      <c r="D82" s="469"/>
      <c r="E82" s="469"/>
      <c r="F82" s="469"/>
      <c r="G82" s="469"/>
      <c r="H82" s="626"/>
      <c r="I82" s="626"/>
      <c r="J82" s="626"/>
      <c r="K82" s="626"/>
      <c r="L82" s="626"/>
      <c r="M82" s="626"/>
      <c r="N82" s="626"/>
    </row>
    <row r="83" spans="3:14" s="627" customFormat="1" ht="12.75" x14ac:dyDescent="0.2">
      <c r="C83" s="469"/>
      <c r="D83" s="469"/>
      <c r="E83" s="469"/>
      <c r="F83" s="469"/>
      <c r="G83" s="469"/>
      <c r="H83" s="626"/>
      <c r="I83" s="626"/>
      <c r="J83" s="626"/>
      <c r="K83" s="626"/>
      <c r="L83" s="626"/>
      <c r="M83" s="626"/>
      <c r="N83" s="626"/>
    </row>
    <row r="84" spans="3:14" s="627" customFormat="1" ht="12.75" x14ac:dyDescent="0.2">
      <c r="C84" s="469"/>
      <c r="D84" s="469"/>
      <c r="E84" s="469"/>
      <c r="F84" s="469"/>
      <c r="G84" s="469"/>
      <c r="H84" s="626"/>
      <c r="I84" s="626"/>
      <c r="J84" s="626"/>
      <c r="K84" s="626"/>
      <c r="L84" s="626"/>
      <c r="M84" s="626"/>
      <c r="N84" s="626"/>
    </row>
    <row r="85" spans="3:14" s="627" customFormat="1" ht="12.75" x14ac:dyDescent="0.2">
      <c r="C85" s="469"/>
      <c r="D85" s="469"/>
      <c r="E85" s="469"/>
      <c r="F85" s="469"/>
      <c r="G85" s="469"/>
      <c r="H85" s="626"/>
      <c r="I85" s="626"/>
      <c r="J85" s="626"/>
      <c r="K85" s="626"/>
      <c r="L85" s="626"/>
      <c r="M85" s="626"/>
      <c r="N85" s="626"/>
    </row>
    <row r="86" spans="3:14" s="627" customFormat="1" ht="12.75" x14ac:dyDescent="0.2">
      <c r="C86" s="469"/>
      <c r="D86" s="469"/>
      <c r="E86" s="469"/>
      <c r="F86" s="469"/>
      <c r="G86" s="469"/>
      <c r="H86" s="626"/>
      <c r="I86" s="626"/>
      <c r="J86" s="626"/>
      <c r="K86" s="626"/>
      <c r="L86" s="626"/>
      <c r="M86" s="626"/>
      <c r="N86" s="626"/>
    </row>
    <row r="87" spans="3:14" s="627" customFormat="1" ht="12.75" x14ac:dyDescent="0.2">
      <c r="C87" s="469"/>
      <c r="D87" s="469"/>
      <c r="E87" s="469"/>
      <c r="F87" s="469"/>
      <c r="G87" s="469"/>
      <c r="H87" s="626"/>
      <c r="I87" s="626"/>
      <c r="J87" s="626"/>
      <c r="K87" s="626"/>
      <c r="L87" s="626"/>
      <c r="M87" s="626"/>
      <c r="N87" s="626"/>
    </row>
    <row r="88" spans="3:14" s="627" customFormat="1" ht="12.75" x14ac:dyDescent="0.2">
      <c r="C88" s="469"/>
      <c r="D88" s="469"/>
      <c r="E88" s="469"/>
      <c r="F88" s="469"/>
      <c r="G88" s="469"/>
      <c r="H88" s="626"/>
      <c r="I88" s="626"/>
      <c r="J88" s="626"/>
      <c r="K88" s="626"/>
      <c r="L88" s="626"/>
      <c r="M88" s="626"/>
      <c r="N88" s="626"/>
    </row>
    <row r="89" spans="3:14" s="627" customFormat="1" ht="12.75" x14ac:dyDescent="0.2">
      <c r="C89" s="469"/>
      <c r="D89" s="469"/>
      <c r="E89" s="469"/>
      <c r="F89" s="469"/>
      <c r="G89" s="469"/>
      <c r="H89" s="626"/>
      <c r="I89" s="626"/>
      <c r="J89" s="626"/>
      <c r="K89" s="626"/>
      <c r="L89" s="626"/>
      <c r="M89" s="626"/>
      <c r="N89" s="626"/>
    </row>
    <row r="90" spans="3:14" s="627" customFormat="1" ht="12.75" x14ac:dyDescent="0.2">
      <c r="C90" s="469"/>
      <c r="D90" s="469"/>
      <c r="E90" s="469"/>
      <c r="F90" s="469"/>
      <c r="G90" s="469"/>
      <c r="H90" s="626"/>
      <c r="I90" s="626"/>
      <c r="J90" s="626"/>
      <c r="K90" s="626"/>
      <c r="L90" s="626"/>
      <c r="M90" s="626"/>
      <c r="N90" s="626"/>
    </row>
    <row r="91" spans="3:14" s="627" customFormat="1" ht="12.75" x14ac:dyDescent="0.2">
      <c r="C91" s="469"/>
      <c r="D91" s="469"/>
      <c r="E91" s="469"/>
      <c r="F91" s="469"/>
      <c r="G91" s="469"/>
      <c r="H91" s="626"/>
      <c r="I91" s="626"/>
      <c r="J91" s="626"/>
      <c r="K91" s="626"/>
      <c r="L91" s="626"/>
      <c r="M91" s="626"/>
      <c r="N91" s="626"/>
    </row>
    <row r="92" spans="3:14" s="627" customFormat="1" ht="12.75" x14ac:dyDescent="0.2">
      <c r="C92" s="469"/>
      <c r="D92" s="469"/>
      <c r="E92" s="469"/>
      <c r="F92" s="469"/>
      <c r="G92" s="469"/>
      <c r="H92" s="626"/>
      <c r="I92" s="626"/>
      <c r="J92" s="626"/>
      <c r="K92" s="626"/>
      <c r="L92" s="626"/>
      <c r="M92" s="626"/>
      <c r="N92" s="626"/>
    </row>
    <row r="93" spans="3:14" s="627" customFormat="1" ht="12.75" x14ac:dyDescent="0.2">
      <c r="C93" s="469"/>
      <c r="D93" s="469"/>
      <c r="E93" s="469"/>
      <c r="F93" s="469"/>
      <c r="G93" s="469"/>
      <c r="H93" s="626"/>
      <c r="I93" s="626"/>
      <c r="J93" s="626"/>
      <c r="K93" s="626"/>
      <c r="L93" s="626"/>
      <c r="M93" s="626"/>
      <c r="N93" s="626"/>
    </row>
    <row r="94" spans="3:14" s="627" customFormat="1" ht="12.75" x14ac:dyDescent="0.2">
      <c r="C94" s="469"/>
      <c r="D94" s="469"/>
      <c r="E94" s="469"/>
      <c r="F94" s="469"/>
      <c r="G94" s="469"/>
      <c r="H94" s="626"/>
      <c r="I94" s="626"/>
      <c r="J94" s="626"/>
      <c r="K94" s="626"/>
      <c r="L94" s="626"/>
      <c r="M94" s="626"/>
      <c r="N94" s="626"/>
    </row>
    <row r="95" spans="3:14" s="627" customFormat="1" ht="12.75" x14ac:dyDescent="0.2">
      <c r="C95" s="469"/>
      <c r="D95" s="469"/>
      <c r="E95" s="469"/>
      <c r="F95" s="469"/>
      <c r="G95" s="469"/>
      <c r="H95" s="626"/>
      <c r="I95" s="626"/>
      <c r="J95" s="626"/>
      <c r="K95" s="626"/>
      <c r="L95" s="626"/>
      <c r="M95" s="626"/>
      <c r="N95" s="626"/>
    </row>
    <row r="96" spans="3:14" s="627" customFormat="1" ht="12.75" x14ac:dyDescent="0.2">
      <c r="C96" s="469"/>
      <c r="D96" s="469"/>
      <c r="E96" s="469"/>
      <c r="F96" s="469"/>
      <c r="G96" s="469"/>
      <c r="H96" s="626"/>
      <c r="I96" s="626"/>
      <c r="J96" s="626"/>
      <c r="K96" s="626"/>
      <c r="L96" s="626"/>
      <c r="M96" s="626"/>
      <c r="N96" s="626"/>
    </row>
    <row r="97" spans="3:14" s="627" customFormat="1" ht="12.75" x14ac:dyDescent="0.2">
      <c r="C97" s="469"/>
      <c r="D97" s="469"/>
      <c r="E97" s="469"/>
      <c r="F97" s="469"/>
      <c r="G97" s="469"/>
      <c r="H97" s="626"/>
      <c r="I97" s="626"/>
      <c r="J97" s="626"/>
      <c r="K97" s="626"/>
      <c r="L97" s="626"/>
      <c r="M97" s="626"/>
      <c r="N97" s="626"/>
    </row>
    <row r="98" spans="3:14" s="627" customFormat="1" ht="12.75" x14ac:dyDescent="0.2">
      <c r="C98" s="469"/>
      <c r="D98" s="469"/>
      <c r="E98" s="469"/>
      <c r="F98" s="469"/>
      <c r="G98" s="469"/>
      <c r="H98" s="626"/>
      <c r="I98" s="626"/>
      <c r="J98" s="626"/>
      <c r="K98" s="626"/>
      <c r="L98" s="626"/>
      <c r="M98" s="626"/>
      <c r="N98" s="626"/>
    </row>
    <row r="99" spans="3:14" s="627" customFormat="1" ht="12.75" x14ac:dyDescent="0.2">
      <c r="C99" s="469"/>
      <c r="D99" s="469"/>
      <c r="E99" s="469"/>
      <c r="F99" s="469"/>
      <c r="G99" s="469"/>
      <c r="H99" s="626"/>
      <c r="I99" s="626"/>
      <c r="J99" s="626"/>
      <c r="K99" s="626"/>
      <c r="L99" s="626"/>
      <c r="M99" s="626"/>
      <c r="N99" s="626"/>
    </row>
    <row r="100" spans="3:14" s="627" customFormat="1" ht="12.75" x14ac:dyDescent="0.2">
      <c r="C100" s="469"/>
      <c r="D100" s="469"/>
      <c r="E100" s="469"/>
      <c r="F100" s="469"/>
      <c r="G100" s="469"/>
      <c r="H100" s="626"/>
      <c r="I100" s="626"/>
      <c r="J100" s="626"/>
      <c r="K100" s="626"/>
      <c r="L100" s="626"/>
      <c r="M100" s="626"/>
      <c r="N100" s="626"/>
    </row>
    <row r="101" spans="3:14" s="627" customFormat="1" ht="12.75" x14ac:dyDescent="0.2">
      <c r="C101" s="469"/>
      <c r="D101" s="469"/>
      <c r="E101" s="469"/>
      <c r="F101" s="469"/>
      <c r="G101" s="469"/>
      <c r="H101" s="626"/>
      <c r="I101" s="626"/>
      <c r="J101" s="626"/>
      <c r="K101" s="626"/>
      <c r="L101" s="626"/>
      <c r="M101" s="626"/>
      <c r="N101" s="626"/>
    </row>
    <row r="102" spans="3:14" s="627" customFormat="1" ht="12.75" x14ac:dyDescent="0.2">
      <c r="C102" s="469"/>
      <c r="D102" s="469"/>
      <c r="E102" s="469"/>
      <c r="F102" s="469"/>
      <c r="G102" s="469"/>
      <c r="H102" s="626"/>
      <c r="I102" s="626"/>
      <c r="J102" s="626"/>
      <c r="K102" s="626"/>
      <c r="L102" s="626"/>
      <c r="M102" s="626"/>
      <c r="N102" s="626"/>
    </row>
    <row r="103" spans="3:14" s="627" customFormat="1" ht="12.75" x14ac:dyDescent="0.2">
      <c r="C103" s="469"/>
      <c r="D103" s="469"/>
      <c r="E103" s="469"/>
      <c r="F103" s="469"/>
      <c r="G103" s="469"/>
      <c r="H103" s="626"/>
      <c r="I103" s="626"/>
      <c r="J103" s="626"/>
      <c r="K103" s="626"/>
      <c r="L103" s="626"/>
      <c r="M103" s="626"/>
      <c r="N103" s="626"/>
    </row>
    <row r="104" spans="3:14" s="627" customFormat="1" ht="12.75" x14ac:dyDescent="0.2">
      <c r="C104" s="469"/>
      <c r="D104" s="469"/>
      <c r="E104" s="469"/>
      <c r="F104" s="469"/>
      <c r="G104" s="469"/>
      <c r="H104" s="626"/>
      <c r="I104" s="626"/>
      <c r="J104" s="626"/>
      <c r="K104" s="626"/>
      <c r="L104" s="626"/>
      <c r="M104" s="626"/>
      <c r="N104" s="626"/>
    </row>
    <row r="105" spans="3:14" s="627" customFormat="1" ht="12.75" x14ac:dyDescent="0.2">
      <c r="C105" s="469"/>
      <c r="D105" s="469"/>
      <c r="E105" s="469"/>
      <c r="F105" s="469"/>
      <c r="G105" s="469"/>
      <c r="H105" s="626"/>
      <c r="I105" s="626"/>
      <c r="J105" s="626"/>
      <c r="K105" s="626"/>
      <c r="L105" s="626"/>
      <c r="M105" s="626"/>
      <c r="N105" s="626"/>
    </row>
    <row r="106" spans="3:14" s="627" customFormat="1" ht="12.75" x14ac:dyDescent="0.2">
      <c r="C106" s="469"/>
      <c r="D106" s="469"/>
      <c r="E106" s="469"/>
      <c r="F106" s="469"/>
      <c r="G106" s="469"/>
      <c r="H106" s="626"/>
      <c r="I106" s="626"/>
      <c r="J106" s="626"/>
      <c r="K106" s="626"/>
      <c r="L106" s="626"/>
      <c r="M106" s="626"/>
      <c r="N106" s="626"/>
    </row>
    <row r="107" spans="3:14" s="627" customFormat="1" ht="12.75" x14ac:dyDescent="0.2">
      <c r="C107" s="469"/>
      <c r="D107" s="469"/>
      <c r="E107" s="469"/>
      <c r="F107" s="469"/>
      <c r="G107" s="469"/>
      <c r="H107" s="626"/>
      <c r="I107" s="626"/>
      <c r="J107" s="626"/>
      <c r="K107" s="626"/>
      <c r="L107" s="626"/>
      <c r="M107" s="626"/>
      <c r="N107" s="626"/>
    </row>
    <row r="108" spans="3:14" s="627" customFormat="1" ht="12.75" x14ac:dyDescent="0.2">
      <c r="C108" s="469"/>
      <c r="D108" s="469"/>
      <c r="E108" s="469"/>
      <c r="F108" s="469"/>
      <c r="G108" s="469"/>
      <c r="H108" s="626"/>
      <c r="I108" s="626"/>
      <c r="J108" s="626"/>
      <c r="K108" s="626"/>
      <c r="L108" s="626"/>
      <c r="M108" s="626"/>
      <c r="N108" s="626"/>
    </row>
    <row r="109" spans="3:14" s="627" customFormat="1" ht="12.75" x14ac:dyDescent="0.2">
      <c r="C109" s="469"/>
      <c r="D109" s="469"/>
      <c r="E109" s="469"/>
      <c r="F109" s="469"/>
      <c r="G109" s="469"/>
      <c r="H109" s="626"/>
      <c r="I109" s="626"/>
      <c r="J109" s="626"/>
      <c r="K109" s="626"/>
      <c r="L109" s="626"/>
      <c r="M109" s="626"/>
      <c r="N109" s="626"/>
    </row>
    <row r="110" spans="3:14" s="627" customFormat="1" ht="12.75" x14ac:dyDescent="0.2">
      <c r="C110" s="469"/>
      <c r="D110" s="469"/>
      <c r="E110" s="469"/>
      <c r="F110" s="469"/>
      <c r="G110" s="469"/>
      <c r="H110" s="626"/>
      <c r="I110" s="626"/>
      <c r="J110" s="626"/>
      <c r="K110" s="626"/>
      <c r="L110" s="626"/>
      <c r="M110" s="626"/>
      <c r="N110" s="626"/>
    </row>
    <row r="111" spans="3:14" s="627" customFormat="1" ht="12.75" x14ac:dyDescent="0.2">
      <c r="C111" s="469"/>
      <c r="D111" s="469"/>
      <c r="E111" s="469"/>
      <c r="F111" s="469"/>
      <c r="G111" s="469"/>
      <c r="H111" s="626"/>
      <c r="I111" s="626"/>
      <c r="J111" s="626"/>
      <c r="K111" s="626"/>
      <c r="L111" s="626"/>
      <c r="M111" s="626"/>
      <c r="N111" s="626"/>
    </row>
    <row r="112" spans="3:14" s="627" customFormat="1" ht="12.75" x14ac:dyDescent="0.2">
      <c r="C112" s="469"/>
      <c r="D112" s="469"/>
      <c r="E112" s="469"/>
      <c r="F112" s="469"/>
      <c r="G112" s="469"/>
      <c r="H112" s="626"/>
      <c r="I112" s="626"/>
      <c r="J112" s="626"/>
      <c r="K112" s="626"/>
      <c r="L112" s="626"/>
      <c r="M112" s="626"/>
      <c r="N112" s="626"/>
    </row>
    <row r="113" spans="3:14" s="627" customFormat="1" ht="12.75" x14ac:dyDescent="0.2">
      <c r="C113" s="469"/>
      <c r="D113" s="469"/>
      <c r="E113" s="469"/>
      <c r="F113" s="469"/>
      <c r="G113" s="469"/>
      <c r="H113" s="626"/>
      <c r="I113" s="626"/>
      <c r="J113" s="626"/>
      <c r="K113" s="626"/>
      <c r="L113" s="626"/>
      <c r="M113" s="626"/>
      <c r="N113" s="626"/>
    </row>
    <row r="114" spans="3:14" s="627" customFormat="1" ht="12.75" x14ac:dyDescent="0.2">
      <c r="C114" s="469"/>
      <c r="D114" s="469"/>
      <c r="E114" s="469"/>
      <c r="F114" s="469"/>
      <c r="G114" s="469"/>
      <c r="H114" s="626"/>
      <c r="I114" s="626"/>
      <c r="J114" s="626"/>
      <c r="K114" s="626"/>
      <c r="L114" s="626"/>
      <c r="M114" s="626"/>
      <c r="N114" s="626"/>
    </row>
    <row r="115" spans="3:14" s="627" customFormat="1" ht="12.75" x14ac:dyDescent="0.2">
      <c r="C115" s="469"/>
      <c r="D115" s="469"/>
      <c r="E115" s="469"/>
      <c r="F115" s="469"/>
      <c r="G115" s="469"/>
      <c r="H115" s="626"/>
      <c r="I115" s="626"/>
      <c r="J115" s="626"/>
      <c r="K115" s="626"/>
      <c r="L115" s="626"/>
      <c r="M115" s="626"/>
      <c r="N115" s="626"/>
    </row>
    <row r="116" spans="3:14" s="627" customFormat="1" ht="12.75" x14ac:dyDescent="0.2">
      <c r="C116" s="469"/>
      <c r="D116" s="469"/>
      <c r="E116" s="469"/>
      <c r="F116" s="469"/>
      <c r="G116" s="469"/>
      <c r="H116" s="626"/>
      <c r="I116" s="626"/>
      <c r="J116" s="626"/>
      <c r="K116" s="626"/>
      <c r="L116" s="626"/>
      <c r="M116" s="626"/>
      <c r="N116" s="626"/>
    </row>
    <row r="117" spans="3:14" s="627" customFormat="1" ht="12.75" x14ac:dyDescent="0.2">
      <c r="C117" s="469"/>
      <c r="D117" s="469"/>
      <c r="E117" s="469"/>
      <c r="F117" s="469"/>
      <c r="G117" s="469"/>
      <c r="H117" s="626"/>
      <c r="I117" s="626"/>
      <c r="J117" s="626"/>
      <c r="K117" s="626"/>
      <c r="L117" s="626"/>
      <c r="M117" s="626"/>
      <c r="N117" s="626"/>
    </row>
    <row r="118" spans="3:14" s="627" customFormat="1" ht="12.75" x14ac:dyDescent="0.2">
      <c r="C118" s="469"/>
      <c r="D118" s="469"/>
      <c r="E118" s="469"/>
      <c r="F118" s="469"/>
      <c r="G118" s="469"/>
      <c r="H118" s="626"/>
      <c r="I118" s="626"/>
      <c r="J118" s="626"/>
      <c r="K118" s="626"/>
      <c r="L118" s="626"/>
      <c r="M118" s="626"/>
      <c r="N118" s="626"/>
    </row>
    <row r="119" spans="3:14" s="627" customFormat="1" ht="12.75" x14ac:dyDescent="0.2">
      <c r="C119" s="469"/>
      <c r="D119" s="469"/>
      <c r="E119" s="469"/>
      <c r="F119" s="469"/>
      <c r="G119" s="469"/>
      <c r="H119" s="626"/>
      <c r="I119" s="626"/>
      <c r="J119" s="626"/>
      <c r="K119" s="626"/>
      <c r="L119" s="626"/>
      <c r="M119" s="626"/>
      <c r="N119" s="626"/>
    </row>
    <row r="120" spans="3:14" s="627" customFormat="1" ht="12.75" x14ac:dyDescent="0.2">
      <c r="C120" s="469"/>
      <c r="D120" s="469"/>
      <c r="E120" s="469"/>
      <c r="F120" s="469"/>
      <c r="G120" s="469"/>
      <c r="H120" s="626"/>
      <c r="I120" s="626"/>
      <c r="J120" s="626"/>
      <c r="K120" s="626"/>
      <c r="L120" s="626"/>
      <c r="M120" s="626"/>
      <c r="N120" s="626"/>
    </row>
    <row r="121" spans="3:14" s="627" customFormat="1" ht="12.75" x14ac:dyDescent="0.2">
      <c r="C121" s="469"/>
      <c r="D121" s="469"/>
      <c r="E121" s="469"/>
      <c r="F121" s="469"/>
      <c r="G121" s="469"/>
      <c r="H121" s="626"/>
      <c r="I121" s="626"/>
      <c r="J121" s="626"/>
      <c r="K121" s="626"/>
      <c r="L121" s="626"/>
      <c r="M121" s="626"/>
      <c r="N121" s="626"/>
    </row>
    <row r="122" spans="3:14" s="627" customFormat="1" ht="12.75" x14ac:dyDescent="0.2">
      <c r="C122" s="469"/>
      <c r="D122" s="469"/>
      <c r="E122" s="469"/>
      <c r="F122" s="469"/>
      <c r="G122" s="469"/>
      <c r="H122" s="626"/>
      <c r="I122" s="626"/>
      <c r="J122" s="626"/>
      <c r="K122" s="626"/>
      <c r="L122" s="626"/>
      <c r="M122" s="626"/>
      <c r="N122" s="626"/>
    </row>
    <row r="123" spans="3:14" s="627" customFormat="1" ht="12.75" x14ac:dyDescent="0.2">
      <c r="C123" s="469"/>
      <c r="D123" s="469"/>
      <c r="E123" s="469"/>
      <c r="F123" s="469"/>
      <c r="G123" s="469"/>
      <c r="H123" s="626"/>
      <c r="I123" s="626"/>
      <c r="J123" s="626"/>
      <c r="K123" s="626"/>
      <c r="L123" s="626"/>
      <c r="M123" s="626"/>
      <c r="N123" s="626"/>
    </row>
    <row r="124" spans="3:14" s="627" customFormat="1" ht="12.75" x14ac:dyDescent="0.2">
      <c r="C124" s="469"/>
      <c r="D124" s="469"/>
      <c r="E124" s="469"/>
      <c r="F124" s="469"/>
      <c r="G124" s="469"/>
      <c r="H124" s="626"/>
      <c r="I124" s="626"/>
      <c r="J124" s="626"/>
      <c r="K124" s="626"/>
      <c r="L124" s="626"/>
      <c r="M124" s="626"/>
      <c r="N124" s="626"/>
    </row>
    <row r="125" spans="3:14" s="627" customFormat="1" ht="12.75" x14ac:dyDescent="0.2">
      <c r="C125" s="469"/>
      <c r="D125" s="469"/>
      <c r="E125" s="469"/>
      <c r="F125" s="469"/>
      <c r="G125" s="469"/>
      <c r="H125" s="626"/>
      <c r="I125" s="626"/>
      <c r="J125" s="626"/>
      <c r="K125" s="626"/>
      <c r="L125" s="626"/>
      <c r="M125" s="626"/>
      <c r="N125" s="626"/>
    </row>
    <row r="126" spans="3:14" s="627" customFormat="1" ht="12.75" x14ac:dyDescent="0.2">
      <c r="C126" s="469"/>
      <c r="D126" s="469"/>
      <c r="E126" s="469"/>
      <c r="F126" s="469"/>
      <c r="G126" s="469"/>
      <c r="H126" s="626"/>
      <c r="I126" s="626"/>
      <c r="J126" s="626"/>
      <c r="K126" s="626"/>
      <c r="L126" s="626"/>
      <c r="M126" s="626"/>
      <c r="N126" s="626"/>
    </row>
    <row r="127" spans="3:14" s="627" customFormat="1" ht="12.75" x14ac:dyDescent="0.2">
      <c r="C127" s="469"/>
      <c r="D127" s="469"/>
      <c r="E127" s="469"/>
      <c r="F127" s="469"/>
      <c r="G127" s="469"/>
      <c r="H127" s="626"/>
      <c r="I127" s="626"/>
      <c r="J127" s="626"/>
      <c r="K127" s="626"/>
      <c r="L127" s="626"/>
      <c r="M127" s="626"/>
      <c r="N127" s="626"/>
    </row>
    <row r="128" spans="3:14" s="627" customFormat="1" ht="12.75" x14ac:dyDescent="0.2">
      <c r="C128" s="469"/>
      <c r="D128" s="469"/>
      <c r="E128" s="469"/>
      <c r="F128" s="469"/>
      <c r="G128" s="469"/>
      <c r="H128" s="626"/>
      <c r="I128" s="626"/>
      <c r="J128" s="626"/>
      <c r="K128" s="626"/>
      <c r="L128" s="626"/>
      <c r="M128" s="626"/>
      <c r="N128" s="626"/>
    </row>
    <row r="129" spans="3:14" s="627" customFormat="1" ht="12.75" x14ac:dyDescent="0.2">
      <c r="C129" s="469"/>
      <c r="D129" s="469"/>
      <c r="E129" s="469"/>
      <c r="F129" s="469"/>
      <c r="G129" s="469"/>
      <c r="H129" s="626"/>
      <c r="I129" s="626"/>
      <c r="J129" s="626"/>
      <c r="K129" s="626"/>
      <c r="L129" s="626"/>
      <c r="M129" s="626"/>
      <c r="N129" s="626"/>
    </row>
    <row r="130" spans="3:14" s="627" customFormat="1" ht="12.75" x14ac:dyDescent="0.2">
      <c r="C130" s="469"/>
      <c r="D130" s="469"/>
      <c r="E130" s="469"/>
      <c r="F130" s="469"/>
      <c r="G130" s="469"/>
      <c r="H130" s="626"/>
      <c r="I130" s="626"/>
      <c r="J130" s="626"/>
      <c r="K130" s="626"/>
      <c r="L130" s="626"/>
      <c r="M130" s="626"/>
      <c r="N130" s="626"/>
    </row>
    <row r="131" spans="3:14" s="627" customFormat="1" ht="12.75" x14ac:dyDescent="0.2">
      <c r="C131" s="469"/>
      <c r="D131" s="469"/>
      <c r="E131" s="469"/>
      <c r="F131" s="469"/>
      <c r="G131" s="469"/>
      <c r="H131" s="626"/>
      <c r="I131" s="626"/>
      <c r="J131" s="626"/>
      <c r="K131" s="626"/>
      <c r="L131" s="626"/>
      <c r="M131" s="626"/>
      <c r="N131" s="626"/>
    </row>
    <row r="132" spans="3:14" s="627" customFormat="1" ht="12.75" x14ac:dyDescent="0.2">
      <c r="C132" s="469"/>
      <c r="D132" s="469"/>
      <c r="E132" s="469"/>
      <c r="F132" s="469"/>
      <c r="G132" s="469"/>
      <c r="H132" s="626"/>
      <c r="I132" s="626"/>
      <c r="J132" s="626"/>
      <c r="K132" s="626"/>
      <c r="L132" s="626"/>
      <c r="M132" s="626"/>
      <c r="N132" s="626"/>
    </row>
    <row r="133" spans="3:14" s="627" customFormat="1" ht="12.75" x14ac:dyDescent="0.2">
      <c r="C133" s="469"/>
      <c r="D133" s="469"/>
      <c r="E133" s="469"/>
      <c r="F133" s="469"/>
      <c r="G133" s="469"/>
      <c r="H133" s="626"/>
      <c r="I133" s="626"/>
      <c r="J133" s="626"/>
      <c r="K133" s="626"/>
      <c r="L133" s="626"/>
      <c r="M133" s="626"/>
      <c r="N133" s="626"/>
    </row>
    <row r="134" spans="3:14" s="627" customFormat="1" ht="12.75" x14ac:dyDescent="0.2">
      <c r="C134" s="469"/>
      <c r="D134" s="469"/>
      <c r="E134" s="469"/>
      <c r="F134" s="469"/>
      <c r="G134" s="469"/>
      <c r="H134" s="626"/>
      <c r="I134" s="626"/>
      <c r="J134" s="626"/>
      <c r="K134" s="626"/>
      <c r="L134" s="626"/>
      <c r="M134" s="626"/>
      <c r="N134" s="626"/>
    </row>
    <row r="135" spans="3:14" s="627" customFormat="1" ht="12.75" x14ac:dyDescent="0.2">
      <c r="C135" s="469"/>
      <c r="D135" s="469"/>
      <c r="E135" s="469"/>
      <c r="F135" s="469"/>
      <c r="G135" s="469"/>
      <c r="H135" s="626"/>
      <c r="I135" s="626"/>
      <c r="J135" s="626"/>
      <c r="K135" s="626"/>
      <c r="L135" s="626"/>
      <c r="M135" s="626"/>
      <c r="N135" s="626"/>
    </row>
    <row r="136" spans="3:14" s="627" customFormat="1" ht="12.75" x14ac:dyDescent="0.2">
      <c r="C136" s="469"/>
      <c r="D136" s="469"/>
      <c r="E136" s="469"/>
      <c r="F136" s="469"/>
      <c r="G136" s="469"/>
      <c r="H136" s="626"/>
      <c r="I136" s="626"/>
      <c r="J136" s="626"/>
      <c r="K136" s="626"/>
      <c r="L136" s="626"/>
      <c r="M136" s="626"/>
      <c r="N136" s="626"/>
    </row>
    <row r="137" spans="3:14" s="627" customFormat="1" ht="12.75" x14ac:dyDescent="0.2">
      <c r="C137" s="469"/>
      <c r="D137" s="469"/>
      <c r="E137" s="469"/>
      <c r="F137" s="469"/>
      <c r="G137" s="469"/>
      <c r="H137" s="626"/>
      <c r="I137" s="626"/>
      <c r="J137" s="626"/>
      <c r="K137" s="626"/>
      <c r="L137" s="626"/>
      <c r="M137" s="626"/>
      <c r="N137" s="626"/>
    </row>
    <row r="138" spans="3:14" s="627" customFormat="1" ht="12.75" x14ac:dyDescent="0.2">
      <c r="C138" s="469"/>
      <c r="D138" s="469"/>
      <c r="E138" s="469"/>
      <c r="F138" s="469"/>
      <c r="G138" s="469"/>
      <c r="H138" s="626"/>
      <c r="I138" s="626"/>
      <c r="J138" s="626"/>
      <c r="K138" s="626"/>
      <c r="L138" s="626"/>
      <c r="M138" s="626"/>
      <c r="N138" s="626"/>
    </row>
    <row r="139" spans="3:14" s="627" customFormat="1" ht="12.75" x14ac:dyDescent="0.2">
      <c r="C139" s="469"/>
      <c r="D139" s="469"/>
      <c r="E139" s="469"/>
      <c r="F139" s="469"/>
      <c r="G139" s="469"/>
      <c r="H139" s="626"/>
      <c r="I139" s="626"/>
      <c r="J139" s="626"/>
      <c r="K139" s="626"/>
      <c r="L139" s="626"/>
      <c r="M139" s="626"/>
      <c r="N139" s="626"/>
    </row>
    <row r="140" spans="3:14" s="627" customFormat="1" ht="12.75" x14ac:dyDescent="0.2">
      <c r="C140" s="469"/>
      <c r="D140" s="469"/>
      <c r="E140" s="469"/>
      <c r="F140" s="469"/>
      <c r="G140" s="469"/>
      <c r="H140" s="626"/>
      <c r="I140" s="626"/>
      <c r="J140" s="626"/>
      <c r="K140" s="626"/>
      <c r="L140" s="626"/>
      <c r="M140" s="626"/>
      <c r="N140" s="626"/>
    </row>
    <row r="141" spans="3:14" s="627" customFormat="1" ht="12.75" x14ac:dyDescent="0.2">
      <c r="C141" s="469"/>
      <c r="D141" s="469"/>
      <c r="E141" s="469"/>
      <c r="F141" s="469"/>
      <c r="G141" s="469"/>
      <c r="H141" s="626"/>
      <c r="I141" s="626"/>
      <c r="J141" s="626"/>
      <c r="K141" s="626"/>
      <c r="L141" s="626"/>
      <c r="M141" s="626"/>
      <c r="N141" s="626"/>
    </row>
    <row r="142" spans="3:14" s="627" customFormat="1" ht="12.75" x14ac:dyDescent="0.2">
      <c r="C142" s="469"/>
      <c r="D142" s="469"/>
      <c r="E142" s="469"/>
      <c r="F142" s="469"/>
      <c r="G142" s="469"/>
      <c r="H142" s="626"/>
      <c r="I142" s="626"/>
      <c r="J142" s="626"/>
      <c r="K142" s="626"/>
      <c r="L142" s="626"/>
      <c r="M142" s="626"/>
      <c r="N142" s="626"/>
    </row>
    <row r="143" spans="3:14" s="627" customFormat="1" ht="12.75" x14ac:dyDescent="0.2">
      <c r="C143" s="469"/>
      <c r="D143" s="469"/>
      <c r="E143" s="469"/>
      <c r="F143" s="469"/>
      <c r="G143" s="469"/>
      <c r="H143" s="626"/>
      <c r="I143" s="626"/>
      <c r="J143" s="626"/>
      <c r="K143" s="626"/>
      <c r="L143" s="626"/>
      <c r="M143" s="626"/>
      <c r="N143" s="626"/>
    </row>
    <row r="144" spans="3:14" s="627" customFormat="1" ht="12.75" x14ac:dyDescent="0.2">
      <c r="C144" s="469"/>
      <c r="D144" s="469"/>
      <c r="E144" s="469"/>
      <c r="F144" s="469"/>
      <c r="G144" s="469"/>
      <c r="H144" s="626"/>
      <c r="I144" s="626"/>
      <c r="J144" s="626"/>
      <c r="K144" s="626"/>
      <c r="L144" s="626"/>
      <c r="M144" s="626"/>
      <c r="N144" s="626"/>
    </row>
    <row r="145" spans="3:14" s="627" customFormat="1" ht="12.75" x14ac:dyDescent="0.2">
      <c r="C145" s="469"/>
      <c r="D145" s="469"/>
      <c r="E145" s="469"/>
      <c r="F145" s="469"/>
      <c r="G145" s="469"/>
      <c r="H145" s="626"/>
      <c r="I145" s="626"/>
      <c r="J145" s="626"/>
      <c r="K145" s="626"/>
      <c r="L145" s="626"/>
      <c r="M145" s="626"/>
      <c r="N145" s="626"/>
    </row>
    <row r="146" spans="3:14" s="627" customFormat="1" ht="12.75" x14ac:dyDescent="0.2">
      <c r="C146" s="469"/>
      <c r="D146" s="469"/>
      <c r="E146" s="469"/>
      <c r="F146" s="469"/>
      <c r="G146" s="469"/>
      <c r="H146" s="626"/>
      <c r="I146" s="626"/>
      <c r="J146" s="626"/>
      <c r="K146" s="626"/>
      <c r="L146" s="626"/>
      <c r="M146" s="626"/>
      <c r="N146" s="626"/>
    </row>
    <row r="147" spans="3:14" s="627" customFormat="1" ht="12.75" x14ac:dyDescent="0.2">
      <c r="C147" s="469"/>
      <c r="D147" s="469"/>
      <c r="E147" s="469"/>
      <c r="F147" s="469"/>
      <c r="G147" s="469"/>
      <c r="H147" s="626"/>
      <c r="I147" s="626"/>
      <c r="J147" s="626"/>
      <c r="K147" s="626"/>
      <c r="L147" s="626"/>
      <c r="M147" s="626"/>
      <c r="N147" s="626"/>
    </row>
    <row r="148" spans="3:14" s="627" customFormat="1" ht="12.75" x14ac:dyDescent="0.2">
      <c r="C148" s="469"/>
      <c r="D148" s="469"/>
      <c r="E148" s="469"/>
      <c r="F148" s="469"/>
      <c r="G148" s="469"/>
      <c r="H148" s="626"/>
      <c r="I148" s="626"/>
      <c r="J148" s="626"/>
      <c r="K148" s="626"/>
      <c r="L148" s="626"/>
      <c r="M148" s="626"/>
      <c r="N148" s="626"/>
    </row>
    <row r="149" spans="3:14" s="627" customFormat="1" ht="12.75" x14ac:dyDescent="0.2">
      <c r="C149" s="469"/>
      <c r="D149" s="469"/>
      <c r="E149" s="469"/>
      <c r="F149" s="469"/>
      <c r="G149" s="469"/>
      <c r="H149" s="626"/>
      <c r="I149" s="626"/>
      <c r="J149" s="626"/>
      <c r="K149" s="626"/>
      <c r="L149" s="626"/>
      <c r="M149" s="626"/>
      <c r="N149" s="626"/>
    </row>
    <row r="150" spans="3:14" s="627" customFormat="1" ht="12.75" x14ac:dyDescent="0.2">
      <c r="C150" s="469"/>
      <c r="D150" s="469"/>
      <c r="E150" s="469"/>
      <c r="F150" s="469"/>
      <c r="G150" s="469"/>
      <c r="H150" s="626"/>
      <c r="I150" s="626"/>
      <c r="J150" s="626"/>
      <c r="K150" s="626"/>
      <c r="L150" s="626"/>
      <c r="M150" s="626"/>
      <c r="N150" s="626"/>
    </row>
    <row r="151" spans="3:14" s="627" customFormat="1" ht="12.75" x14ac:dyDescent="0.2">
      <c r="C151" s="469"/>
      <c r="D151" s="469"/>
      <c r="E151" s="469"/>
      <c r="F151" s="469"/>
      <c r="G151" s="469"/>
      <c r="H151" s="626"/>
      <c r="I151" s="626"/>
      <c r="J151" s="626"/>
      <c r="K151" s="626"/>
      <c r="L151" s="626"/>
      <c r="M151" s="626"/>
      <c r="N151" s="626"/>
    </row>
    <row r="152" spans="3:14" s="627" customFormat="1" ht="12.75" x14ac:dyDescent="0.2">
      <c r="C152" s="469"/>
      <c r="D152" s="469"/>
      <c r="E152" s="469"/>
      <c r="F152" s="469"/>
      <c r="G152" s="469"/>
      <c r="H152" s="626"/>
      <c r="I152" s="626"/>
      <c r="J152" s="626"/>
      <c r="K152" s="626"/>
      <c r="L152" s="626"/>
      <c r="M152" s="626"/>
      <c r="N152" s="626"/>
    </row>
    <row r="153" spans="3:14" s="627" customFormat="1" ht="12.75" x14ac:dyDescent="0.2">
      <c r="C153" s="469"/>
      <c r="D153" s="469"/>
      <c r="E153" s="469"/>
      <c r="F153" s="469"/>
      <c r="G153" s="469"/>
      <c r="H153" s="626"/>
      <c r="I153" s="626"/>
      <c r="J153" s="626"/>
      <c r="K153" s="626"/>
      <c r="L153" s="626"/>
      <c r="M153" s="626"/>
      <c r="N153" s="626"/>
    </row>
    <row r="154" spans="3:14" s="627" customFormat="1" ht="12.75" x14ac:dyDescent="0.2">
      <c r="C154" s="469"/>
      <c r="D154" s="469"/>
      <c r="E154" s="469"/>
      <c r="F154" s="469"/>
      <c r="G154" s="469"/>
      <c r="H154" s="626"/>
      <c r="I154" s="626"/>
      <c r="J154" s="626"/>
      <c r="K154" s="626"/>
      <c r="L154" s="626"/>
      <c r="M154" s="626"/>
      <c r="N154" s="626"/>
    </row>
    <row r="155" spans="3:14" s="627" customFormat="1" ht="12.75" x14ac:dyDescent="0.2">
      <c r="C155" s="469"/>
      <c r="D155" s="469"/>
      <c r="E155" s="469"/>
      <c r="F155" s="469"/>
      <c r="G155" s="469"/>
      <c r="H155" s="626"/>
      <c r="I155" s="626"/>
      <c r="J155" s="626"/>
      <c r="K155" s="626"/>
      <c r="L155" s="626"/>
      <c r="M155" s="626"/>
      <c r="N155" s="626"/>
    </row>
    <row r="156" spans="3:14" s="627" customFormat="1" ht="12.75" x14ac:dyDescent="0.2">
      <c r="C156" s="469"/>
      <c r="D156" s="469"/>
      <c r="E156" s="469"/>
      <c r="F156" s="469"/>
      <c r="G156" s="469"/>
      <c r="H156" s="626"/>
      <c r="I156" s="626"/>
      <c r="J156" s="626"/>
      <c r="K156" s="626"/>
      <c r="L156" s="626"/>
      <c r="M156" s="626"/>
      <c r="N156" s="626"/>
    </row>
    <row r="157" spans="3:14" s="627" customFormat="1" ht="12.75" x14ac:dyDescent="0.2">
      <c r="C157" s="469"/>
      <c r="D157" s="469"/>
      <c r="E157" s="469"/>
      <c r="F157" s="469"/>
      <c r="G157" s="469"/>
      <c r="H157" s="626"/>
      <c r="I157" s="626"/>
      <c r="J157" s="626"/>
      <c r="K157" s="626"/>
      <c r="L157" s="626"/>
      <c r="M157" s="626"/>
      <c r="N157" s="626"/>
    </row>
    <row r="158" spans="3:14" s="627" customFormat="1" ht="12.75" x14ac:dyDescent="0.2">
      <c r="C158" s="469"/>
      <c r="D158" s="469"/>
      <c r="E158" s="469"/>
      <c r="F158" s="469"/>
      <c r="G158" s="469"/>
      <c r="H158" s="626"/>
      <c r="I158" s="626"/>
      <c r="J158" s="626"/>
      <c r="K158" s="626"/>
      <c r="L158" s="626"/>
      <c r="M158" s="626"/>
      <c r="N158" s="626"/>
    </row>
    <row r="159" spans="3:14" s="627" customFormat="1" ht="12.75" x14ac:dyDescent="0.2">
      <c r="C159" s="469"/>
      <c r="D159" s="469"/>
      <c r="E159" s="469"/>
      <c r="F159" s="469"/>
      <c r="G159" s="469"/>
      <c r="H159" s="626"/>
      <c r="I159" s="626"/>
      <c r="J159" s="626"/>
      <c r="K159" s="626"/>
      <c r="L159" s="626"/>
      <c r="M159" s="626"/>
      <c r="N159" s="626"/>
    </row>
    <row r="160" spans="3:14" s="627" customFormat="1" ht="12.75" x14ac:dyDescent="0.2">
      <c r="C160" s="469"/>
      <c r="D160" s="469"/>
      <c r="E160" s="469"/>
      <c r="F160" s="469"/>
      <c r="G160" s="469"/>
      <c r="H160" s="626"/>
      <c r="I160" s="626"/>
      <c r="J160" s="626"/>
      <c r="K160" s="626"/>
      <c r="L160" s="626"/>
      <c r="M160" s="626"/>
      <c r="N160" s="626"/>
    </row>
    <row r="161" spans="3:14" s="627" customFormat="1" ht="12.75" x14ac:dyDescent="0.2">
      <c r="C161" s="469"/>
      <c r="D161" s="469"/>
      <c r="E161" s="469"/>
      <c r="F161" s="469"/>
      <c r="G161" s="469"/>
      <c r="H161" s="626"/>
      <c r="I161" s="626"/>
      <c r="J161" s="626"/>
      <c r="K161" s="626"/>
      <c r="L161" s="626"/>
      <c r="M161" s="626"/>
      <c r="N161" s="626"/>
    </row>
    <row r="162" spans="3:14" s="627" customFormat="1" ht="12.75" x14ac:dyDescent="0.2">
      <c r="C162" s="469"/>
      <c r="D162" s="469"/>
      <c r="E162" s="469"/>
      <c r="F162" s="469"/>
      <c r="G162" s="469"/>
      <c r="H162" s="626"/>
      <c r="I162" s="626"/>
      <c r="J162" s="626"/>
      <c r="K162" s="626"/>
      <c r="L162" s="626"/>
      <c r="M162" s="626"/>
      <c r="N162" s="626"/>
    </row>
    <row r="163" spans="3:14" s="627" customFormat="1" ht="12.75" x14ac:dyDescent="0.2">
      <c r="C163" s="469"/>
      <c r="D163" s="469"/>
      <c r="E163" s="469"/>
      <c r="F163" s="469"/>
      <c r="G163" s="469"/>
      <c r="H163" s="626"/>
      <c r="I163" s="626"/>
      <c r="J163" s="626"/>
      <c r="K163" s="626"/>
      <c r="L163" s="626"/>
      <c r="M163" s="626"/>
      <c r="N163" s="626"/>
    </row>
    <row r="164" spans="3:14" s="627" customFormat="1" ht="12.75" x14ac:dyDescent="0.2">
      <c r="C164" s="469"/>
      <c r="D164" s="469"/>
      <c r="E164" s="469"/>
      <c r="F164" s="469"/>
      <c r="G164" s="469"/>
      <c r="H164" s="626"/>
      <c r="I164" s="626"/>
      <c r="J164" s="626"/>
      <c r="K164" s="626"/>
      <c r="L164" s="626"/>
      <c r="M164" s="626"/>
      <c r="N164" s="626"/>
    </row>
    <row r="165" spans="3:14" s="627" customFormat="1" ht="12.75" x14ac:dyDescent="0.2">
      <c r="C165" s="469"/>
      <c r="D165" s="469"/>
      <c r="E165" s="469"/>
      <c r="F165" s="469"/>
      <c r="G165" s="469"/>
      <c r="H165" s="626"/>
      <c r="I165" s="626"/>
      <c r="J165" s="626"/>
      <c r="K165" s="626"/>
      <c r="L165" s="626"/>
      <c r="M165" s="626"/>
      <c r="N165" s="626"/>
    </row>
    <row r="166" spans="3:14" s="627" customFormat="1" ht="12.75" x14ac:dyDescent="0.2">
      <c r="C166" s="469"/>
      <c r="D166" s="469"/>
      <c r="E166" s="469"/>
      <c r="F166" s="469"/>
      <c r="G166" s="469"/>
      <c r="H166" s="626"/>
      <c r="I166" s="626"/>
      <c r="J166" s="626"/>
      <c r="K166" s="626"/>
      <c r="L166" s="626"/>
      <c r="M166" s="626"/>
      <c r="N166" s="626"/>
    </row>
    <row r="167" spans="3:14" s="627" customFormat="1" ht="12.75" x14ac:dyDescent="0.2">
      <c r="C167" s="469"/>
      <c r="D167" s="469"/>
      <c r="E167" s="469"/>
      <c r="F167" s="469"/>
      <c r="G167" s="469"/>
      <c r="H167" s="626"/>
      <c r="I167" s="626"/>
      <c r="J167" s="626"/>
      <c r="K167" s="626"/>
      <c r="L167" s="626"/>
      <c r="M167" s="626"/>
      <c r="N167" s="626"/>
    </row>
    <row r="168" spans="3:14" s="627" customFormat="1" ht="12.75" x14ac:dyDescent="0.2">
      <c r="C168" s="469"/>
      <c r="D168" s="469"/>
      <c r="E168" s="469"/>
      <c r="F168" s="469"/>
      <c r="G168" s="469"/>
      <c r="H168" s="626"/>
      <c r="I168" s="626"/>
      <c r="J168" s="626"/>
      <c r="K168" s="626"/>
      <c r="L168" s="626"/>
      <c r="M168" s="626"/>
      <c r="N168" s="626"/>
    </row>
    <row r="169" spans="3:14" s="627" customFormat="1" ht="12.75" x14ac:dyDescent="0.2">
      <c r="C169" s="469"/>
      <c r="D169" s="469"/>
      <c r="E169" s="469"/>
      <c r="F169" s="469"/>
      <c r="G169" s="469"/>
      <c r="H169" s="626"/>
      <c r="I169" s="626"/>
      <c r="J169" s="626"/>
      <c r="K169" s="626"/>
      <c r="L169" s="626"/>
      <c r="M169" s="626"/>
      <c r="N169" s="626"/>
    </row>
    <row r="170" spans="3:14" s="627" customFormat="1" ht="12.75" x14ac:dyDescent="0.2">
      <c r="C170" s="469"/>
      <c r="D170" s="469"/>
      <c r="E170" s="469"/>
      <c r="F170" s="469"/>
      <c r="G170" s="469"/>
      <c r="H170" s="626"/>
      <c r="I170" s="626"/>
      <c r="J170" s="626"/>
      <c r="K170" s="626"/>
      <c r="L170" s="626"/>
      <c r="M170" s="626"/>
      <c r="N170" s="626"/>
    </row>
    <row r="171" spans="3:14" s="627" customFormat="1" ht="12.75" x14ac:dyDescent="0.2">
      <c r="C171" s="469"/>
      <c r="D171" s="469"/>
      <c r="E171" s="469"/>
      <c r="F171" s="469"/>
      <c r="G171" s="469"/>
      <c r="H171" s="626"/>
      <c r="I171" s="626"/>
      <c r="J171" s="626"/>
      <c r="K171" s="626"/>
      <c r="L171" s="626"/>
      <c r="M171" s="626"/>
      <c r="N171" s="626"/>
    </row>
    <row r="172" spans="3:14" s="627" customFormat="1" ht="12.75" x14ac:dyDescent="0.2">
      <c r="C172" s="469"/>
      <c r="D172" s="469"/>
      <c r="E172" s="469"/>
      <c r="F172" s="469"/>
      <c r="G172" s="469"/>
      <c r="H172" s="626"/>
      <c r="I172" s="626"/>
      <c r="J172" s="626"/>
      <c r="K172" s="626"/>
      <c r="L172" s="626"/>
      <c r="M172" s="626"/>
      <c r="N172" s="626"/>
    </row>
    <row r="173" spans="3:14" s="627" customFormat="1" ht="12.75" x14ac:dyDescent="0.2">
      <c r="C173" s="469"/>
      <c r="D173" s="469"/>
      <c r="E173" s="469"/>
      <c r="F173" s="469"/>
      <c r="G173" s="469"/>
      <c r="H173" s="626"/>
      <c r="I173" s="626"/>
      <c r="J173" s="626"/>
      <c r="K173" s="626"/>
      <c r="L173" s="626"/>
      <c r="M173" s="626"/>
      <c r="N173" s="626"/>
    </row>
    <row r="174" spans="3:14" s="627" customFormat="1" ht="12.75" x14ac:dyDescent="0.2">
      <c r="C174" s="469"/>
      <c r="D174" s="469"/>
      <c r="E174" s="469"/>
      <c r="F174" s="469"/>
      <c r="G174" s="469"/>
      <c r="H174" s="626"/>
      <c r="I174" s="626"/>
      <c r="J174" s="626"/>
      <c r="K174" s="626"/>
      <c r="L174" s="626"/>
      <c r="M174" s="626"/>
      <c r="N174" s="626"/>
    </row>
    <row r="175" spans="3:14" s="627" customFormat="1" ht="12.75" x14ac:dyDescent="0.2">
      <c r="C175" s="469"/>
      <c r="D175" s="469"/>
      <c r="E175" s="469"/>
      <c r="F175" s="469"/>
      <c r="G175" s="469"/>
      <c r="H175" s="626"/>
      <c r="I175" s="626"/>
      <c r="J175" s="626"/>
      <c r="K175" s="626"/>
      <c r="L175" s="626"/>
      <c r="M175" s="626"/>
      <c r="N175" s="626"/>
    </row>
    <row r="176" spans="3:14" s="627" customFormat="1" ht="12.75" x14ac:dyDescent="0.2">
      <c r="C176" s="469"/>
      <c r="D176" s="469"/>
      <c r="E176" s="469"/>
      <c r="F176" s="469"/>
      <c r="G176" s="469"/>
      <c r="H176" s="626"/>
      <c r="I176" s="626"/>
      <c r="J176" s="626"/>
      <c r="K176" s="626"/>
      <c r="L176" s="626"/>
      <c r="M176" s="626"/>
      <c r="N176" s="626"/>
    </row>
    <row r="177" spans="3:14" s="627" customFormat="1" ht="12.75" x14ac:dyDescent="0.2">
      <c r="C177" s="469"/>
      <c r="D177" s="469"/>
      <c r="E177" s="469"/>
      <c r="F177" s="469"/>
      <c r="G177" s="469"/>
      <c r="H177" s="626"/>
      <c r="I177" s="626"/>
      <c r="J177" s="626"/>
      <c r="K177" s="626"/>
      <c r="L177" s="626"/>
      <c r="M177" s="626"/>
      <c r="N177" s="626"/>
    </row>
    <row r="178" spans="3:14" s="627" customFormat="1" ht="12.75" x14ac:dyDescent="0.2">
      <c r="C178" s="469"/>
      <c r="D178" s="469"/>
      <c r="E178" s="469"/>
      <c r="F178" s="469"/>
      <c r="G178" s="469"/>
      <c r="H178" s="626"/>
      <c r="I178" s="626"/>
      <c r="J178" s="626"/>
      <c r="K178" s="626"/>
      <c r="L178" s="626"/>
      <c r="M178" s="626"/>
      <c r="N178" s="626"/>
    </row>
    <row r="179" spans="3:14" s="627" customFormat="1" ht="12.75" x14ac:dyDescent="0.2">
      <c r="C179" s="469"/>
      <c r="D179" s="469"/>
      <c r="E179" s="469"/>
      <c r="F179" s="469"/>
      <c r="G179" s="469"/>
      <c r="H179" s="626"/>
      <c r="I179" s="626"/>
      <c r="J179" s="626"/>
      <c r="K179" s="626"/>
      <c r="L179" s="626"/>
      <c r="M179" s="626"/>
      <c r="N179" s="626"/>
    </row>
    <row r="180" spans="3:14" s="627" customFormat="1" ht="12.75" x14ac:dyDescent="0.2">
      <c r="C180" s="469"/>
      <c r="D180" s="469"/>
      <c r="E180" s="469"/>
      <c r="F180" s="469"/>
      <c r="G180" s="469"/>
      <c r="H180" s="626"/>
      <c r="I180" s="626"/>
      <c r="J180" s="626"/>
      <c r="K180" s="626"/>
      <c r="L180" s="626"/>
      <c r="M180" s="626"/>
      <c r="N180" s="626"/>
    </row>
    <row r="181" spans="3:14" s="627" customFormat="1" ht="12.75" x14ac:dyDescent="0.2">
      <c r="C181" s="469"/>
      <c r="D181" s="469"/>
      <c r="E181" s="469"/>
      <c r="F181" s="469"/>
      <c r="G181" s="469"/>
      <c r="H181" s="626"/>
      <c r="I181" s="626"/>
      <c r="J181" s="626"/>
      <c r="K181" s="626"/>
      <c r="L181" s="626"/>
      <c r="M181" s="626"/>
      <c r="N181" s="626"/>
    </row>
    <row r="182" spans="3:14" s="627" customFormat="1" ht="12.75" x14ac:dyDescent="0.2">
      <c r="C182" s="469"/>
      <c r="D182" s="469"/>
      <c r="E182" s="469"/>
      <c r="F182" s="469"/>
      <c r="G182" s="469"/>
      <c r="H182" s="626"/>
      <c r="I182" s="626"/>
      <c r="J182" s="626"/>
      <c r="K182" s="626"/>
      <c r="L182" s="626"/>
      <c r="M182" s="626"/>
      <c r="N182" s="626"/>
    </row>
    <row r="183" spans="3:14" s="627" customFormat="1" ht="12.75" x14ac:dyDescent="0.2">
      <c r="C183" s="469"/>
      <c r="D183" s="469"/>
      <c r="E183" s="469"/>
      <c r="F183" s="469"/>
      <c r="G183" s="469"/>
      <c r="H183" s="626"/>
      <c r="I183" s="626"/>
      <c r="J183" s="626"/>
      <c r="K183" s="626"/>
      <c r="L183" s="626"/>
      <c r="M183" s="626"/>
      <c r="N183" s="626"/>
    </row>
    <row r="184" spans="3:14" s="627" customFormat="1" ht="12.75" x14ac:dyDescent="0.2">
      <c r="C184" s="469"/>
      <c r="D184" s="469"/>
      <c r="E184" s="469"/>
      <c r="F184" s="469"/>
      <c r="G184" s="469"/>
      <c r="H184" s="626"/>
      <c r="I184" s="626"/>
      <c r="J184" s="626"/>
      <c r="K184" s="626"/>
      <c r="L184" s="626"/>
      <c r="M184" s="626"/>
      <c r="N184" s="626"/>
    </row>
    <row r="185" spans="3:14" s="627" customFormat="1" ht="12.75" x14ac:dyDescent="0.2">
      <c r="C185" s="469"/>
      <c r="D185" s="469"/>
      <c r="E185" s="469"/>
      <c r="F185" s="469"/>
      <c r="G185" s="469"/>
      <c r="H185" s="626"/>
      <c r="I185" s="626"/>
      <c r="J185" s="626"/>
      <c r="K185" s="626"/>
      <c r="L185" s="626"/>
      <c r="M185" s="626"/>
      <c r="N185" s="626"/>
    </row>
    <row r="186" spans="3:14" s="627" customFormat="1" ht="12.75" x14ac:dyDescent="0.2">
      <c r="C186" s="469"/>
      <c r="D186" s="469"/>
      <c r="E186" s="469"/>
      <c r="F186" s="469"/>
      <c r="G186" s="469"/>
      <c r="H186" s="626"/>
      <c r="I186" s="626"/>
      <c r="J186" s="626"/>
      <c r="K186" s="626"/>
      <c r="L186" s="626"/>
      <c r="M186" s="626"/>
      <c r="N186" s="626"/>
    </row>
    <row r="187" spans="3:14" s="627" customFormat="1" ht="12.75" x14ac:dyDescent="0.2">
      <c r="C187" s="469"/>
      <c r="D187" s="469"/>
      <c r="E187" s="469"/>
      <c r="F187" s="469"/>
      <c r="G187" s="469"/>
      <c r="H187" s="626"/>
      <c r="I187" s="626"/>
      <c r="J187" s="626"/>
      <c r="K187" s="626"/>
      <c r="L187" s="626"/>
      <c r="M187" s="626"/>
      <c r="N187" s="626"/>
    </row>
    <row r="188" spans="3:14" s="627" customFormat="1" ht="12.75" x14ac:dyDescent="0.2">
      <c r="C188" s="469"/>
      <c r="D188" s="469"/>
      <c r="E188" s="469"/>
      <c r="F188" s="469"/>
      <c r="G188" s="469"/>
      <c r="H188" s="626"/>
      <c r="I188" s="626"/>
      <c r="J188" s="626"/>
      <c r="K188" s="626"/>
      <c r="L188" s="626"/>
      <c r="M188" s="626"/>
      <c r="N188" s="626"/>
    </row>
    <row r="189" spans="3:14" s="627" customFormat="1" ht="12.75" x14ac:dyDescent="0.2">
      <c r="C189" s="469"/>
      <c r="D189" s="469"/>
      <c r="E189" s="469"/>
      <c r="F189" s="469"/>
      <c r="G189" s="469"/>
      <c r="H189" s="626"/>
      <c r="I189" s="626"/>
      <c r="J189" s="626"/>
      <c r="K189" s="626"/>
      <c r="L189" s="626"/>
      <c r="M189" s="626"/>
      <c r="N189" s="626"/>
    </row>
    <row r="190" spans="3:14" s="627" customFormat="1" ht="12.75" x14ac:dyDescent="0.2">
      <c r="C190" s="469"/>
      <c r="D190" s="469"/>
      <c r="E190" s="469"/>
      <c r="F190" s="469"/>
      <c r="G190" s="469"/>
      <c r="H190" s="626"/>
      <c r="I190" s="626"/>
      <c r="J190" s="626"/>
      <c r="K190" s="626"/>
      <c r="L190" s="626"/>
      <c r="M190" s="626"/>
      <c r="N190" s="626"/>
    </row>
    <row r="191" spans="3:14" s="627" customFormat="1" ht="12.75" x14ac:dyDescent="0.2">
      <c r="C191" s="469"/>
      <c r="D191" s="469"/>
      <c r="E191" s="469"/>
      <c r="F191" s="469"/>
      <c r="G191" s="469"/>
      <c r="H191" s="626"/>
      <c r="I191" s="626"/>
      <c r="J191" s="626"/>
      <c r="K191" s="626"/>
      <c r="L191" s="626"/>
      <c r="M191" s="626"/>
      <c r="N191" s="626"/>
    </row>
    <row r="192" spans="3:14" s="627" customFormat="1" ht="12.75" x14ac:dyDescent="0.2">
      <c r="C192" s="469"/>
      <c r="D192" s="469"/>
      <c r="E192" s="469"/>
      <c r="F192" s="469"/>
      <c r="G192" s="469"/>
      <c r="H192" s="626"/>
      <c r="I192" s="626"/>
      <c r="J192" s="626"/>
      <c r="K192" s="626"/>
      <c r="L192" s="626"/>
      <c r="M192" s="626"/>
      <c r="N192" s="626"/>
    </row>
    <row r="193" spans="3:14" s="627" customFormat="1" ht="12.75" x14ac:dyDescent="0.2">
      <c r="C193" s="469"/>
      <c r="D193" s="469"/>
      <c r="E193" s="469"/>
      <c r="F193" s="469"/>
      <c r="G193" s="469"/>
      <c r="H193" s="626"/>
      <c r="I193" s="626"/>
      <c r="J193" s="626"/>
      <c r="K193" s="626"/>
      <c r="L193" s="626"/>
      <c r="M193" s="626"/>
      <c r="N193" s="626"/>
    </row>
    <row r="194" spans="3:14" s="627" customFormat="1" ht="12.75" x14ac:dyDescent="0.2">
      <c r="C194" s="469"/>
      <c r="D194" s="469"/>
      <c r="E194" s="469"/>
      <c r="F194" s="469"/>
      <c r="G194" s="469"/>
      <c r="H194" s="626"/>
      <c r="I194" s="626"/>
      <c r="J194" s="626"/>
      <c r="K194" s="626"/>
      <c r="L194" s="626"/>
      <c r="M194" s="626"/>
      <c r="N194" s="626"/>
    </row>
    <row r="195" spans="3:14" s="627" customFormat="1" ht="12.75" x14ac:dyDescent="0.2">
      <c r="C195" s="469"/>
      <c r="D195" s="469"/>
      <c r="E195" s="469"/>
      <c r="F195" s="469"/>
      <c r="G195" s="469"/>
      <c r="H195" s="626"/>
      <c r="I195" s="626"/>
      <c r="J195" s="626"/>
      <c r="K195" s="626"/>
      <c r="L195" s="626"/>
      <c r="M195" s="626"/>
      <c r="N195" s="626"/>
    </row>
    <row r="196" spans="3:14" s="627" customFormat="1" ht="12.75" x14ac:dyDescent="0.2">
      <c r="C196" s="469"/>
      <c r="D196" s="469"/>
      <c r="E196" s="469"/>
      <c r="F196" s="469"/>
      <c r="G196" s="469"/>
      <c r="H196" s="626"/>
      <c r="I196" s="626"/>
      <c r="J196" s="626"/>
      <c r="K196" s="626"/>
      <c r="L196" s="626"/>
      <c r="M196" s="626"/>
      <c r="N196" s="626"/>
    </row>
    <row r="197" spans="3:14" s="627" customFormat="1" ht="12.75" x14ac:dyDescent="0.2">
      <c r="C197" s="469"/>
      <c r="D197" s="469"/>
      <c r="E197" s="469"/>
      <c r="F197" s="469"/>
      <c r="G197" s="469"/>
      <c r="H197" s="626"/>
      <c r="I197" s="626"/>
      <c r="J197" s="626"/>
      <c r="K197" s="626"/>
      <c r="L197" s="626"/>
      <c r="M197" s="626"/>
      <c r="N197" s="626"/>
    </row>
    <row r="198" spans="3:14" s="627" customFormat="1" ht="12.75" x14ac:dyDescent="0.2">
      <c r="C198" s="469"/>
      <c r="D198" s="469"/>
      <c r="E198" s="469"/>
      <c r="F198" s="469"/>
      <c r="G198" s="469"/>
      <c r="H198" s="626"/>
      <c r="I198" s="626"/>
      <c r="J198" s="626"/>
      <c r="K198" s="626"/>
      <c r="L198" s="626"/>
      <c r="M198" s="626"/>
      <c r="N198" s="626"/>
    </row>
    <row r="199" spans="3:14" s="627" customFormat="1" ht="12.75" x14ac:dyDescent="0.2">
      <c r="C199" s="469"/>
      <c r="D199" s="469"/>
      <c r="E199" s="469"/>
      <c r="F199" s="469"/>
      <c r="G199" s="469"/>
      <c r="H199" s="626"/>
      <c r="I199" s="626"/>
      <c r="J199" s="626"/>
      <c r="K199" s="626"/>
      <c r="L199" s="626"/>
      <c r="M199" s="626"/>
      <c r="N199" s="626"/>
    </row>
    <row r="200" spans="3:14" s="627" customFormat="1" ht="12.75" x14ac:dyDescent="0.2">
      <c r="C200" s="469"/>
      <c r="D200" s="469"/>
      <c r="E200" s="469"/>
      <c r="F200" s="469"/>
      <c r="G200" s="469"/>
      <c r="H200" s="626"/>
      <c r="I200" s="626"/>
      <c r="J200" s="626"/>
      <c r="K200" s="626"/>
      <c r="L200" s="626"/>
      <c r="M200" s="626"/>
      <c r="N200" s="626"/>
    </row>
    <row r="201" spans="3:14" s="627" customFormat="1" ht="12.75" x14ac:dyDescent="0.2">
      <c r="C201" s="469"/>
      <c r="D201" s="469"/>
      <c r="E201" s="469"/>
      <c r="F201" s="469"/>
      <c r="G201" s="469"/>
      <c r="H201" s="626"/>
      <c r="I201" s="626"/>
      <c r="J201" s="626"/>
      <c r="K201" s="626"/>
      <c r="L201" s="626"/>
      <c r="M201" s="626"/>
      <c r="N201" s="626"/>
    </row>
    <row r="202" spans="3:14" s="627" customFormat="1" ht="12.75" x14ac:dyDescent="0.2">
      <c r="C202" s="469"/>
      <c r="D202" s="469"/>
      <c r="E202" s="469"/>
      <c r="F202" s="469"/>
      <c r="G202" s="469"/>
      <c r="H202" s="626"/>
      <c r="I202" s="626"/>
      <c r="J202" s="626"/>
      <c r="K202" s="626"/>
      <c r="L202" s="626"/>
      <c r="M202" s="626"/>
      <c r="N202" s="626"/>
    </row>
    <row r="203" spans="3:14" s="627" customFormat="1" ht="12.75" x14ac:dyDescent="0.2">
      <c r="C203" s="469"/>
      <c r="D203" s="469"/>
      <c r="E203" s="469"/>
      <c r="F203" s="469"/>
      <c r="G203" s="469"/>
      <c r="H203" s="626"/>
      <c r="I203" s="626"/>
      <c r="J203" s="626"/>
      <c r="K203" s="626"/>
      <c r="L203" s="626"/>
      <c r="M203" s="626"/>
      <c r="N203" s="626"/>
    </row>
    <row r="204" spans="3:14" s="627" customFormat="1" ht="12.75" x14ac:dyDescent="0.2">
      <c r="C204" s="469"/>
      <c r="D204" s="469"/>
      <c r="E204" s="469"/>
      <c r="F204" s="469"/>
      <c r="G204" s="469"/>
      <c r="H204" s="626"/>
      <c r="I204" s="626"/>
      <c r="J204" s="626"/>
      <c r="K204" s="626"/>
      <c r="L204" s="626"/>
      <c r="M204" s="626"/>
      <c r="N204" s="626"/>
    </row>
    <row r="205" spans="3:14" s="627" customFormat="1" ht="12.75" x14ac:dyDescent="0.2">
      <c r="C205" s="469"/>
      <c r="D205" s="469"/>
      <c r="E205" s="469"/>
      <c r="F205" s="469"/>
      <c r="G205" s="469"/>
      <c r="H205" s="626"/>
      <c r="I205" s="626"/>
      <c r="J205" s="626"/>
      <c r="K205" s="626"/>
      <c r="L205" s="626"/>
      <c r="M205" s="626"/>
      <c r="N205" s="626"/>
    </row>
    <row r="206" spans="3:14" s="627" customFormat="1" ht="12.75" x14ac:dyDescent="0.2">
      <c r="C206" s="469"/>
      <c r="D206" s="469"/>
      <c r="E206" s="469"/>
      <c r="F206" s="469"/>
      <c r="G206" s="469"/>
      <c r="H206" s="626"/>
      <c r="I206" s="626"/>
      <c r="J206" s="626"/>
      <c r="K206" s="626"/>
      <c r="L206" s="626"/>
      <c r="M206" s="626"/>
      <c r="N206" s="626"/>
    </row>
    <row r="207" spans="3:14" s="627" customFormat="1" ht="12.75" x14ac:dyDescent="0.2">
      <c r="C207" s="469"/>
      <c r="D207" s="469"/>
      <c r="E207" s="469"/>
      <c r="F207" s="469"/>
      <c r="G207" s="469"/>
      <c r="H207" s="626"/>
      <c r="I207" s="626"/>
      <c r="J207" s="626"/>
      <c r="K207" s="626"/>
      <c r="L207" s="626"/>
      <c r="M207" s="626"/>
      <c r="N207" s="626"/>
    </row>
    <row r="208" spans="3:14" s="627" customFormat="1" ht="12.75" x14ac:dyDescent="0.2">
      <c r="C208" s="469"/>
      <c r="D208" s="469"/>
      <c r="E208" s="469"/>
      <c r="F208" s="469"/>
      <c r="G208" s="469"/>
      <c r="H208" s="626"/>
      <c r="I208" s="626"/>
      <c r="J208" s="626"/>
      <c r="K208" s="626"/>
      <c r="L208" s="626"/>
      <c r="M208" s="626"/>
      <c r="N208" s="626"/>
    </row>
    <row r="209" spans="3:14" s="627" customFormat="1" ht="12.75" x14ac:dyDescent="0.2">
      <c r="C209" s="469"/>
      <c r="D209" s="469"/>
      <c r="E209" s="469"/>
      <c r="F209" s="469"/>
      <c r="G209" s="469"/>
      <c r="H209" s="626"/>
      <c r="I209" s="626"/>
      <c r="J209" s="626"/>
      <c r="K209" s="626"/>
      <c r="L209" s="626"/>
      <c r="M209" s="626"/>
      <c r="N209" s="626"/>
    </row>
    <row r="210" spans="3:14" s="627" customFormat="1" ht="12.75" x14ac:dyDescent="0.2">
      <c r="C210" s="469"/>
      <c r="D210" s="469"/>
      <c r="E210" s="469"/>
      <c r="F210" s="469"/>
      <c r="G210" s="469"/>
      <c r="H210" s="626"/>
      <c r="I210" s="626"/>
      <c r="J210" s="626"/>
      <c r="K210" s="626"/>
      <c r="L210" s="626"/>
      <c r="M210" s="626"/>
      <c r="N210" s="626"/>
    </row>
    <row r="211" spans="3:14" s="627" customFormat="1" ht="12.75" x14ac:dyDescent="0.2">
      <c r="C211" s="469"/>
      <c r="D211" s="469"/>
      <c r="E211" s="469"/>
      <c r="F211" s="469"/>
      <c r="G211" s="469"/>
      <c r="H211" s="626"/>
      <c r="I211" s="626"/>
      <c r="J211" s="626"/>
      <c r="K211" s="626"/>
      <c r="L211" s="626"/>
      <c r="M211" s="626"/>
      <c r="N211" s="626"/>
    </row>
    <row r="212" spans="3:14" s="627" customFormat="1" ht="12.75" x14ac:dyDescent="0.2">
      <c r="C212" s="469"/>
      <c r="D212" s="469"/>
      <c r="E212" s="469"/>
      <c r="F212" s="469"/>
      <c r="G212" s="469"/>
      <c r="H212" s="626"/>
      <c r="I212" s="626"/>
      <c r="J212" s="626"/>
      <c r="K212" s="626"/>
      <c r="L212" s="626"/>
      <c r="M212" s="626"/>
      <c r="N212" s="626"/>
    </row>
    <row r="213" spans="3:14" s="627" customFormat="1" ht="12.75" x14ac:dyDescent="0.2">
      <c r="C213" s="469"/>
      <c r="D213" s="469"/>
      <c r="E213" s="469"/>
      <c r="F213" s="469"/>
      <c r="G213" s="469"/>
      <c r="H213" s="626"/>
      <c r="I213" s="626"/>
      <c r="J213" s="626"/>
      <c r="K213" s="626"/>
      <c r="L213" s="626"/>
      <c r="M213" s="626"/>
      <c r="N213" s="626"/>
    </row>
    <row r="214" spans="3:14" s="627" customFormat="1" ht="12.75" x14ac:dyDescent="0.2">
      <c r="C214" s="469"/>
      <c r="D214" s="469"/>
      <c r="E214" s="469"/>
      <c r="F214" s="469"/>
      <c r="G214" s="469"/>
      <c r="H214" s="626"/>
      <c r="I214" s="626"/>
      <c r="J214" s="626"/>
      <c r="K214" s="626"/>
      <c r="L214" s="626"/>
      <c r="M214" s="626"/>
      <c r="N214" s="626"/>
    </row>
    <row r="215" spans="3:14" s="627" customFormat="1" ht="12.75" x14ac:dyDescent="0.2">
      <c r="C215" s="469"/>
      <c r="D215" s="469"/>
      <c r="E215" s="469"/>
      <c r="F215" s="469"/>
      <c r="G215" s="469"/>
      <c r="H215" s="626"/>
      <c r="I215" s="626"/>
      <c r="J215" s="626"/>
      <c r="K215" s="626"/>
      <c r="L215" s="626"/>
      <c r="M215" s="626"/>
      <c r="N215" s="626"/>
    </row>
    <row r="216" spans="3:14" s="627" customFormat="1" ht="12.75" x14ac:dyDescent="0.2">
      <c r="C216" s="469"/>
      <c r="D216" s="469"/>
      <c r="E216" s="469"/>
      <c r="F216" s="469"/>
      <c r="G216" s="469"/>
      <c r="H216" s="626"/>
      <c r="I216" s="626"/>
      <c r="J216" s="626"/>
      <c r="K216" s="626"/>
      <c r="L216" s="626"/>
      <c r="M216" s="626"/>
      <c r="N216" s="626"/>
    </row>
    <row r="217" spans="3:14" s="627" customFormat="1" ht="12.75" x14ac:dyDescent="0.2">
      <c r="C217" s="469"/>
      <c r="D217" s="469"/>
      <c r="E217" s="469"/>
      <c r="F217" s="469"/>
      <c r="G217" s="469"/>
      <c r="H217" s="626"/>
      <c r="I217" s="626"/>
      <c r="J217" s="626"/>
      <c r="K217" s="626"/>
      <c r="L217" s="626"/>
      <c r="M217" s="626"/>
      <c r="N217" s="626"/>
    </row>
    <row r="218" spans="3:14" s="627" customFormat="1" ht="12.75" x14ac:dyDescent="0.2">
      <c r="C218" s="469"/>
      <c r="D218" s="469"/>
      <c r="E218" s="469"/>
      <c r="F218" s="469"/>
      <c r="G218" s="469"/>
      <c r="H218" s="626"/>
      <c r="I218" s="626"/>
      <c r="J218" s="626"/>
      <c r="K218" s="626"/>
      <c r="L218" s="626"/>
      <c r="M218" s="626"/>
      <c r="N218" s="626"/>
    </row>
    <row r="219" spans="3:14" s="627" customFormat="1" ht="12.75" x14ac:dyDescent="0.2">
      <c r="C219" s="469"/>
      <c r="D219" s="469"/>
      <c r="E219" s="469"/>
      <c r="F219" s="469"/>
      <c r="G219" s="469"/>
      <c r="H219" s="626"/>
      <c r="I219" s="626"/>
      <c r="J219" s="626"/>
      <c r="K219" s="626"/>
      <c r="L219" s="626"/>
      <c r="M219" s="626"/>
      <c r="N219" s="626"/>
    </row>
    <row r="220" spans="3:14" s="627" customFormat="1" ht="12.75" x14ac:dyDescent="0.2">
      <c r="C220" s="469"/>
      <c r="D220" s="469"/>
      <c r="E220" s="469"/>
      <c r="F220" s="469"/>
      <c r="G220" s="469"/>
      <c r="H220" s="626"/>
      <c r="I220" s="626"/>
      <c r="J220" s="626"/>
      <c r="K220" s="626"/>
      <c r="L220" s="626"/>
      <c r="M220" s="626"/>
      <c r="N220" s="626"/>
    </row>
    <row r="221" spans="3:14" s="627" customFormat="1" ht="12.75" x14ac:dyDescent="0.2">
      <c r="C221" s="469"/>
      <c r="D221" s="469"/>
      <c r="E221" s="469"/>
      <c r="F221" s="469"/>
      <c r="G221" s="469"/>
      <c r="H221" s="626"/>
      <c r="I221" s="626"/>
      <c r="J221" s="626"/>
      <c r="K221" s="626"/>
      <c r="L221" s="626"/>
      <c r="M221" s="626"/>
      <c r="N221" s="626"/>
    </row>
    <row r="222" spans="3:14" s="627" customFormat="1" ht="12.75" x14ac:dyDescent="0.2">
      <c r="C222" s="469"/>
      <c r="D222" s="469"/>
      <c r="E222" s="469"/>
      <c r="F222" s="469"/>
      <c r="G222" s="469"/>
      <c r="H222" s="626"/>
      <c r="I222" s="626"/>
      <c r="J222" s="626"/>
      <c r="K222" s="626"/>
      <c r="L222" s="626"/>
      <c r="M222" s="626"/>
      <c r="N222" s="626"/>
    </row>
    <row r="223" spans="3:14" s="627" customFormat="1" ht="12.75" x14ac:dyDescent="0.2">
      <c r="C223" s="469"/>
      <c r="D223" s="469"/>
      <c r="E223" s="469"/>
      <c r="F223" s="469"/>
      <c r="G223" s="469"/>
      <c r="H223" s="626"/>
      <c r="I223" s="626"/>
      <c r="J223" s="626"/>
      <c r="K223" s="626"/>
      <c r="L223" s="626"/>
      <c r="M223" s="626"/>
      <c r="N223" s="626"/>
    </row>
    <row r="224" spans="3:14" s="627" customFormat="1" ht="12.75" x14ac:dyDescent="0.2">
      <c r="C224" s="469"/>
      <c r="D224" s="469"/>
      <c r="E224" s="469"/>
      <c r="F224" s="469"/>
      <c r="G224" s="469"/>
      <c r="H224" s="626"/>
      <c r="I224" s="626"/>
      <c r="J224" s="626"/>
      <c r="K224" s="626"/>
      <c r="L224" s="626"/>
      <c r="M224" s="626"/>
      <c r="N224" s="626"/>
    </row>
    <row r="225" spans="3:14" s="627" customFormat="1" ht="12.75" x14ac:dyDescent="0.2">
      <c r="C225" s="469"/>
      <c r="D225" s="469"/>
      <c r="E225" s="469"/>
      <c r="F225" s="469"/>
      <c r="G225" s="469"/>
      <c r="H225" s="626"/>
      <c r="I225" s="626"/>
      <c r="J225" s="626"/>
      <c r="K225" s="626"/>
      <c r="L225" s="626"/>
      <c r="M225" s="626"/>
      <c r="N225" s="626"/>
    </row>
    <row r="226" spans="3:14" s="627" customFormat="1" ht="12.75" x14ac:dyDescent="0.2">
      <c r="C226" s="469"/>
      <c r="D226" s="469"/>
      <c r="E226" s="469"/>
      <c r="F226" s="469"/>
      <c r="G226" s="469"/>
      <c r="H226" s="626"/>
      <c r="I226" s="626"/>
      <c r="J226" s="626"/>
      <c r="K226" s="626"/>
      <c r="L226" s="626"/>
      <c r="M226" s="626"/>
      <c r="N226" s="626"/>
    </row>
    <row r="227" spans="3:14" s="627" customFormat="1" ht="12.75" x14ac:dyDescent="0.2">
      <c r="C227" s="469"/>
      <c r="D227" s="469"/>
      <c r="E227" s="469"/>
      <c r="F227" s="469"/>
      <c r="G227" s="469"/>
      <c r="H227" s="626"/>
      <c r="I227" s="626"/>
      <c r="J227" s="626"/>
      <c r="K227" s="626"/>
      <c r="L227" s="626"/>
      <c r="M227" s="626"/>
      <c r="N227" s="626"/>
    </row>
    <row r="228" spans="3:14" s="627" customFormat="1" ht="12.75" x14ac:dyDescent="0.2">
      <c r="C228" s="469"/>
      <c r="D228" s="469"/>
      <c r="E228" s="469"/>
      <c r="F228" s="469"/>
      <c r="G228" s="469"/>
      <c r="H228" s="626"/>
      <c r="I228" s="626"/>
      <c r="J228" s="626"/>
      <c r="K228" s="626"/>
      <c r="L228" s="626"/>
      <c r="M228" s="626"/>
      <c r="N228" s="626"/>
    </row>
    <row r="229" spans="3:14" s="627" customFormat="1" ht="12.75" x14ac:dyDescent="0.2">
      <c r="C229" s="469"/>
      <c r="D229" s="469"/>
      <c r="E229" s="469"/>
      <c r="F229" s="469"/>
      <c r="G229" s="469"/>
      <c r="H229" s="626"/>
      <c r="I229" s="626"/>
      <c r="J229" s="626"/>
      <c r="K229" s="626"/>
      <c r="L229" s="626"/>
      <c r="M229" s="626"/>
      <c r="N229" s="626"/>
    </row>
    <row r="230" spans="3:14" s="627" customFormat="1" ht="12.75" x14ac:dyDescent="0.2">
      <c r="C230" s="469"/>
      <c r="D230" s="469"/>
      <c r="E230" s="469"/>
      <c r="F230" s="469"/>
      <c r="G230" s="469"/>
      <c r="H230" s="626"/>
      <c r="I230" s="626"/>
      <c r="J230" s="626"/>
      <c r="K230" s="626"/>
      <c r="L230" s="626"/>
      <c r="M230" s="626"/>
      <c r="N230" s="626"/>
    </row>
    <row r="231" spans="3:14" s="627" customFormat="1" ht="12.75" x14ac:dyDescent="0.2">
      <c r="C231" s="469"/>
      <c r="D231" s="469"/>
      <c r="E231" s="469"/>
      <c r="F231" s="469"/>
      <c r="G231" s="469"/>
      <c r="H231" s="626"/>
      <c r="I231" s="626"/>
      <c r="J231" s="626"/>
      <c r="K231" s="626"/>
      <c r="L231" s="626"/>
      <c r="M231" s="626"/>
      <c r="N231" s="626"/>
    </row>
    <row r="232" spans="3:14" s="627" customFormat="1" ht="12.75" x14ac:dyDescent="0.2">
      <c r="C232" s="469"/>
      <c r="D232" s="469"/>
      <c r="E232" s="469"/>
      <c r="F232" s="469"/>
      <c r="G232" s="469"/>
      <c r="H232" s="626"/>
      <c r="I232" s="626"/>
      <c r="J232" s="626"/>
      <c r="K232" s="626"/>
      <c r="L232" s="626"/>
      <c r="M232" s="626"/>
      <c r="N232" s="626"/>
    </row>
    <row r="233" spans="3:14" s="627" customFormat="1" ht="12.75" x14ac:dyDescent="0.2">
      <c r="C233" s="469"/>
      <c r="D233" s="469"/>
      <c r="E233" s="469"/>
      <c r="F233" s="469"/>
      <c r="G233" s="469"/>
      <c r="H233" s="626"/>
      <c r="I233" s="626"/>
      <c r="J233" s="626"/>
      <c r="K233" s="626"/>
      <c r="L233" s="626"/>
      <c r="M233" s="626"/>
      <c r="N233" s="626"/>
    </row>
    <row r="234" spans="3:14" s="627" customFormat="1" ht="12.75" x14ac:dyDescent="0.2">
      <c r="C234" s="469"/>
      <c r="D234" s="469"/>
      <c r="E234" s="469"/>
      <c r="F234" s="469"/>
      <c r="G234" s="469"/>
      <c r="H234" s="626"/>
      <c r="I234" s="626"/>
      <c r="J234" s="626"/>
      <c r="K234" s="626"/>
      <c r="L234" s="626"/>
      <c r="M234" s="626"/>
      <c r="N234" s="626"/>
    </row>
    <row r="235" spans="3:14" s="627" customFormat="1" ht="12.75" x14ac:dyDescent="0.2">
      <c r="C235" s="469"/>
      <c r="D235" s="469"/>
      <c r="E235" s="469"/>
      <c r="F235" s="469"/>
      <c r="G235" s="469"/>
      <c r="H235" s="626"/>
      <c r="I235" s="626"/>
      <c r="J235" s="626"/>
      <c r="K235" s="626"/>
      <c r="L235" s="626"/>
      <c r="M235" s="626"/>
      <c r="N235" s="626"/>
    </row>
    <row r="236" spans="3:14" s="627" customFormat="1" ht="12.75" x14ac:dyDescent="0.2">
      <c r="C236" s="469"/>
      <c r="D236" s="469"/>
      <c r="E236" s="469"/>
      <c r="F236" s="469"/>
      <c r="G236" s="469"/>
      <c r="H236" s="626"/>
      <c r="I236" s="626"/>
      <c r="J236" s="626"/>
      <c r="K236" s="626"/>
      <c r="L236" s="626"/>
      <c r="M236" s="626"/>
      <c r="N236" s="626"/>
    </row>
    <row r="237" spans="3:14" s="627" customFormat="1" ht="12.75" x14ac:dyDescent="0.2">
      <c r="C237" s="469"/>
      <c r="D237" s="469"/>
      <c r="E237" s="469"/>
      <c r="F237" s="469"/>
      <c r="G237" s="469"/>
      <c r="H237" s="626"/>
      <c r="I237" s="626"/>
      <c r="J237" s="626"/>
      <c r="K237" s="626"/>
      <c r="L237" s="626"/>
      <c r="M237" s="626"/>
      <c r="N237" s="626"/>
    </row>
    <row r="238" spans="3:14" s="627" customFormat="1" ht="12.75" x14ac:dyDescent="0.2">
      <c r="C238" s="469"/>
      <c r="D238" s="469"/>
      <c r="E238" s="469"/>
      <c r="F238" s="469"/>
      <c r="G238" s="469"/>
      <c r="H238" s="626"/>
      <c r="I238" s="626"/>
      <c r="J238" s="626"/>
      <c r="K238" s="626"/>
      <c r="L238" s="626"/>
      <c r="M238" s="626"/>
      <c r="N238" s="626"/>
    </row>
    <row r="239" spans="3:14" s="627" customFormat="1" ht="12.75" x14ac:dyDescent="0.2">
      <c r="C239" s="469"/>
      <c r="D239" s="469"/>
      <c r="E239" s="469"/>
      <c r="F239" s="469"/>
      <c r="G239" s="469"/>
      <c r="H239" s="626"/>
      <c r="I239" s="626"/>
      <c r="J239" s="626"/>
      <c r="K239" s="626"/>
      <c r="L239" s="626"/>
      <c r="M239" s="626"/>
      <c r="N239" s="626"/>
    </row>
    <row r="240" spans="3:14" s="627" customFormat="1" ht="12.75" x14ac:dyDescent="0.2">
      <c r="C240" s="469"/>
      <c r="D240" s="469"/>
      <c r="E240" s="469"/>
      <c r="F240" s="469"/>
      <c r="G240" s="469"/>
      <c r="H240" s="626"/>
      <c r="I240" s="626"/>
      <c r="J240" s="626"/>
      <c r="K240" s="626"/>
      <c r="L240" s="626"/>
      <c r="M240" s="626"/>
      <c r="N240" s="626"/>
    </row>
    <row r="241" spans="3:14" s="627" customFormat="1" ht="12.75" x14ac:dyDescent="0.2">
      <c r="C241" s="469"/>
      <c r="D241" s="469"/>
      <c r="E241" s="469"/>
      <c r="F241" s="469"/>
      <c r="G241" s="469"/>
      <c r="H241" s="626"/>
      <c r="I241" s="626"/>
      <c r="J241" s="626"/>
      <c r="K241" s="626"/>
      <c r="L241" s="626"/>
      <c r="M241" s="626"/>
      <c r="N241" s="626"/>
    </row>
    <row r="242" spans="3:14" s="627" customFormat="1" ht="12.75" x14ac:dyDescent="0.2">
      <c r="C242" s="469"/>
      <c r="D242" s="469"/>
      <c r="E242" s="469"/>
      <c r="F242" s="469"/>
      <c r="G242" s="469"/>
      <c r="H242" s="626"/>
      <c r="I242" s="626"/>
      <c r="J242" s="626"/>
      <c r="K242" s="626"/>
      <c r="L242" s="626"/>
      <c r="M242" s="626"/>
      <c r="N242" s="626"/>
    </row>
    <row r="243" spans="3:14" s="627" customFormat="1" ht="12.75" x14ac:dyDescent="0.2">
      <c r="C243" s="469"/>
      <c r="D243" s="469"/>
      <c r="E243" s="469"/>
      <c r="F243" s="469"/>
      <c r="G243" s="469"/>
      <c r="H243" s="626"/>
      <c r="I243" s="626"/>
      <c r="J243" s="626"/>
      <c r="K243" s="626"/>
      <c r="L243" s="626"/>
      <c r="M243" s="626"/>
      <c r="N243" s="626"/>
    </row>
    <row r="244" spans="3:14" s="627" customFormat="1" ht="12.75" x14ac:dyDescent="0.2">
      <c r="C244" s="469"/>
      <c r="D244" s="469"/>
      <c r="E244" s="469"/>
      <c r="F244" s="469"/>
      <c r="G244" s="469"/>
      <c r="H244" s="626"/>
      <c r="I244" s="626"/>
      <c r="J244" s="626"/>
      <c r="K244" s="626"/>
      <c r="L244" s="626"/>
      <c r="M244" s="626"/>
      <c r="N244" s="626"/>
    </row>
    <row r="245" spans="3:14" s="627" customFormat="1" ht="12.75" x14ac:dyDescent="0.2">
      <c r="C245" s="469"/>
      <c r="D245" s="469"/>
      <c r="E245" s="469"/>
      <c r="F245" s="469"/>
      <c r="G245" s="469"/>
      <c r="H245" s="626"/>
      <c r="I245" s="626"/>
      <c r="J245" s="626"/>
      <c r="K245" s="626"/>
      <c r="L245" s="626"/>
      <c r="M245" s="626"/>
      <c r="N245" s="626"/>
    </row>
    <row r="246" spans="3:14" s="627" customFormat="1" ht="12.75" x14ac:dyDescent="0.2">
      <c r="C246" s="469"/>
      <c r="D246" s="469"/>
      <c r="E246" s="469"/>
      <c r="F246" s="469"/>
      <c r="G246" s="469"/>
      <c r="H246" s="626"/>
      <c r="I246" s="626"/>
      <c r="J246" s="626"/>
      <c r="K246" s="626"/>
      <c r="L246" s="626"/>
      <c r="M246" s="626"/>
      <c r="N246" s="626"/>
    </row>
    <row r="247" spans="3:14" s="627" customFormat="1" ht="12.75" x14ac:dyDescent="0.2">
      <c r="C247" s="469"/>
      <c r="D247" s="469"/>
      <c r="E247" s="469"/>
      <c r="F247" s="469"/>
      <c r="G247" s="469"/>
      <c r="H247" s="626"/>
      <c r="I247" s="626"/>
      <c r="J247" s="626"/>
      <c r="K247" s="626"/>
      <c r="L247" s="626"/>
      <c r="M247" s="626"/>
      <c r="N247" s="626"/>
    </row>
    <row r="248" spans="3:14" s="627" customFormat="1" ht="12.75" x14ac:dyDescent="0.2">
      <c r="C248" s="469"/>
      <c r="D248" s="469"/>
      <c r="E248" s="469"/>
      <c r="F248" s="469"/>
      <c r="G248" s="469"/>
      <c r="H248" s="626"/>
      <c r="I248" s="626"/>
      <c r="J248" s="626"/>
      <c r="K248" s="626"/>
      <c r="L248" s="626"/>
      <c r="M248" s="626"/>
      <c r="N248" s="626"/>
    </row>
    <row r="249" spans="3:14" s="627" customFormat="1" ht="12.75" x14ac:dyDescent="0.2">
      <c r="C249" s="469"/>
      <c r="D249" s="469"/>
      <c r="E249" s="469"/>
      <c r="F249" s="469"/>
      <c r="G249" s="469"/>
      <c r="H249" s="626"/>
      <c r="I249" s="626"/>
      <c r="J249" s="626"/>
      <c r="K249" s="626"/>
      <c r="L249" s="626"/>
      <c r="M249" s="626"/>
      <c r="N249" s="626"/>
    </row>
    <row r="250" spans="3:14" s="627" customFormat="1" ht="12.75" x14ac:dyDescent="0.2">
      <c r="C250" s="469"/>
      <c r="D250" s="469"/>
      <c r="E250" s="469"/>
      <c r="F250" s="469"/>
      <c r="G250" s="469"/>
      <c r="H250" s="626"/>
      <c r="I250" s="626"/>
      <c r="J250" s="626"/>
      <c r="K250" s="626"/>
      <c r="L250" s="626"/>
      <c r="M250" s="626"/>
      <c r="N250" s="626"/>
    </row>
  </sheetData>
  <sheetProtection algorithmName="SHA-512" hashValue="mIYZ1hVo4LY6sPhTwZvb09W2i76nfAeCRTuH054PqOf03DrGBxcDxXwL9LMpvSs4Nl0CC3kNuvvR8f/jpapr3Q==" saltValue="9LYyHzroe2azV4I18pLyEA==" spinCount="100000" sheet="1" objects="1" scenarios="1"/>
  <mergeCells count="1">
    <mergeCell ref="C37:P37"/>
  </mergeCells>
  <phoneticPr fontId="0" type="noConversion"/>
  <printOptions horizontalCentered="1"/>
  <pageMargins left="0.15748031496063" right="0.15748031496063" top="0.511811023622047" bottom="0.98425196850393704" header="0.511811023622047" footer="0.511811023622047"/>
  <pageSetup scale="57" orientation="landscape" r:id="rId1"/>
  <headerFooter alignWithMargins="0">
    <oddFooter>&amp;LHawai'i DOH
PFASs November 2024&amp;C&amp;8Page &amp;P of &amp;N&amp;R&amp;A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indexed="29"/>
    <pageSetUpPr fitToPage="1"/>
  </sheetPr>
  <dimension ref="A1:G271"/>
  <sheetViews>
    <sheetView workbookViewId="0">
      <selection activeCell="F24" sqref="F24"/>
    </sheetView>
  </sheetViews>
  <sheetFormatPr defaultColWidth="8.7109375" defaultRowHeight="11.25" x14ac:dyDescent="0.2"/>
  <cols>
    <col min="1" max="1" width="50.5703125" style="517" customWidth="1"/>
    <col min="2" max="3" width="5.7109375" style="517" customWidth="1"/>
    <col min="4" max="4" width="8.42578125" style="517" customWidth="1"/>
    <col min="5" max="5" width="13.5703125" style="504" customWidth="1"/>
    <col min="6" max="6" width="15.28515625" style="515" customWidth="1"/>
    <col min="7" max="7" width="13.5703125" style="515" customWidth="1"/>
    <col min="8" max="256" width="8.7109375" style="470"/>
    <col min="257" max="257" width="40.85546875" style="470" customWidth="1"/>
    <col min="258" max="259" width="5.7109375" style="470" customWidth="1"/>
    <col min="260" max="260" width="8.42578125" style="470" customWidth="1"/>
    <col min="261" max="261" width="13.5703125" style="470" customWidth="1"/>
    <col min="262" max="262" width="15.28515625" style="470" customWidth="1"/>
    <col min="263" max="263" width="13.5703125" style="470" customWidth="1"/>
    <col min="264" max="512" width="8.7109375" style="470"/>
    <col min="513" max="513" width="40.85546875" style="470" customWidth="1"/>
    <col min="514" max="515" width="5.7109375" style="470" customWidth="1"/>
    <col min="516" max="516" width="8.42578125" style="470" customWidth="1"/>
    <col min="517" max="517" width="13.5703125" style="470" customWidth="1"/>
    <col min="518" max="518" width="15.28515625" style="470" customWidth="1"/>
    <col min="519" max="519" width="13.5703125" style="470" customWidth="1"/>
    <col min="520" max="768" width="8.7109375" style="470"/>
    <col min="769" max="769" width="40.85546875" style="470" customWidth="1"/>
    <col min="770" max="771" width="5.7109375" style="470" customWidth="1"/>
    <col min="772" max="772" width="8.42578125" style="470" customWidth="1"/>
    <col min="773" max="773" width="13.5703125" style="470" customWidth="1"/>
    <col min="774" max="774" width="15.28515625" style="470" customWidth="1"/>
    <col min="775" max="775" width="13.5703125" style="470" customWidth="1"/>
    <col min="776" max="1024" width="8.7109375" style="470"/>
    <col min="1025" max="1025" width="40.85546875" style="470" customWidth="1"/>
    <col min="1026" max="1027" width="5.7109375" style="470" customWidth="1"/>
    <col min="1028" max="1028" width="8.42578125" style="470" customWidth="1"/>
    <col min="1029" max="1029" width="13.5703125" style="470" customWidth="1"/>
    <col min="1030" max="1030" width="15.28515625" style="470" customWidth="1"/>
    <col min="1031" max="1031" width="13.5703125" style="470" customWidth="1"/>
    <col min="1032" max="1280" width="8.7109375" style="470"/>
    <col min="1281" max="1281" width="40.85546875" style="470" customWidth="1"/>
    <col min="1282" max="1283" width="5.7109375" style="470" customWidth="1"/>
    <col min="1284" max="1284" width="8.42578125" style="470" customWidth="1"/>
    <col min="1285" max="1285" width="13.5703125" style="470" customWidth="1"/>
    <col min="1286" max="1286" width="15.28515625" style="470" customWidth="1"/>
    <col min="1287" max="1287" width="13.5703125" style="470" customWidth="1"/>
    <col min="1288" max="1536" width="8.7109375" style="470"/>
    <col min="1537" max="1537" width="40.85546875" style="470" customWidth="1"/>
    <col min="1538" max="1539" width="5.7109375" style="470" customWidth="1"/>
    <col min="1540" max="1540" width="8.42578125" style="470" customWidth="1"/>
    <col min="1541" max="1541" width="13.5703125" style="470" customWidth="1"/>
    <col min="1542" max="1542" width="15.28515625" style="470" customWidth="1"/>
    <col min="1543" max="1543" width="13.5703125" style="470" customWidth="1"/>
    <col min="1544" max="1792" width="8.7109375" style="470"/>
    <col min="1793" max="1793" width="40.85546875" style="470" customWidth="1"/>
    <col min="1794" max="1795" width="5.7109375" style="470" customWidth="1"/>
    <col min="1796" max="1796" width="8.42578125" style="470" customWidth="1"/>
    <col min="1797" max="1797" width="13.5703125" style="470" customWidth="1"/>
    <col min="1798" max="1798" width="15.28515625" style="470" customWidth="1"/>
    <col min="1799" max="1799" width="13.5703125" style="470" customWidth="1"/>
    <col min="1800" max="2048" width="8.7109375" style="470"/>
    <col min="2049" max="2049" width="40.85546875" style="470" customWidth="1"/>
    <col min="2050" max="2051" width="5.7109375" style="470" customWidth="1"/>
    <col min="2052" max="2052" width="8.42578125" style="470" customWidth="1"/>
    <col min="2053" max="2053" width="13.5703125" style="470" customWidth="1"/>
    <col min="2054" max="2054" width="15.28515625" style="470" customWidth="1"/>
    <col min="2055" max="2055" width="13.5703125" style="470" customWidth="1"/>
    <col min="2056" max="2304" width="8.7109375" style="470"/>
    <col min="2305" max="2305" width="40.85546875" style="470" customWidth="1"/>
    <col min="2306" max="2307" width="5.7109375" style="470" customWidth="1"/>
    <col min="2308" max="2308" width="8.42578125" style="470" customWidth="1"/>
    <col min="2309" max="2309" width="13.5703125" style="470" customWidth="1"/>
    <col min="2310" max="2310" width="15.28515625" style="470" customWidth="1"/>
    <col min="2311" max="2311" width="13.5703125" style="470" customWidth="1"/>
    <col min="2312" max="2560" width="8.7109375" style="470"/>
    <col min="2561" max="2561" width="40.85546875" style="470" customWidth="1"/>
    <col min="2562" max="2563" width="5.7109375" style="470" customWidth="1"/>
    <col min="2564" max="2564" width="8.42578125" style="470" customWidth="1"/>
    <col min="2565" max="2565" width="13.5703125" style="470" customWidth="1"/>
    <col min="2566" max="2566" width="15.28515625" style="470" customWidth="1"/>
    <col min="2567" max="2567" width="13.5703125" style="470" customWidth="1"/>
    <col min="2568" max="2816" width="8.7109375" style="470"/>
    <col min="2817" max="2817" width="40.85546875" style="470" customWidth="1"/>
    <col min="2818" max="2819" width="5.7109375" style="470" customWidth="1"/>
    <col min="2820" max="2820" width="8.42578125" style="470" customWidth="1"/>
    <col min="2821" max="2821" width="13.5703125" style="470" customWidth="1"/>
    <col min="2822" max="2822" width="15.28515625" style="470" customWidth="1"/>
    <col min="2823" max="2823" width="13.5703125" style="470" customWidth="1"/>
    <col min="2824" max="3072" width="8.7109375" style="470"/>
    <col min="3073" max="3073" width="40.85546875" style="470" customWidth="1"/>
    <col min="3074" max="3075" width="5.7109375" style="470" customWidth="1"/>
    <col min="3076" max="3076" width="8.42578125" style="470" customWidth="1"/>
    <col min="3077" max="3077" width="13.5703125" style="470" customWidth="1"/>
    <col min="3078" max="3078" width="15.28515625" style="470" customWidth="1"/>
    <col min="3079" max="3079" width="13.5703125" style="470" customWidth="1"/>
    <col min="3080" max="3328" width="8.7109375" style="470"/>
    <col min="3329" max="3329" width="40.85546875" style="470" customWidth="1"/>
    <col min="3330" max="3331" width="5.7109375" style="470" customWidth="1"/>
    <col min="3332" max="3332" width="8.42578125" style="470" customWidth="1"/>
    <col min="3333" max="3333" width="13.5703125" style="470" customWidth="1"/>
    <col min="3334" max="3334" width="15.28515625" style="470" customWidth="1"/>
    <col min="3335" max="3335" width="13.5703125" style="470" customWidth="1"/>
    <col min="3336" max="3584" width="8.7109375" style="470"/>
    <col min="3585" max="3585" width="40.85546875" style="470" customWidth="1"/>
    <col min="3586" max="3587" width="5.7109375" style="470" customWidth="1"/>
    <col min="3588" max="3588" width="8.42578125" style="470" customWidth="1"/>
    <col min="3589" max="3589" width="13.5703125" style="470" customWidth="1"/>
    <col min="3590" max="3590" width="15.28515625" style="470" customWidth="1"/>
    <col min="3591" max="3591" width="13.5703125" style="470" customWidth="1"/>
    <col min="3592" max="3840" width="8.7109375" style="470"/>
    <col min="3841" max="3841" width="40.85546875" style="470" customWidth="1"/>
    <col min="3842" max="3843" width="5.7109375" style="470" customWidth="1"/>
    <col min="3844" max="3844" width="8.42578125" style="470" customWidth="1"/>
    <col min="3845" max="3845" width="13.5703125" style="470" customWidth="1"/>
    <col min="3846" max="3846" width="15.28515625" style="470" customWidth="1"/>
    <col min="3847" max="3847" width="13.5703125" style="470" customWidth="1"/>
    <col min="3848" max="4096" width="8.7109375" style="470"/>
    <col min="4097" max="4097" width="40.85546875" style="470" customWidth="1"/>
    <col min="4098" max="4099" width="5.7109375" style="470" customWidth="1"/>
    <col min="4100" max="4100" width="8.42578125" style="470" customWidth="1"/>
    <col min="4101" max="4101" width="13.5703125" style="470" customWidth="1"/>
    <col min="4102" max="4102" width="15.28515625" style="470" customWidth="1"/>
    <col min="4103" max="4103" width="13.5703125" style="470" customWidth="1"/>
    <col min="4104" max="4352" width="8.7109375" style="470"/>
    <col min="4353" max="4353" width="40.85546875" style="470" customWidth="1"/>
    <col min="4354" max="4355" width="5.7109375" style="470" customWidth="1"/>
    <col min="4356" max="4356" width="8.42578125" style="470" customWidth="1"/>
    <col min="4357" max="4357" width="13.5703125" style="470" customWidth="1"/>
    <col min="4358" max="4358" width="15.28515625" style="470" customWidth="1"/>
    <col min="4359" max="4359" width="13.5703125" style="470" customWidth="1"/>
    <col min="4360" max="4608" width="8.7109375" style="470"/>
    <col min="4609" max="4609" width="40.85546875" style="470" customWidth="1"/>
    <col min="4610" max="4611" width="5.7109375" style="470" customWidth="1"/>
    <col min="4612" max="4612" width="8.42578125" style="470" customWidth="1"/>
    <col min="4613" max="4613" width="13.5703125" style="470" customWidth="1"/>
    <col min="4614" max="4614" width="15.28515625" style="470" customWidth="1"/>
    <col min="4615" max="4615" width="13.5703125" style="470" customWidth="1"/>
    <col min="4616" max="4864" width="8.7109375" style="470"/>
    <col min="4865" max="4865" width="40.85546875" style="470" customWidth="1"/>
    <col min="4866" max="4867" width="5.7109375" style="470" customWidth="1"/>
    <col min="4868" max="4868" width="8.42578125" style="470" customWidth="1"/>
    <col min="4869" max="4869" width="13.5703125" style="470" customWidth="1"/>
    <col min="4870" max="4870" width="15.28515625" style="470" customWidth="1"/>
    <col min="4871" max="4871" width="13.5703125" style="470" customWidth="1"/>
    <col min="4872" max="5120" width="8.7109375" style="470"/>
    <col min="5121" max="5121" width="40.85546875" style="470" customWidth="1"/>
    <col min="5122" max="5123" width="5.7109375" style="470" customWidth="1"/>
    <col min="5124" max="5124" width="8.42578125" style="470" customWidth="1"/>
    <col min="5125" max="5125" width="13.5703125" style="470" customWidth="1"/>
    <col min="5126" max="5126" width="15.28515625" style="470" customWidth="1"/>
    <col min="5127" max="5127" width="13.5703125" style="470" customWidth="1"/>
    <col min="5128" max="5376" width="8.7109375" style="470"/>
    <col min="5377" max="5377" width="40.85546875" style="470" customWidth="1"/>
    <col min="5378" max="5379" width="5.7109375" style="470" customWidth="1"/>
    <col min="5380" max="5380" width="8.42578125" style="470" customWidth="1"/>
    <col min="5381" max="5381" width="13.5703125" style="470" customWidth="1"/>
    <col min="5382" max="5382" width="15.28515625" style="470" customWidth="1"/>
    <col min="5383" max="5383" width="13.5703125" style="470" customWidth="1"/>
    <col min="5384" max="5632" width="8.7109375" style="470"/>
    <col min="5633" max="5633" width="40.85546875" style="470" customWidth="1"/>
    <col min="5634" max="5635" width="5.7109375" style="470" customWidth="1"/>
    <col min="5636" max="5636" width="8.42578125" style="470" customWidth="1"/>
    <col min="5637" max="5637" width="13.5703125" style="470" customWidth="1"/>
    <col min="5638" max="5638" width="15.28515625" style="470" customWidth="1"/>
    <col min="5639" max="5639" width="13.5703125" style="470" customWidth="1"/>
    <col min="5640" max="5888" width="8.7109375" style="470"/>
    <col min="5889" max="5889" width="40.85546875" style="470" customWidth="1"/>
    <col min="5890" max="5891" width="5.7109375" style="470" customWidth="1"/>
    <col min="5892" max="5892" width="8.42578125" style="470" customWidth="1"/>
    <col min="5893" max="5893" width="13.5703125" style="470" customWidth="1"/>
    <col min="5894" max="5894" width="15.28515625" style="470" customWidth="1"/>
    <col min="5895" max="5895" width="13.5703125" style="470" customWidth="1"/>
    <col min="5896" max="6144" width="8.7109375" style="470"/>
    <col min="6145" max="6145" width="40.85546875" style="470" customWidth="1"/>
    <col min="6146" max="6147" width="5.7109375" style="470" customWidth="1"/>
    <col min="6148" max="6148" width="8.42578125" style="470" customWidth="1"/>
    <col min="6149" max="6149" width="13.5703125" style="470" customWidth="1"/>
    <col min="6150" max="6150" width="15.28515625" style="470" customWidth="1"/>
    <col min="6151" max="6151" width="13.5703125" style="470" customWidth="1"/>
    <col min="6152" max="6400" width="8.7109375" style="470"/>
    <col min="6401" max="6401" width="40.85546875" style="470" customWidth="1"/>
    <col min="6402" max="6403" width="5.7109375" style="470" customWidth="1"/>
    <col min="6404" max="6404" width="8.42578125" style="470" customWidth="1"/>
    <col min="6405" max="6405" width="13.5703125" style="470" customWidth="1"/>
    <col min="6406" max="6406" width="15.28515625" style="470" customWidth="1"/>
    <col min="6407" max="6407" width="13.5703125" style="470" customWidth="1"/>
    <col min="6408" max="6656" width="8.7109375" style="470"/>
    <col min="6657" max="6657" width="40.85546875" style="470" customWidth="1"/>
    <col min="6658" max="6659" width="5.7109375" style="470" customWidth="1"/>
    <col min="6660" max="6660" width="8.42578125" style="470" customWidth="1"/>
    <col min="6661" max="6661" width="13.5703125" style="470" customWidth="1"/>
    <col min="6662" max="6662" width="15.28515625" style="470" customWidth="1"/>
    <col min="6663" max="6663" width="13.5703125" style="470" customWidth="1"/>
    <col min="6664" max="6912" width="8.7109375" style="470"/>
    <col min="6913" max="6913" width="40.85546875" style="470" customWidth="1"/>
    <col min="6914" max="6915" width="5.7109375" style="470" customWidth="1"/>
    <col min="6916" max="6916" width="8.42578125" style="470" customWidth="1"/>
    <col min="6917" max="6917" width="13.5703125" style="470" customWidth="1"/>
    <col min="6918" max="6918" width="15.28515625" style="470" customWidth="1"/>
    <col min="6919" max="6919" width="13.5703125" style="470" customWidth="1"/>
    <col min="6920" max="7168" width="8.7109375" style="470"/>
    <col min="7169" max="7169" width="40.85546875" style="470" customWidth="1"/>
    <col min="7170" max="7171" width="5.7109375" style="470" customWidth="1"/>
    <col min="7172" max="7172" width="8.42578125" style="470" customWidth="1"/>
    <col min="7173" max="7173" width="13.5703125" style="470" customWidth="1"/>
    <col min="7174" max="7174" width="15.28515625" style="470" customWidth="1"/>
    <col min="7175" max="7175" width="13.5703125" style="470" customWidth="1"/>
    <col min="7176" max="7424" width="8.7109375" style="470"/>
    <col min="7425" max="7425" width="40.85546875" style="470" customWidth="1"/>
    <col min="7426" max="7427" width="5.7109375" style="470" customWidth="1"/>
    <col min="7428" max="7428" width="8.42578125" style="470" customWidth="1"/>
    <col min="7429" max="7429" width="13.5703125" style="470" customWidth="1"/>
    <col min="7430" max="7430" width="15.28515625" style="470" customWidth="1"/>
    <col min="7431" max="7431" width="13.5703125" style="470" customWidth="1"/>
    <col min="7432" max="7680" width="8.7109375" style="470"/>
    <col min="7681" max="7681" width="40.85546875" style="470" customWidth="1"/>
    <col min="7682" max="7683" width="5.7109375" style="470" customWidth="1"/>
    <col min="7684" max="7684" width="8.42578125" style="470" customWidth="1"/>
    <col min="7685" max="7685" width="13.5703125" style="470" customWidth="1"/>
    <col min="7686" max="7686" width="15.28515625" style="470" customWidth="1"/>
    <col min="7687" max="7687" width="13.5703125" style="470" customWidth="1"/>
    <col min="7688" max="7936" width="8.7109375" style="470"/>
    <col min="7937" max="7937" width="40.85546875" style="470" customWidth="1"/>
    <col min="7938" max="7939" width="5.7109375" style="470" customWidth="1"/>
    <col min="7940" max="7940" width="8.42578125" style="470" customWidth="1"/>
    <col min="7941" max="7941" width="13.5703125" style="470" customWidth="1"/>
    <col min="7942" max="7942" width="15.28515625" style="470" customWidth="1"/>
    <col min="7943" max="7943" width="13.5703125" style="470" customWidth="1"/>
    <col min="7944" max="8192" width="8.7109375" style="470"/>
    <col min="8193" max="8193" width="40.85546875" style="470" customWidth="1"/>
    <col min="8194" max="8195" width="5.7109375" style="470" customWidth="1"/>
    <col min="8196" max="8196" width="8.42578125" style="470" customWidth="1"/>
    <col min="8197" max="8197" width="13.5703125" style="470" customWidth="1"/>
    <col min="8198" max="8198" width="15.28515625" style="470" customWidth="1"/>
    <col min="8199" max="8199" width="13.5703125" style="470" customWidth="1"/>
    <col min="8200" max="8448" width="8.7109375" style="470"/>
    <col min="8449" max="8449" width="40.85546875" style="470" customWidth="1"/>
    <col min="8450" max="8451" width="5.7109375" style="470" customWidth="1"/>
    <col min="8452" max="8452" width="8.42578125" style="470" customWidth="1"/>
    <col min="8453" max="8453" width="13.5703125" style="470" customWidth="1"/>
    <col min="8454" max="8454" width="15.28515625" style="470" customWidth="1"/>
    <col min="8455" max="8455" width="13.5703125" style="470" customWidth="1"/>
    <col min="8456" max="8704" width="8.7109375" style="470"/>
    <col min="8705" max="8705" width="40.85546875" style="470" customWidth="1"/>
    <col min="8706" max="8707" width="5.7109375" style="470" customWidth="1"/>
    <col min="8708" max="8708" width="8.42578125" style="470" customWidth="1"/>
    <col min="8709" max="8709" width="13.5703125" style="470" customWidth="1"/>
    <col min="8710" max="8710" width="15.28515625" style="470" customWidth="1"/>
    <col min="8711" max="8711" width="13.5703125" style="470" customWidth="1"/>
    <col min="8712" max="8960" width="8.7109375" style="470"/>
    <col min="8961" max="8961" width="40.85546875" style="470" customWidth="1"/>
    <col min="8962" max="8963" width="5.7109375" style="470" customWidth="1"/>
    <col min="8964" max="8964" width="8.42578125" style="470" customWidth="1"/>
    <col min="8965" max="8965" width="13.5703125" style="470" customWidth="1"/>
    <col min="8966" max="8966" width="15.28515625" style="470" customWidth="1"/>
    <col min="8967" max="8967" width="13.5703125" style="470" customWidth="1"/>
    <col min="8968" max="9216" width="8.7109375" style="470"/>
    <col min="9217" max="9217" width="40.85546875" style="470" customWidth="1"/>
    <col min="9218" max="9219" width="5.7109375" style="470" customWidth="1"/>
    <col min="9220" max="9220" width="8.42578125" style="470" customWidth="1"/>
    <col min="9221" max="9221" width="13.5703125" style="470" customWidth="1"/>
    <col min="9222" max="9222" width="15.28515625" style="470" customWidth="1"/>
    <col min="9223" max="9223" width="13.5703125" style="470" customWidth="1"/>
    <col min="9224" max="9472" width="8.7109375" style="470"/>
    <col min="9473" max="9473" width="40.85546875" style="470" customWidth="1"/>
    <col min="9474" max="9475" width="5.7109375" style="470" customWidth="1"/>
    <col min="9476" max="9476" width="8.42578125" style="470" customWidth="1"/>
    <col min="9477" max="9477" width="13.5703125" style="470" customWidth="1"/>
    <col min="9478" max="9478" width="15.28515625" style="470" customWidth="1"/>
    <col min="9479" max="9479" width="13.5703125" style="470" customWidth="1"/>
    <col min="9480" max="9728" width="8.7109375" style="470"/>
    <col min="9729" max="9729" width="40.85546875" style="470" customWidth="1"/>
    <col min="9730" max="9731" width="5.7109375" style="470" customWidth="1"/>
    <col min="9732" max="9732" width="8.42578125" style="470" customWidth="1"/>
    <col min="9733" max="9733" width="13.5703125" style="470" customWidth="1"/>
    <col min="9734" max="9734" width="15.28515625" style="470" customWidth="1"/>
    <col min="9735" max="9735" width="13.5703125" style="470" customWidth="1"/>
    <col min="9736" max="9984" width="8.7109375" style="470"/>
    <col min="9985" max="9985" width="40.85546875" style="470" customWidth="1"/>
    <col min="9986" max="9987" width="5.7109375" style="470" customWidth="1"/>
    <col min="9988" max="9988" width="8.42578125" style="470" customWidth="1"/>
    <col min="9989" max="9989" width="13.5703125" style="470" customWidth="1"/>
    <col min="9990" max="9990" width="15.28515625" style="470" customWidth="1"/>
    <col min="9991" max="9991" width="13.5703125" style="470" customWidth="1"/>
    <col min="9992" max="10240" width="8.7109375" style="470"/>
    <col min="10241" max="10241" width="40.85546875" style="470" customWidth="1"/>
    <col min="10242" max="10243" width="5.7109375" style="470" customWidth="1"/>
    <col min="10244" max="10244" width="8.42578125" style="470" customWidth="1"/>
    <col min="10245" max="10245" width="13.5703125" style="470" customWidth="1"/>
    <col min="10246" max="10246" width="15.28515625" style="470" customWidth="1"/>
    <col min="10247" max="10247" width="13.5703125" style="470" customWidth="1"/>
    <col min="10248" max="10496" width="8.7109375" style="470"/>
    <col min="10497" max="10497" width="40.85546875" style="470" customWidth="1"/>
    <col min="10498" max="10499" width="5.7109375" style="470" customWidth="1"/>
    <col min="10500" max="10500" width="8.42578125" style="470" customWidth="1"/>
    <col min="10501" max="10501" width="13.5703125" style="470" customWidth="1"/>
    <col min="10502" max="10502" width="15.28515625" style="470" customWidth="1"/>
    <col min="10503" max="10503" width="13.5703125" style="470" customWidth="1"/>
    <col min="10504" max="10752" width="8.7109375" style="470"/>
    <col min="10753" max="10753" width="40.85546875" style="470" customWidth="1"/>
    <col min="10754" max="10755" width="5.7109375" style="470" customWidth="1"/>
    <col min="10756" max="10756" width="8.42578125" style="470" customWidth="1"/>
    <col min="10757" max="10757" width="13.5703125" style="470" customWidth="1"/>
    <col min="10758" max="10758" width="15.28515625" style="470" customWidth="1"/>
    <col min="10759" max="10759" width="13.5703125" style="470" customWidth="1"/>
    <col min="10760" max="11008" width="8.7109375" style="470"/>
    <col min="11009" max="11009" width="40.85546875" style="470" customWidth="1"/>
    <col min="11010" max="11011" width="5.7109375" style="470" customWidth="1"/>
    <col min="11012" max="11012" width="8.42578125" style="470" customWidth="1"/>
    <col min="11013" max="11013" width="13.5703125" style="470" customWidth="1"/>
    <col min="11014" max="11014" width="15.28515625" style="470" customWidth="1"/>
    <col min="11015" max="11015" width="13.5703125" style="470" customWidth="1"/>
    <col min="11016" max="11264" width="8.7109375" style="470"/>
    <col min="11265" max="11265" width="40.85546875" style="470" customWidth="1"/>
    <col min="11266" max="11267" width="5.7109375" style="470" customWidth="1"/>
    <col min="11268" max="11268" width="8.42578125" style="470" customWidth="1"/>
    <col min="11269" max="11269" width="13.5703125" style="470" customWidth="1"/>
    <col min="11270" max="11270" width="15.28515625" style="470" customWidth="1"/>
    <col min="11271" max="11271" width="13.5703125" style="470" customWidth="1"/>
    <col min="11272" max="11520" width="8.7109375" style="470"/>
    <col min="11521" max="11521" width="40.85546875" style="470" customWidth="1"/>
    <col min="11522" max="11523" width="5.7109375" style="470" customWidth="1"/>
    <col min="11524" max="11524" width="8.42578125" style="470" customWidth="1"/>
    <col min="11525" max="11525" width="13.5703125" style="470" customWidth="1"/>
    <col min="11526" max="11526" width="15.28515625" style="470" customWidth="1"/>
    <col min="11527" max="11527" width="13.5703125" style="470" customWidth="1"/>
    <col min="11528" max="11776" width="8.7109375" style="470"/>
    <col min="11777" max="11777" width="40.85546875" style="470" customWidth="1"/>
    <col min="11778" max="11779" width="5.7109375" style="470" customWidth="1"/>
    <col min="11780" max="11780" width="8.42578125" style="470" customWidth="1"/>
    <col min="11781" max="11781" width="13.5703125" style="470" customWidth="1"/>
    <col min="11782" max="11782" width="15.28515625" style="470" customWidth="1"/>
    <col min="11783" max="11783" width="13.5703125" style="470" customWidth="1"/>
    <col min="11784" max="12032" width="8.7109375" style="470"/>
    <col min="12033" max="12033" width="40.85546875" style="470" customWidth="1"/>
    <col min="12034" max="12035" width="5.7109375" style="470" customWidth="1"/>
    <col min="12036" max="12036" width="8.42578125" style="470" customWidth="1"/>
    <col min="12037" max="12037" width="13.5703125" style="470" customWidth="1"/>
    <col min="12038" max="12038" width="15.28515625" style="470" customWidth="1"/>
    <col min="12039" max="12039" width="13.5703125" style="470" customWidth="1"/>
    <col min="12040" max="12288" width="8.7109375" style="470"/>
    <col min="12289" max="12289" width="40.85546875" style="470" customWidth="1"/>
    <col min="12290" max="12291" width="5.7109375" style="470" customWidth="1"/>
    <col min="12292" max="12292" width="8.42578125" style="470" customWidth="1"/>
    <col min="12293" max="12293" width="13.5703125" style="470" customWidth="1"/>
    <col min="12294" max="12294" width="15.28515625" style="470" customWidth="1"/>
    <col min="12295" max="12295" width="13.5703125" style="470" customWidth="1"/>
    <col min="12296" max="12544" width="8.7109375" style="470"/>
    <col min="12545" max="12545" width="40.85546875" style="470" customWidth="1"/>
    <col min="12546" max="12547" width="5.7109375" style="470" customWidth="1"/>
    <col min="12548" max="12548" width="8.42578125" style="470" customWidth="1"/>
    <col min="12549" max="12549" width="13.5703125" style="470" customWidth="1"/>
    <col min="12550" max="12550" width="15.28515625" style="470" customWidth="1"/>
    <col min="12551" max="12551" width="13.5703125" style="470" customWidth="1"/>
    <col min="12552" max="12800" width="8.7109375" style="470"/>
    <col min="12801" max="12801" width="40.85546875" style="470" customWidth="1"/>
    <col min="12802" max="12803" width="5.7109375" style="470" customWidth="1"/>
    <col min="12804" max="12804" width="8.42578125" style="470" customWidth="1"/>
    <col min="12805" max="12805" width="13.5703125" style="470" customWidth="1"/>
    <col min="12806" max="12806" width="15.28515625" style="470" customWidth="1"/>
    <col min="12807" max="12807" width="13.5703125" style="470" customWidth="1"/>
    <col min="12808" max="13056" width="8.7109375" style="470"/>
    <col min="13057" max="13057" width="40.85546875" style="470" customWidth="1"/>
    <col min="13058" max="13059" width="5.7109375" style="470" customWidth="1"/>
    <col min="13060" max="13060" width="8.42578125" style="470" customWidth="1"/>
    <col min="13061" max="13061" width="13.5703125" style="470" customWidth="1"/>
    <col min="13062" max="13062" width="15.28515625" style="470" customWidth="1"/>
    <col min="13063" max="13063" width="13.5703125" style="470" customWidth="1"/>
    <col min="13064" max="13312" width="8.7109375" style="470"/>
    <col min="13313" max="13313" width="40.85546875" style="470" customWidth="1"/>
    <col min="13314" max="13315" width="5.7109375" style="470" customWidth="1"/>
    <col min="13316" max="13316" width="8.42578125" style="470" customWidth="1"/>
    <col min="13317" max="13317" width="13.5703125" style="470" customWidth="1"/>
    <col min="13318" max="13318" width="15.28515625" style="470" customWidth="1"/>
    <col min="13319" max="13319" width="13.5703125" style="470" customWidth="1"/>
    <col min="13320" max="13568" width="8.7109375" style="470"/>
    <col min="13569" max="13569" width="40.85546875" style="470" customWidth="1"/>
    <col min="13570" max="13571" width="5.7109375" style="470" customWidth="1"/>
    <col min="13572" max="13572" width="8.42578125" style="470" customWidth="1"/>
    <col min="13573" max="13573" width="13.5703125" style="470" customWidth="1"/>
    <col min="13574" max="13574" width="15.28515625" style="470" customWidth="1"/>
    <col min="13575" max="13575" width="13.5703125" style="470" customWidth="1"/>
    <col min="13576" max="13824" width="8.7109375" style="470"/>
    <col min="13825" max="13825" width="40.85546875" style="470" customWidth="1"/>
    <col min="13826" max="13827" width="5.7109375" style="470" customWidth="1"/>
    <col min="13828" max="13828" width="8.42578125" style="470" customWidth="1"/>
    <col min="13829" max="13829" width="13.5703125" style="470" customWidth="1"/>
    <col min="13830" max="13830" width="15.28515625" style="470" customWidth="1"/>
    <col min="13831" max="13831" width="13.5703125" style="470" customWidth="1"/>
    <col min="13832" max="14080" width="8.7109375" style="470"/>
    <col min="14081" max="14081" width="40.85546875" style="470" customWidth="1"/>
    <col min="14082" max="14083" width="5.7109375" style="470" customWidth="1"/>
    <col min="14084" max="14084" width="8.42578125" style="470" customWidth="1"/>
    <col min="14085" max="14085" width="13.5703125" style="470" customWidth="1"/>
    <col min="14086" max="14086" width="15.28515625" style="470" customWidth="1"/>
    <col min="14087" max="14087" width="13.5703125" style="470" customWidth="1"/>
    <col min="14088" max="14336" width="8.7109375" style="470"/>
    <col min="14337" max="14337" width="40.85546875" style="470" customWidth="1"/>
    <col min="14338" max="14339" width="5.7109375" style="470" customWidth="1"/>
    <col min="14340" max="14340" width="8.42578125" style="470" customWidth="1"/>
    <col min="14341" max="14341" width="13.5703125" style="470" customWidth="1"/>
    <col min="14342" max="14342" width="15.28515625" style="470" customWidth="1"/>
    <col min="14343" max="14343" width="13.5703125" style="470" customWidth="1"/>
    <col min="14344" max="14592" width="8.7109375" style="470"/>
    <col min="14593" max="14593" width="40.85546875" style="470" customWidth="1"/>
    <col min="14594" max="14595" width="5.7109375" style="470" customWidth="1"/>
    <col min="14596" max="14596" width="8.42578125" style="470" customWidth="1"/>
    <col min="14597" max="14597" width="13.5703125" style="470" customWidth="1"/>
    <col min="14598" max="14598" width="15.28515625" style="470" customWidth="1"/>
    <col min="14599" max="14599" width="13.5703125" style="470" customWidth="1"/>
    <col min="14600" max="14848" width="8.7109375" style="470"/>
    <col min="14849" max="14849" width="40.85546875" style="470" customWidth="1"/>
    <col min="14850" max="14851" width="5.7109375" style="470" customWidth="1"/>
    <col min="14852" max="14852" width="8.42578125" style="470" customWidth="1"/>
    <col min="14853" max="14853" width="13.5703125" style="470" customWidth="1"/>
    <col min="14854" max="14854" width="15.28515625" style="470" customWidth="1"/>
    <col min="14855" max="14855" width="13.5703125" style="470" customWidth="1"/>
    <col min="14856" max="15104" width="8.7109375" style="470"/>
    <col min="15105" max="15105" width="40.85546875" style="470" customWidth="1"/>
    <col min="15106" max="15107" width="5.7109375" style="470" customWidth="1"/>
    <col min="15108" max="15108" width="8.42578125" style="470" customWidth="1"/>
    <col min="15109" max="15109" width="13.5703125" style="470" customWidth="1"/>
    <col min="15110" max="15110" width="15.28515625" style="470" customWidth="1"/>
    <col min="15111" max="15111" width="13.5703125" style="470" customWidth="1"/>
    <col min="15112" max="15360" width="8.7109375" style="470"/>
    <col min="15361" max="15361" width="40.85546875" style="470" customWidth="1"/>
    <col min="15362" max="15363" width="5.7109375" style="470" customWidth="1"/>
    <col min="15364" max="15364" width="8.42578125" style="470" customWidth="1"/>
    <col min="15365" max="15365" width="13.5703125" style="470" customWidth="1"/>
    <col min="15366" max="15366" width="15.28515625" style="470" customWidth="1"/>
    <col min="15367" max="15367" width="13.5703125" style="470" customWidth="1"/>
    <col min="15368" max="15616" width="8.7109375" style="470"/>
    <col min="15617" max="15617" width="40.85546875" style="470" customWidth="1"/>
    <col min="15618" max="15619" width="5.7109375" style="470" customWidth="1"/>
    <col min="15620" max="15620" width="8.42578125" style="470" customWidth="1"/>
    <col min="15621" max="15621" width="13.5703125" style="470" customWidth="1"/>
    <col min="15622" max="15622" width="15.28515625" style="470" customWidth="1"/>
    <col min="15623" max="15623" width="13.5703125" style="470" customWidth="1"/>
    <col min="15624" max="15872" width="8.7109375" style="470"/>
    <col min="15873" max="15873" width="40.85546875" style="470" customWidth="1"/>
    <col min="15874" max="15875" width="5.7109375" style="470" customWidth="1"/>
    <col min="15876" max="15876" width="8.42578125" style="470" customWidth="1"/>
    <col min="15877" max="15877" width="13.5703125" style="470" customWidth="1"/>
    <col min="15878" max="15878" width="15.28515625" style="470" customWidth="1"/>
    <col min="15879" max="15879" width="13.5703125" style="470" customWidth="1"/>
    <col min="15880" max="16128" width="8.7109375" style="470"/>
    <col min="16129" max="16129" width="40.85546875" style="470" customWidth="1"/>
    <col min="16130" max="16131" width="5.7109375" style="470" customWidth="1"/>
    <col min="16132" max="16132" width="8.42578125" style="470" customWidth="1"/>
    <col min="16133" max="16133" width="13.5703125" style="470" customWidth="1"/>
    <col min="16134" max="16134" width="15.28515625" style="470" customWidth="1"/>
    <col min="16135" max="16135" width="13.5703125" style="470" customWidth="1"/>
    <col min="16136" max="16384" width="8.7109375" style="470"/>
  </cols>
  <sheetData>
    <row r="1" spans="1:7" ht="53.25" x14ac:dyDescent="0.2">
      <c r="A1" s="562" t="s">
        <v>794</v>
      </c>
      <c r="B1" s="562"/>
      <c r="C1" s="562"/>
      <c r="D1" s="562"/>
      <c r="E1" s="563"/>
      <c r="F1" s="564"/>
      <c r="G1" s="564"/>
    </row>
    <row r="2" spans="1:7" ht="16.5" thickBot="1" x14ac:dyDescent="0.3">
      <c r="A2" s="566"/>
      <c r="B2" s="566"/>
      <c r="C2" s="566"/>
      <c r="D2" s="566"/>
      <c r="E2" s="470"/>
      <c r="F2" s="827"/>
      <c r="G2" s="1037"/>
    </row>
    <row r="3" spans="1:7" ht="51" customHeight="1" thickTop="1" x14ac:dyDescent="0.2">
      <c r="A3" s="1038"/>
      <c r="B3" s="1618" t="s">
        <v>519</v>
      </c>
      <c r="C3" s="1619"/>
      <c r="D3" s="1622" t="s">
        <v>795</v>
      </c>
      <c r="E3" s="1039" t="s">
        <v>796</v>
      </c>
      <c r="F3" s="1040" t="s">
        <v>797</v>
      </c>
      <c r="G3" s="1041" t="s">
        <v>798</v>
      </c>
    </row>
    <row r="4" spans="1:7" ht="15.75" customHeight="1" thickBot="1" x14ac:dyDescent="0.25">
      <c r="A4" s="1042" t="s">
        <v>799</v>
      </c>
      <c r="B4" s="1620"/>
      <c r="C4" s="1621"/>
      <c r="D4" s="1623"/>
      <c r="E4" s="1043" t="s">
        <v>800</v>
      </c>
      <c r="F4" s="1044" t="s">
        <v>567</v>
      </c>
      <c r="G4" s="1045" t="s">
        <v>801</v>
      </c>
    </row>
    <row r="5" spans="1:7" ht="12" customHeight="1" x14ac:dyDescent="0.2">
      <c r="A5" s="490" t="s">
        <v>472</v>
      </c>
      <c r="B5" s="605" t="s">
        <v>895</v>
      </c>
      <c r="C5" s="604" t="s">
        <v>875</v>
      </c>
      <c r="D5" s="1046" t="s">
        <v>251</v>
      </c>
      <c r="E5" s="1047" t="s">
        <v>307</v>
      </c>
      <c r="F5" s="605" t="s">
        <v>307</v>
      </c>
      <c r="G5" s="1048" t="s">
        <v>307</v>
      </c>
    </row>
    <row r="6" spans="1:7" ht="12" customHeight="1" x14ac:dyDescent="0.2">
      <c r="A6" s="497" t="s">
        <v>473</v>
      </c>
      <c r="B6" s="613" t="s">
        <v>895</v>
      </c>
      <c r="C6" s="612" t="s">
        <v>875</v>
      </c>
      <c r="D6" s="1049" t="s">
        <v>251</v>
      </c>
      <c r="E6" s="1050" t="s">
        <v>307</v>
      </c>
      <c r="F6" s="613" t="s">
        <v>307</v>
      </c>
      <c r="G6" s="1051" t="s">
        <v>307</v>
      </c>
    </row>
    <row r="7" spans="1:7" ht="12" customHeight="1" x14ac:dyDescent="0.2">
      <c r="A7" s="497" t="s">
        <v>474</v>
      </c>
      <c r="B7" s="613" t="s">
        <v>895</v>
      </c>
      <c r="C7" s="612" t="s">
        <v>875</v>
      </c>
      <c r="D7" s="1049" t="s">
        <v>251</v>
      </c>
      <c r="E7" s="1050" t="s">
        <v>307</v>
      </c>
      <c r="F7" s="613" t="s">
        <v>307</v>
      </c>
      <c r="G7" s="1051" t="s">
        <v>307</v>
      </c>
    </row>
    <row r="8" spans="1:7" ht="12" customHeight="1" x14ac:dyDescent="0.2">
      <c r="A8" s="497" t="s">
        <v>475</v>
      </c>
      <c r="B8" s="613" t="s">
        <v>895</v>
      </c>
      <c r="C8" s="612" t="s">
        <v>875</v>
      </c>
      <c r="D8" s="1049" t="s">
        <v>251</v>
      </c>
      <c r="E8" s="1050" t="s">
        <v>307</v>
      </c>
      <c r="F8" s="613" t="s">
        <v>307</v>
      </c>
      <c r="G8" s="1051" t="s">
        <v>307</v>
      </c>
    </row>
    <row r="9" spans="1:7" ht="12" customHeight="1" x14ac:dyDescent="0.2">
      <c r="A9" s="497" t="s">
        <v>476</v>
      </c>
      <c r="B9" s="613" t="s">
        <v>895</v>
      </c>
      <c r="C9" s="612" t="s">
        <v>875</v>
      </c>
      <c r="D9" s="1049" t="s">
        <v>251</v>
      </c>
      <c r="E9" s="1050" t="s">
        <v>307</v>
      </c>
      <c r="F9" s="613" t="s">
        <v>307</v>
      </c>
      <c r="G9" s="1051" t="s">
        <v>307</v>
      </c>
    </row>
    <row r="10" spans="1:7" ht="12" customHeight="1" x14ac:dyDescent="0.2">
      <c r="A10" s="497" t="s">
        <v>477</v>
      </c>
      <c r="B10" s="613" t="s">
        <v>895</v>
      </c>
      <c r="C10" s="612" t="s">
        <v>875</v>
      </c>
      <c r="D10" s="1049" t="s">
        <v>251</v>
      </c>
      <c r="E10" s="1050" t="s">
        <v>307</v>
      </c>
      <c r="F10" s="613" t="s">
        <v>307</v>
      </c>
      <c r="G10" s="1051" t="s">
        <v>307</v>
      </c>
    </row>
    <row r="11" spans="1:7" ht="12" customHeight="1" x14ac:dyDescent="0.2">
      <c r="A11" s="497" t="s">
        <v>200</v>
      </c>
      <c r="B11" s="613" t="s">
        <v>902</v>
      </c>
      <c r="C11" s="612" t="s">
        <v>903</v>
      </c>
      <c r="D11" s="1049" t="s">
        <v>249</v>
      </c>
      <c r="E11" s="1050">
        <v>0.13530106336945164</v>
      </c>
      <c r="F11" s="613">
        <v>18.475073313782989</v>
      </c>
      <c r="G11" s="1051">
        <v>49993.94130366834</v>
      </c>
    </row>
    <row r="12" spans="1:7" ht="12" customHeight="1" x14ac:dyDescent="0.2">
      <c r="A12" s="497" t="s">
        <v>478</v>
      </c>
      <c r="B12" s="613" t="s">
        <v>902</v>
      </c>
      <c r="C12" s="612" t="s">
        <v>903</v>
      </c>
      <c r="D12" s="1049" t="s">
        <v>249</v>
      </c>
      <c r="E12" s="1050">
        <v>1.4838152871030495E-4</v>
      </c>
      <c r="F12" s="613">
        <v>0.51319648093841652</v>
      </c>
      <c r="G12" s="1051">
        <v>1.5229775674078221</v>
      </c>
    </row>
    <row r="13" spans="1:7" ht="12" customHeight="1" x14ac:dyDescent="0.2">
      <c r="A13" s="497" t="s">
        <v>479</v>
      </c>
      <c r="B13" s="613" t="s">
        <v>906</v>
      </c>
      <c r="C13" s="612" t="s">
        <v>903</v>
      </c>
      <c r="D13" s="1049" t="s">
        <v>251</v>
      </c>
      <c r="E13" s="1050" t="s">
        <v>307</v>
      </c>
      <c r="F13" s="613" t="s">
        <v>307</v>
      </c>
      <c r="G13" s="1051" t="s">
        <v>307</v>
      </c>
    </row>
    <row r="14" spans="1:7" ht="12" customHeight="1" x14ac:dyDescent="0.2">
      <c r="A14" s="497" t="s">
        <v>480</v>
      </c>
      <c r="B14" s="613" t="s">
        <v>906</v>
      </c>
      <c r="C14" s="612" t="s">
        <v>903</v>
      </c>
      <c r="D14" s="1049" t="s">
        <v>251</v>
      </c>
      <c r="E14" s="1050" t="s">
        <v>307</v>
      </c>
      <c r="F14" s="613" t="s">
        <v>307</v>
      </c>
      <c r="G14" s="1051" t="s">
        <v>307</v>
      </c>
    </row>
    <row r="15" spans="1:7" ht="12" customHeight="1" x14ac:dyDescent="0.2">
      <c r="A15" s="497" t="s">
        <v>481</v>
      </c>
      <c r="B15" s="613" t="s">
        <v>906</v>
      </c>
      <c r="C15" s="612" t="s">
        <v>903</v>
      </c>
      <c r="D15" s="1049" t="s">
        <v>251</v>
      </c>
      <c r="E15" s="1050" t="s">
        <v>307</v>
      </c>
      <c r="F15" s="613" t="s">
        <v>307</v>
      </c>
      <c r="G15" s="1051" t="s">
        <v>307</v>
      </c>
    </row>
    <row r="16" spans="1:7" ht="12" customHeight="1" x14ac:dyDescent="0.2">
      <c r="A16" s="497" t="s">
        <v>482</v>
      </c>
      <c r="B16" s="613" t="s">
        <v>895</v>
      </c>
      <c r="C16" s="612" t="s">
        <v>875</v>
      </c>
      <c r="D16" s="1049" t="s">
        <v>251</v>
      </c>
      <c r="E16" s="1050" t="s">
        <v>307</v>
      </c>
      <c r="F16" s="613" t="s">
        <v>307</v>
      </c>
      <c r="G16" s="1051" t="s">
        <v>307</v>
      </c>
    </row>
    <row r="17" spans="1:7" ht="12" customHeight="1" x14ac:dyDescent="0.2">
      <c r="A17" s="497" t="s">
        <v>483</v>
      </c>
      <c r="B17" s="613" t="s">
        <v>895</v>
      </c>
      <c r="C17" s="612" t="s">
        <v>875</v>
      </c>
      <c r="D17" s="1049" t="s">
        <v>251</v>
      </c>
      <c r="E17" s="1050" t="s">
        <v>307</v>
      </c>
      <c r="F17" s="613" t="s">
        <v>307</v>
      </c>
      <c r="G17" s="1051" t="s">
        <v>307</v>
      </c>
    </row>
    <row r="18" spans="1:7" ht="12" customHeight="1" x14ac:dyDescent="0.2">
      <c r="A18" s="497" t="s">
        <v>484</v>
      </c>
      <c r="B18" s="613" t="s">
        <v>895</v>
      </c>
      <c r="C18" s="612" t="s">
        <v>875</v>
      </c>
      <c r="D18" s="1049" t="s">
        <v>251</v>
      </c>
      <c r="E18" s="1050" t="s">
        <v>307</v>
      </c>
      <c r="F18" s="613" t="s">
        <v>307</v>
      </c>
      <c r="G18" s="1051" t="s">
        <v>307</v>
      </c>
    </row>
    <row r="19" spans="1:7" ht="12" customHeight="1" x14ac:dyDescent="0.2">
      <c r="A19" s="497" t="s">
        <v>485</v>
      </c>
      <c r="B19" s="613" t="s">
        <v>895</v>
      </c>
      <c r="C19" s="612" t="s">
        <v>875</v>
      </c>
      <c r="D19" s="1049" t="s">
        <v>251</v>
      </c>
      <c r="E19" s="1050" t="s">
        <v>307</v>
      </c>
      <c r="F19" s="613" t="s">
        <v>307</v>
      </c>
      <c r="G19" s="1051" t="s">
        <v>307</v>
      </c>
    </row>
    <row r="20" spans="1:7" ht="12" customHeight="1" x14ac:dyDescent="0.2">
      <c r="A20" s="497" t="s">
        <v>486</v>
      </c>
      <c r="B20" s="613" t="s">
        <v>895</v>
      </c>
      <c r="C20" s="612" t="s">
        <v>875</v>
      </c>
      <c r="D20" s="1049" t="s">
        <v>251</v>
      </c>
      <c r="E20" s="1050" t="s">
        <v>307</v>
      </c>
      <c r="F20" s="613" t="s">
        <v>307</v>
      </c>
      <c r="G20" s="1051" t="s">
        <v>307</v>
      </c>
    </row>
    <row r="21" spans="1:7" ht="12" customHeight="1" x14ac:dyDescent="0.2">
      <c r="A21" s="497" t="s">
        <v>487</v>
      </c>
      <c r="B21" s="613" t="s">
        <v>895</v>
      </c>
      <c r="C21" s="612" t="s">
        <v>875</v>
      </c>
      <c r="D21" s="1049" t="s">
        <v>251</v>
      </c>
      <c r="E21" s="1050" t="s">
        <v>307</v>
      </c>
      <c r="F21" s="613" t="s">
        <v>307</v>
      </c>
      <c r="G21" s="1051" t="s">
        <v>307</v>
      </c>
    </row>
    <row r="22" spans="1:7" ht="12" customHeight="1" x14ac:dyDescent="0.2">
      <c r="A22" s="497" t="s">
        <v>488</v>
      </c>
      <c r="B22" s="613" t="s">
        <v>895</v>
      </c>
      <c r="C22" s="612" t="s">
        <v>875</v>
      </c>
      <c r="D22" s="1049" t="s">
        <v>251</v>
      </c>
      <c r="E22" s="1050" t="s">
        <v>307</v>
      </c>
      <c r="F22" s="613" t="s">
        <v>307</v>
      </c>
      <c r="G22" s="1051" t="s">
        <v>307</v>
      </c>
    </row>
    <row r="23" spans="1:7" ht="12" customHeight="1" x14ac:dyDescent="0.2">
      <c r="A23" s="497" t="s">
        <v>489</v>
      </c>
      <c r="B23" s="613" t="s">
        <v>895</v>
      </c>
      <c r="C23" s="612" t="s">
        <v>875</v>
      </c>
      <c r="D23" s="1049" t="s">
        <v>251</v>
      </c>
      <c r="E23" s="1050" t="s">
        <v>307</v>
      </c>
      <c r="F23" s="613" t="s">
        <v>307</v>
      </c>
      <c r="G23" s="1051" t="s">
        <v>307</v>
      </c>
    </row>
    <row r="24" spans="1:7" ht="12" customHeight="1" x14ac:dyDescent="0.2">
      <c r="A24" s="497" t="s">
        <v>490</v>
      </c>
      <c r="B24" s="613" t="s">
        <v>895</v>
      </c>
      <c r="C24" s="612" t="s">
        <v>875</v>
      </c>
      <c r="D24" s="1049" t="s">
        <v>251</v>
      </c>
      <c r="E24" s="1050" t="s">
        <v>307</v>
      </c>
      <c r="F24" s="613" t="s">
        <v>307</v>
      </c>
      <c r="G24" s="1051" t="s">
        <v>307</v>
      </c>
    </row>
    <row r="25" spans="1:7" ht="12" customHeight="1" x14ac:dyDescent="0.2">
      <c r="A25" s="497" t="s">
        <v>491</v>
      </c>
      <c r="B25" s="613" t="s">
        <v>895</v>
      </c>
      <c r="C25" s="612" t="s">
        <v>875</v>
      </c>
      <c r="D25" s="1049" t="s">
        <v>251</v>
      </c>
      <c r="E25" s="1050" t="s">
        <v>307</v>
      </c>
      <c r="F25" s="613" t="s">
        <v>307</v>
      </c>
      <c r="G25" s="1051" t="s">
        <v>307</v>
      </c>
    </row>
    <row r="26" spans="1:7" ht="12" customHeight="1" x14ac:dyDescent="0.2">
      <c r="A26" s="497" t="s">
        <v>492</v>
      </c>
      <c r="B26" s="613" t="s">
        <v>895</v>
      </c>
      <c r="C26" s="612" t="s">
        <v>875</v>
      </c>
      <c r="D26" s="1049" t="s">
        <v>251</v>
      </c>
      <c r="E26" s="1050" t="s">
        <v>307</v>
      </c>
      <c r="F26" s="613" t="s">
        <v>307</v>
      </c>
      <c r="G26" s="1051" t="s">
        <v>307</v>
      </c>
    </row>
    <row r="27" spans="1:7" ht="12" customHeight="1" x14ac:dyDescent="0.2">
      <c r="A27" s="497" t="s">
        <v>493</v>
      </c>
      <c r="B27" s="613" t="s">
        <v>895</v>
      </c>
      <c r="C27" s="612" t="s">
        <v>875</v>
      </c>
      <c r="D27" s="1049" t="s">
        <v>251</v>
      </c>
      <c r="E27" s="1050" t="s">
        <v>307</v>
      </c>
      <c r="F27" s="613" t="s">
        <v>307</v>
      </c>
      <c r="G27" s="1051" t="s">
        <v>307</v>
      </c>
    </row>
    <row r="28" spans="1:7" ht="12" customHeight="1" x14ac:dyDescent="0.2">
      <c r="A28" s="497" t="s">
        <v>494</v>
      </c>
      <c r="B28" s="613" t="s">
        <v>906</v>
      </c>
      <c r="C28" s="612" t="s">
        <v>903</v>
      </c>
      <c r="D28" s="1049" t="s">
        <v>251</v>
      </c>
      <c r="E28" s="1050" t="s">
        <v>307</v>
      </c>
      <c r="F28" s="613" t="s">
        <v>307</v>
      </c>
      <c r="G28" s="1051" t="s">
        <v>307</v>
      </c>
    </row>
    <row r="29" spans="1:7" ht="12" customHeight="1" x14ac:dyDescent="0.2">
      <c r="A29" s="497" t="s">
        <v>495</v>
      </c>
      <c r="B29" s="613" t="s">
        <v>895</v>
      </c>
      <c r="C29" s="612" t="s">
        <v>875</v>
      </c>
      <c r="D29" s="1049" t="s">
        <v>251</v>
      </c>
      <c r="E29" s="1050" t="s">
        <v>307</v>
      </c>
      <c r="F29" s="613" t="s">
        <v>307</v>
      </c>
      <c r="G29" s="1051" t="s">
        <v>307</v>
      </c>
    </row>
    <row r="30" spans="1:7" ht="12" customHeight="1" thickBot="1" x14ac:dyDescent="0.25">
      <c r="A30" s="507" t="s">
        <v>496</v>
      </c>
      <c r="B30" s="621" t="s">
        <v>895</v>
      </c>
      <c r="C30" s="620" t="s">
        <v>875</v>
      </c>
      <c r="D30" s="1052" t="s">
        <v>251</v>
      </c>
      <c r="E30" s="1053" t="s">
        <v>307</v>
      </c>
      <c r="F30" s="621" t="s">
        <v>307</v>
      </c>
      <c r="G30" s="1054" t="s">
        <v>307</v>
      </c>
    </row>
    <row r="31" spans="1:7" ht="12" thickTop="1" x14ac:dyDescent="0.2">
      <c r="A31" s="697" t="s">
        <v>238</v>
      </c>
      <c r="B31" s="848"/>
      <c r="C31" s="848"/>
      <c r="D31" s="848"/>
      <c r="E31" s="790"/>
      <c r="F31" s="559"/>
      <c r="G31" s="560"/>
    </row>
    <row r="32" spans="1:7" ht="46.5" customHeight="1" x14ac:dyDescent="0.2">
      <c r="A32" s="1522" t="s">
        <v>802</v>
      </c>
      <c r="B32" s="1523"/>
      <c r="C32" s="1523"/>
      <c r="D32" s="1523"/>
      <c r="E32" s="1523"/>
      <c r="F32" s="1523"/>
      <c r="G32" s="1524"/>
    </row>
    <row r="33" spans="1:7" ht="33.6" customHeight="1" x14ac:dyDescent="0.2">
      <c r="A33" s="1522" t="s">
        <v>803</v>
      </c>
      <c r="B33" s="1523"/>
      <c r="C33" s="1523"/>
      <c r="D33" s="1523"/>
      <c r="E33" s="1523"/>
      <c r="F33" s="1523"/>
      <c r="G33" s="1524"/>
    </row>
    <row r="34" spans="1:7" ht="12" customHeight="1" x14ac:dyDescent="0.2">
      <c r="A34" s="1522" t="s">
        <v>804</v>
      </c>
      <c r="B34" s="1538"/>
      <c r="C34" s="1538"/>
      <c r="D34" s="1538"/>
      <c r="E34" s="1523"/>
      <c r="F34" s="1523"/>
      <c r="G34" s="1524"/>
    </row>
    <row r="35" spans="1:7" ht="13.35" customHeight="1" x14ac:dyDescent="0.2">
      <c r="A35" s="1522"/>
      <c r="B35" s="1538"/>
      <c r="C35" s="1538"/>
      <c r="D35" s="1538"/>
      <c r="E35" s="1523"/>
      <c r="F35" s="1523"/>
      <c r="G35" s="1524"/>
    </row>
    <row r="36" spans="1:7" ht="13.35" customHeight="1" thickBot="1" x14ac:dyDescent="0.25">
      <c r="A36" s="1536"/>
      <c r="B36" s="1520"/>
      <c r="C36" s="1520"/>
      <c r="D36" s="1520"/>
      <c r="E36" s="1520"/>
      <c r="F36" s="1520"/>
      <c r="G36" s="1521"/>
    </row>
    <row r="37" spans="1:7" s="469" customFormat="1" ht="13.5" thickTop="1" x14ac:dyDescent="0.2">
      <c r="F37" s="626"/>
      <c r="G37" s="626"/>
    </row>
    <row r="38" spans="1:7" s="469" customFormat="1" ht="12.75" x14ac:dyDescent="0.2">
      <c r="F38" s="626"/>
      <c r="G38" s="626"/>
    </row>
    <row r="39" spans="1:7" s="469" customFormat="1" ht="12.75" x14ac:dyDescent="0.2">
      <c r="F39" s="626"/>
      <c r="G39" s="626"/>
    </row>
    <row r="40" spans="1:7" s="469" customFormat="1" ht="12.75" x14ac:dyDescent="0.2">
      <c r="F40" s="626"/>
      <c r="G40" s="626"/>
    </row>
    <row r="41" spans="1:7" s="469" customFormat="1" ht="12.75" x14ac:dyDescent="0.2">
      <c r="F41" s="626"/>
      <c r="G41" s="626"/>
    </row>
    <row r="42" spans="1:7" s="469" customFormat="1" ht="12.75" x14ac:dyDescent="0.2">
      <c r="F42" s="626"/>
      <c r="G42" s="626"/>
    </row>
    <row r="43" spans="1:7" s="469" customFormat="1" ht="12.75" x14ac:dyDescent="0.2">
      <c r="F43" s="626"/>
      <c r="G43" s="626"/>
    </row>
    <row r="44" spans="1:7" s="469" customFormat="1" ht="12.75" x14ac:dyDescent="0.2">
      <c r="F44" s="626"/>
      <c r="G44" s="626"/>
    </row>
    <row r="45" spans="1:7" s="469" customFormat="1" ht="12.75" x14ac:dyDescent="0.2">
      <c r="F45" s="626"/>
      <c r="G45" s="626"/>
    </row>
    <row r="46" spans="1:7" s="469" customFormat="1" ht="12.75" x14ac:dyDescent="0.2">
      <c r="F46" s="626"/>
      <c r="G46" s="626"/>
    </row>
    <row r="47" spans="1:7" s="469" customFormat="1" ht="12.75" x14ac:dyDescent="0.2">
      <c r="F47" s="626"/>
      <c r="G47" s="626"/>
    </row>
    <row r="48" spans="1:7" s="469" customFormat="1" ht="12.75" x14ac:dyDescent="0.2">
      <c r="F48" s="626"/>
      <c r="G48" s="626"/>
    </row>
    <row r="49" spans="6:7" s="469" customFormat="1" ht="12.75" x14ac:dyDescent="0.2">
      <c r="F49" s="626"/>
      <c r="G49" s="626"/>
    </row>
    <row r="50" spans="6:7" s="469" customFormat="1" ht="12.75" x14ac:dyDescent="0.2">
      <c r="F50" s="626"/>
      <c r="G50" s="626"/>
    </row>
    <row r="51" spans="6:7" s="469" customFormat="1" ht="12.75" x14ac:dyDescent="0.2">
      <c r="F51" s="626"/>
      <c r="G51" s="626"/>
    </row>
    <row r="52" spans="6:7" s="469" customFormat="1" ht="12.75" x14ac:dyDescent="0.2">
      <c r="F52" s="626"/>
      <c r="G52" s="626"/>
    </row>
    <row r="53" spans="6:7" s="469" customFormat="1" ht="12.75" x14ac:dyDescent="0.2">
      <c r="F53" s="626"/>
      <c r="G53" s="626"/>
    </row>
    <row r="54" spans="6:7" s="469" customFormat="1" ht="12.75" x14ac:dyDescent="0.2">
      <c r="F54" s="626"/>
      <c r="G54" s="626"/>
    </row>
    <row r="55" spans="6:7" s="469" customFormat="1" ht="12.75" x14ac:dyDescent="0.2">
      <c r="F55" s="626"/>
      <c r="G55" s="626"/>
    </row>
    <row r="56" spans="6:7" s="469" customFormat="1" ht="12.75" x14ac:dyDescent="0.2">
      <c r="F56" s="626"/>
      <c r="G56" s="626"/>
    </row>
    <row r="57" spans="6:7" s="469" customFormat="1" ht="12.75" x14ac:dyDescent="0.2">
      <c r="F57" s="626"/>
      <c r="G57" s="626"/>
    </row>
    <row r="58" spans="6:7" s="469" customFormat="1" ht="12.75" x14ac:dyDescent="0.2">
      <c r="F58" s="626"/>
      <c r="G58" s="626"/>
    </row>
    <row r="59" spans="6:7" s="469" customFormat="1" ht="12.75" x14ac:dyDescent="0.2">
      <c r="F59" s="626"/>
      <c r="G59" s="626"/>
    </row>
    <row r="60" spans="6:7" s="469" customFormat="1" ht="12.75" x14ac:dyDescent="0.2">
      <c r="F60" s="626"/>
      <c r="G60" s="626"/>
    </row>
    <row r="61" spans="6:7" s="469" customFormat="1" ht="12.75" x14ac:dyDescent="0.2">
      <c r="F61" s="626"/>
      <c r="G61" s="626"/>
    </row>
    <row r="62" spans="6:7" s="469" customFormat="1" ht="12.75" x14ac:dyDescent="0.2">
      <c r="F62" s="626"/>
      <c r="G62" s="626"/>
    </row>
    <row r="63" spans="6:7" s="469" customFormat="1" ht="12.75" x14ac:dyDescent="0.2">
      <c r="F63" s="626"/>
      <c r="G63" s="626"/>
    </row>
    <row r="64" spans="6:7" s="469" customFormat="1" ht="12.75" x14ac:dyDescent="0.2">
      <c r="F64" s="626"/>
      <c r="G64" s="626"/>
    </row>
    <row r="65" spans="6:7" s="469" customFormat="1" ht="12.75" x14ac:dyDescent="0.2">
      <c r="F65" s="626"/>
      <c r="G65" s="626"/>
    </row>
    <row r="66" spans="6:7" s="469" customFormat="1" ht="12.75" x14ac:dyDescent="0.2">
      <c r="F66" s="626"/>
      <c r="G66" s="626"/>
    </row>
    <row r="67" spans="6:7" s="469" customFormat="1" ht="12.75" x14ac:dyDescent="0.2">
      <c r="F67" s="626"/>
      <c r="G67" s="626"/>
    </row>
    <row r="68" spans="6:7" s="469" customFormat="1" ht="12.75" x14ac:dyDescent="0.2">
      <c r="F68" s="626"/>
      <c r="G68" s="626"/>
    </row>
    <row r="69" spans="6:7" s="469" customFormat="1" ht="12.75" x14ac:dyDescent="0.2">
      <c r="F69" s="626"/>
      <c r="G69" s="626"/>
    </row>
    <row r="70" spans="6:7" s="469" customFormat="1" ht="12.75" x14ac:dyDescent="0.2">
      <c r="F70" s="626"/>
      <c r="G70" s="626"/>
    </row>
    <row r="71" spans="6:7" s="469" customFormat="1" ht="12.75" x14ac:dyDescent="0.2">
      <c r="F71" s="626"/>
      <c r="G71" s="626"/>
    </row>
    <row r="72" spans="6:7" s="469" customFormat="1" ht="12.75" x14ac:dyDescent="0.2">
      <c r="F72" s="626"/>
      <c r="G72" s="626"/>
    </row>
    <row r="73" spans="6:7" s="469" customFormat="1" ht="12.75" x14ac:dyDescent="0.2">
      <c r="F73" s="626"/>
      <c r="G73" s="626"/>
    </row>
    <row r="74" spans="6:7" s="469" customFormat="1" ht="12.75" x14ac:dyDescent="0.2">
      <c r="F74" s="626"/>
      <c r="G74" s="626"/>
    </row>
    <row r="75" spans="6:7" s="469" customFormat="1" ht="12.75" x14ac:dyDescent="0.2">
      <c r="F75" s="626"/>
      <c r="G75" s="626"/>
    </row>
    <row r="76" spans="6:7" s="469" customFormat="1" ht="12.75" x14ac:dyDescent="0.2">
      <c r="F76" s="626"/>
      <c r="G76" s="626"/>
    </row>
    <row r="77" spans="6:7" s="469" customFormat="1" ht="12.75" x14ac:dyDescent="0.2">
      <c r="F77" s="626"/>
      <c r="G77" s="626"/>
    </row>
    <row r="78" spans="6:7" s="469" customFormat="1" ht="12.75" x14ac:dyDescent="0.2">
      <c r="F78" s="626"/>
      <c r="G78" s="626"/>
    </row>
    <row r="79" spans="6:7" s="469" customFormat="1" ht="12.75" x14ac:dyDescent="0.2">
      <c r="F79" s="626"/>
      <c r="G79" s="626"/>
    </row>
    <row r="80" spans="6:7" s="469" customFormat="1" ht="12.75" x14ac:dyDescent="0.2">
      <c r="F80" s="626"/>
      <c r="G80" s="626"/>
    </row>
    <row r="81" spans="6:7" s="469" customFormat="1" ht="12.75" x14ac:dyDescent="0.2">
      <c r="F81" s="626"/>
      <c r="G81" s="626"/>
    </row>
    <row r="82" spans="6:7" s="469" customFormat="1" ht="12.75" x14ac:dyDescent="0.2">
      <c r="F82" s="626"/>
      <c r="G82" s="626"/>
    </row>
    <row r="83" spans="6:7" s="469" customFormat="1" ht="12.75" x14ac:dyDescent="0.2">
      <c r="F83" s="626"/>
      <c r="G83" s="626"/>
    </row>
    <row r="84" spans="6:7" s="469" customFormat="1" ht="12.75" x14ac:dyDescent="0.2">
      <c r="F84" s="626"/>
      <c r="G84" s="626"/>
    </row>
    <row r="85" spans="6:7" s="469" customFormat="1" ht="12.75" x14ac:dyDescent="0.2">
      <c r="F85" s="626"/>
      <c r="G85" s="626"/>
    </row>
    <row r="86" spans="6:7" s="469" customFormat="1" ht="12.75" x14ac:dyDescent="0.2">
      <c r="F86" s="626"/>
      <c r="G86" s="626"/>
    </row>
    <row r="87" spans="6:7" s="469" customFormat="1" ht="12.75" x14ac:dyDescent="0.2">
      <c r="F87" s="626"/>
      <c r="G87" s="626"/>
    </row>
    <row r="88" spans="6:7" s="469" customFormat="1" ht="12.75" x14ac:dyDescent="0.2">
      <c r="F88" s="626"/>
      <c r="G88" s="626"/>
    </row>
    <row r="89" spans="6:7" s="469" customFormat="1" ht="12.75" x14ac:dyDescent="0.2">
      <c r="F89" s="626"/>
      <c r="G89" s="626"/>
    </row>
    <row r="90" spans="6:7" s="469" customFormat="1" ht="12.75" x14ac:dyDescent="0.2">
      <c r="F90" s="626"/>
      <c r="G90" s="626"/>
    </row>
    <row r="91" spans="6:7" s="469" customFormat="1" ht="12.75" x14ac:dyDescent="0.2">
      <c r="F91" s="626"/>
      <c r="G91" s="626"/>
    </row>
    <row r="92" spans="6:7" s="469" customFormat="1" ht="12.75" x14ac:dyDescent="0.2">
      <c r="F92" s="626"/>
      <c r="G92" s="626"/>
    </row>
    <row r="93" spans="6:7" s="469" customFormat="1" ht="12.75" x14ac:dyDescent="0.2">
      <c r="F93" s="626"/>
      <c r="G93" s="626"/>
    </row>
    <row r="94" spans="6:7" s="469" customFormat="1" ht="12.75" x14ac:dyDescent="0.2">
      <c r="F94" s="626"/>
      <c r="G94" s="626"/>
    </row>
    <row r="95" spans="6:7" s="469" customFormat="1" ht="12.75" x14ac:dyDescent="0.2">
      <c r="F95" s="626"/>
      <c r="G95" s="626"/>
    </row>
    <row r="96" spans="6:7" s="469" customFormat="1" ht="12.75" x14ac:dyDescent="0.2">
      <c r="F96" s="626"/>
      <c r="G96" s="626"/>
    </row>
    <row r="97" spans="6:7" s="469" customFormat="1" ht="12.75" x14ac:dyDescent="0.2">
      <c r="F97" s="626"/>
      <c r="G97" s="626"/>
    </row>
    <row r="98" spans="6:7" s="469" customFormat="1" ht="12.75" x14ac:dyDescent="0.2">
      <c r="F98" s="626"/>
      <c r="G98" s="626"/>
    </row>
    <row r="99" spans="6:7" s="469" customFormat="1" ht="12.75" x14ac:dyDescent="0.2">
      <c r="F99" s="626"/>
      <c r="G99" s="626"/>
    </row>
    <row r="100" spans="6:7" s="469" customFormat="1" ht="12.75" x14ac:dyDescent="0.2">
      <c r="F100" s="626"/>
      <c r="G100" s="626"/>
    </row>
    <row r="101" spans="6:7" s="469" customFormat="1" ht="12.75" x14ac:dyDescent="0.2">
      <c r="F101" s="626"/>
      <c r="G101" s="626"/>
    </row>
    <row r="102" spans="6:7" s="469" customFormat="1" ht="12.75" x14ac:dyDescent="0.2">
      <c r="F102" s="626"/>
      <c r="G102" s="626"/>
    </row>
    <row r="103" spans="6:7" s="469" customFormat="1" ht="12.75" x14ac:dyDescent="0.2">
      <c r="F103" s="626"/>
      <c r="G103" s="626"/>
    </row>
    <row r="104" spans="6:7" s="469" customFormat="1" ht="12.75" x14ac:dyDescent="0.2">
      <c r="F104" s="626"/>
      <c r="G104" s="626"/>
    </row>
    <row r="105" spans="6:7" s="469" customFormat="1" ht="12.75" x14ac:dyDescent="0.2">
      <c r="F105" s="626"/>
      <c r="G105" s="626"/>
    </row>
    <row r="106" spans="6:7" s="469" customFormat="1" ht="12.75" x14ac:dyDescent="0.2">
      <c r="F106" s="626"/>
      <c r="G106" s="626"/>
    </row>
    <row r="107" spans="6:7" s="469" customFormat="1" ht="12.75" x14ac:dyDescent="0.2">
      <c r="F107" s="626"/>
      <c r="G107" s="626"/>
    </row>
    <row r="108" spans="6:7" s="469" customFormat="1" ht="12.75" x14ac:dyDescent="0.2">
      <c r="F108" s="626"/>
      <c r="G108" s="626"/>
    </row>
    <row r="109" spans="6:7" s="469" customFormat="1" ht="12.75" x14ac:dyDescent="0.2">
      <c r="F109" s="626"/>
      <c r="G109" s="626"/>
    </row>
    <row r="110" spans="6:7" s="469" customFormat="1" ht="12.75" x14ac:dyDescent="0.2">
      <c r="F110" s="626"/>
      <c r="G110" s="626"/>
    </row>
    <row r="111" spans="6:7" s="469" customFormat="1" ht="12.75" x14ac:dyDescent="0.2">
      <c r="F111" s="626"/>
      <c r="G111" s="626"/>
    </row>
    <row r="112" spans="6:7" s="469" customFormat="1" ht="12.75" x14ac:dyDescent="0.2">
      <c r="F112" s="626"/>
      <c r="G112" s="626"/>
    </row>
    <row r="113" spans="6:7" s="469" customFormat="1" ht="12.75" x14ac:dyDescent="0.2">
      <c r="F113" s="626"/>
      <c r="G113" s="626"/>
    </row>
    <row r="114" spans="6:7" s="469" customFormat="1" ht="12.75" x14ac:dyDescent="0.2">
      <c r="F114" s="626"/>
      <c r="G114" s="626"/>
    </row>
    <row r="115" spans="6:7" s="469" customFormat="1" ht="12.75" x14ac:dyDescent="0.2">
      <c r="F115" s="626"/>
      <c r="G115" s="626"/>
    </row>
    <row r="116" spans="6:7" s="469" customFormat="1" ht="12.75" x14ac:dyDescent="0.2">
      <c r="F116" s="626"/>
      <c r="G116" s="626"/>
    </row>
    <row r="117" spans="6:7" s="469" customFormat="1" ht="12.75" x14ac:dyDescent="0.2">
      <c r="F117" s="626"/>
      <c r="G117" s="626"/>
    </row>
    <row r="118" spans="6:7" s="469" customFormat="1" ht="12.75" x14ac:dyDescent="0.2">
      <c r="F118" s="626"/>
      <c r="G118" s="626"/>
    </row>
    <row r="119" spans="6:7" s="469" customFormat="1" ht="12.75" x14ac:dyDescent="0.2">
      <c r="F119" s="626"/>
      <c r="G119" s="626"/>
    </row>
    <row r="120" spans="6:7" s="469" customFormat="1" ht="12.75" x14ac:dyDescent="0.2">
      <c r="F120" s="626"/>
      <c r="G120" s="626"/>
    </row>
    <row r="121" spans="6:7" s="469" customFormat="1" ht="12.75" x14ac:dyDescent="0.2">
      <c r="F121" s="626"/>
      <c r="G121" s="626"/>
    </row>
    <row r="122" spans="6:7" s="469" customFormat="1" ht="12.75" x14ac:dyDescent="0.2">
      <c r="F122" s="626"/>
      <c r="G122" s="626"/>
    </row>
    <row r="123" spans="6:7" s="469" customFormat="1" ht="12.75" x14ac:dyDescent="0.2">
      <c r="F123" s="626"/>
      <c r="G123" s="626"/>
    </row>
    <row r="124" spans="6:7" s="469" customFormat="1" ht="12.75" x14ac:dyDescent="0.2">
      <c r="F124" s="626"/>
      <c r="G124" s="626"/>
    </row>
    <row r="125" spans="6:7" s="469" customFormat="1" ht="12.75" x14ac:dyDescent="0.2">
      <c r="F125" s="626"/>
      <c r="G125" s="626"/>
    </row>
    <row r="126" spans="6:7" s="469" customFormat="1" ht="12.75" x14ac:dyDescent="0.2">
      <c r="F126" s="626"/>
      <c r="G126" s="626"/>
    </row>
    <row r="127" spans="6:7" s="469" customFormat="1" ht="12.75" x14ac:dyDescent="0.2">
      <c r="F127" s="626"/>
      <c r="G127" s="626"/>
    </row>
    <row r="128" spans="6:7" s="469" customFormat="1" ht="12.75" x14ac:dyDescent="0.2">
      <c r="F128" s="626"/>
      <c r="G128" s="626"/>
    </row>
    <row r="129" spans="6:7" s="469" customFormat="1" ht="12.75" x14ac:dyDescent="0.2">
      <c r="F129" s="626"/>
      <c r="G129" s="626"/>
    </row>
    <row r="130" spans="6:7" s="469" customFormat="1" ht="12.75" x14ac:dyDescent="0.2">
      <c r="F130" s="626"/>
      <c r="G130" s="626"/>
    </row>
    <row r="131" spans="6:7" s="469" customFormat="1" ht="12.75" x14ac:dyDescent="0.2">
      <c r="F131" s="626"/>
      <c r="G131" s="626"/>
    </row>
    <row r="132" spans="6:7" s="469" customFormat="1" ht="12.75" x14ac:dyDescent="0.2">
      <c r="F132" s="626"/>
      <c r="G132" s="626"/>
    </row>
    <row r="133" spans="6:7" s="469" customFormat="1" ht="12.75" x14ac:dyDescent="0.2">
      <c r="F133" s="626"/>
      <c r="G133" s="626"/>
    </row>
    <row r="134" spans="6:7" s="469" customFormat="1" ht="12.75" x14ac:dyDescent="0.2">
      <c r="F134" s="626"/>
      <c r="G134" s="626"/>
    </row>
    <row r="135" spans="6:7" s="469" customFormat="1" ht="12.75" x14ac:dyDescent="0.2">
      <c r="F135" s="626"/>
      <c r="G135" s="626"/>
    </row>
    <row r="136" spans="6:7" s="469" customFormat="1" ht="12.75" x14ac:dyDescent="0.2">
      <c r="F136" s="626"/>
      <c r="G136" s="626"/>
    </row>
    <row r="137" spans="6:7" s="469" customFormat="1" ht="12.75" x14ac:dyDescent="0.2">
      <c r="F137" s="626"/>
      <c r="G137" s="626"/>
    </row>
    <row r="138" spans="6:7" s="469" customFormat="1" ht="12.75" x14ac:dyDescent="0.2">
      <c r="F138" s="626"/>
      <c r="G138" s="626"/>
    </row>
    <row r="139" spans="6:7" s="469" customFormat="1" ht="12.75" x14ac:dyDescent="0.2">
      <c r="F139" s="626"/>
      <c r="G139" s="626"/>
    </row>
    <row r="140" spans="6:7" s="469" customFormat="1" ht="12.75" x14ac:dyDescent="0.2">
      <c r="F140" s="626"/>
      <c r="G140" s="626"/>
    </row>
    <row r="141" spans="6:7" s="469" customFormat="1" ht="12.75" x14ac:dyDescent="0.2">
      <c r="F141" s="626"/>
      <c r="G141" s="626"/>
    </row>
    <row r="142" spans="6:7" s="469" customFormat="1" ht="12.75" x14ac:dyDescent="0.2">
      <c r="F142" s="626"/>
      <c r="G142" s="626"/>
    </row>
    <row r="143" spans="6:7" s="469" customFormat="1" ht="12.75" x14ac:dyDescent="0.2">
      <c r="F143" s="626"/>
      <c r="G143" s="626"/>
    </row>
    <row r="144" spans="6:7" s="469" customFormat="1" ht="12.75" x14ac:dyDescent="0.2">
      <c r="F144" s="626"/>
      <c r="G144" s="626"/>
    </row>
    <row r="145" spans="6:7" s="469" customFormat="1" ht="12.75" x14ac:dyDescent="0.2">
      <c r="F145" s="626"/>
      <c r="G145" s="626"/>
    </row>
    <row r="146" spans="6:7" s="469" customFormat="1" ht="12.75" x14ac:dyDescent="0.2">
      <c r="F146" s="626"/>
      <c r="G146" s="626"/>
    </row>
    <row r="147" spans="6:7" s="469" customFormat="1" ht="12.75" x14ac:dyDescent="0.2">
      <c r="F147" s="626"/>
      <c r="G147" s="626"/>
    </row>
    <row r="148" spans="6:7" s="469" customFormat="1" ht="12.75" x14ac:dyDescent="0.2">
      <c r="F148" s="626"/>
      <c r="G148" s="626"/>
    </row>
    <row r="149" spans="6:7" s="469" customFormat="1" ht="12.75" x14ac:dyDescent="0.2">
      <c r="F149" s="626"/>
      <c r="G149" s="626"/>
    </row>
    <row r="150" spans="6:7" s="469" customFormat="1" ht="12.75" x14ac:dyDescent="0.2">
      <c r="F150" s="626"/>
      <c r="G150" s="626"/>
    </row>
    <row r="151" spans="6:7" s="469" customFormat="1" ht="12.75" x14ac:dyDescent="0.2">
      <c r="F151" s="626"/>
      <c r="G151" s="626"/>
    </row>
    <row r="152" spans="6:7" s="469" customFormat="1" ht="12.75" x14ac:dyDescent="0.2">
      <c r="F152" s="626"/>
      <c r="G152" s="626"/>
    </row>
    <row r="153" spans="6:7" s="469" customFormat="1" ht="12.75" x14ac:dyDescent="0.2">
      <c r="F153" s="626"/>
      <c r="G153" s="626"/>
    </row>
    <row r="154" spans="6:7" s="469" customFormat="1" ht="12.75" x14ac:dyDescent="0.2">
      <c r="F154" s="626"/>
      <c r="G154" s="626"/>
    </row>
    <row r="155" spans="6:7" s="469" customFormat="1" ht="12.75" x14ac:dyDescent="0.2">
      <c r="F155" s="626"/>
      <c r="G155" s="626"/>
    </row>
    <row r="156" spans="6:7" s="469" customFormat="1" ht="12.75" x14ac:dyDescent="0.2">
      <c r="F156" s="626"/>
      <c r="G156" s="626"/>
    </row>
    <row r="157" spans="6:7" s="469" customFormat="1" ht="12.75" x14ac:dyDescent="0.2">
      <c r="F157" s="626"/>
      <c r="G157" s="626"/>
    </row>
    <row r="158" spans="6:7" s="469" customFormat="1" ht="12.75" x14ac:dyDescent="0.2">
      <c r="F158" s="626"/>
      <c r="G158" s="626"/>
    </row>
    <row r="159" spans="6:7" s="469" customFormat="1" ht="12.75" x14ac:dyDescent="0.2">
      <c r="F159" s="626"/>
      <c r="G159" s="626"/>
    </row>
    <row r="160" spans="6:7" s="469" customFormat="1" ht="12.75" x14ac:dyDescent="0.2">
      <c r="F160" s="626"/>
      <c r="G160" s="626"/>
    </row>
    <row r="161" spans="6:7" s="469" customFormat="1" ht="12.75" x14ac:dyDescent="0.2">
      <c r="F161" s="626"/>
      <c r="G161" s="626"/>
    </row>
    <row r="162" spans="6:7" s="469" customFormat="1" ht="12.75" x14ac:dyDescent="0.2">
      <c r="F162" s="626"/>
      <c r="G162" s="626"/>
    </row>
    <row r="163" spans="6:7" s="469" customFormat="1" ht="12.75" x14ac:dyDescent="0.2">
      <c r="F163" s="626"/>
      <c r="G163" s="626"/>
    </row>
    <row r="164" spans="6:7" s="469" customFormat="1" ht="12.75" x14ac:dyDescent="0.2">
      <c r="F164" s="626"/>
      <c r="G164" s="626"/>
    </row>
    <row r="165" spans="6:7" s="469" customFormat="1" ht="12.75" x14ac:dyDescent="0.2">
      <c r="F165" s="626"/>
      <c r="G165" s="626"/>
    </row>
    <row r="166" spans="6:7" s="469" customFormat="1" ht="12.75" x14ac:dyDescent="0.2">
      <c r="F166" s="626"/>
      <c r="G166" s="626"/>
    </row>
    <row r="167" spans="6:7" s="469" customFormat="1" ht="12.75" x14ac:dyDescent="0.2">
      <c r="F167" s="626"/>
      <c r="G167" s="626"/>
    </row>
    <row r="168" spans="6:7" s="469" customFormat="1" ht="12.75" x14ac:dyDescent="0.2">
      <c r="F168" s="626"/>
      <c r="G168" s="626"/>
    </row>
    <row r="169" spans="6:7" s="469" customFormat="1" ht="12.75" x14ac:dyDescent="0.2">
      <c r="F169" s="626"/>
      <c r="G169" s="626"/>
    </row>
    <row r="170" spans="6:7" s="469" customFormat="1" ht="12.75" x14ac:dyDescent="0.2">
      <c r="F170" s="626"/>
      <c r="G170" s="626"/>
    </row>
    <row r="171" spans="6:7" s="469" customFormat="1" ht="12.75" x14ac:dyDescent="0.2">
      <c r="F171" s="626"/>
      <c r="G171" s="626"/>
    </row>
    <row r="172" spans="6:7" s="469" customFormat="1" ht="12.75" x14ac:dyDescent="0.2">
      <c r="F172" s="626"/>
      <c r="G172" s="626"/>
    </row>
    <row r="173" spans="6:7" s="469" customFormat="1" ht="12.75" x14ac:dyDescent="0.2">
      <c r="F173" s="626"/>
      <c r="G173" s="626"/>
    </row>
    <row r="174" spans="6:7" s="469" customFormat="1" ht="12.75" x14ac:dyDescent="0.2">
      <c r="F174" s="626"/>
      <c r="G174" s="626"/>
    </row>
    <row r="175" spans="6:7" s="469" customFormat="1" ht="12.75" x14ac:dyDescent="0.2">
      <c r="F175" s="626"/>
      <c r="G175" s="626"/>
    </row>
    <row r="176" spans="6:7" s="469" customFormat="1" ht="12.75" x14ac:dyDescent="0.2">
      <c r="F176" s="626"/>
      <c r="G176" s="626"/>
    </row>
    <row r="177" spans="6:7" s="469" customFormat="1" ht="12.75" x14ac:dyDescent="0.2">
      <c r="F177" s="626"/>
      <c r="G177" s="626"/>
    </row>
    <row r="178" spans="6:7" s="469" customFormat="1" ht="12.75" x14ac:dyDescent="0.2">
      <c r="F178" s="626"/>
      <c r="G178" s="626"/>
    </row>
    <row r="179" spans="6:7" s="469" customFormat="1" ht="12.75" x14ac:dyDescent="0.2">
      <c r="F179" s="626"/>
      <c r="G179" s="626"/>
    </row>
    <row r="180" spans="6:7" s="469" customFormat="1" ht="12.75" x14ac:dyDescent="0.2">
      <c r="F180" s="626"/>
      <c r="G180" s="626"/>
    </row>
    <row r="181" spans="6:7" s="469" customFormat="1" ht="12.75" x14ac:dyDescent="0.2">
      <c r="F181" s="626"/>
      <c r="G181" s="626"/>
    </row>
    <row r="182" spans="6:7" s="469" customFormat="1" ht="12.75" x14ac:dyDescent="0.2">
      <c r="F182" s="626"/>
      <c r="G182" s="626"/>
    </row>
    <row r="183" spans="6:7" s="469" customFormat="1" ht="12.75" x14ac:dyDescent="0.2">
      <c r="F183" s="626"/>
      <c r="G183" s="626"/>
    </row>
    <row r="184" spans="6:7" s="469" customFormat="1" ht="12.75" x14ac:dyDescent="0.2">
      <c r="F184" s="626"/>
      <c r="G184" s="626"/>
    </row>
    <row r="185" spans="6:7" s="469" customFormat="1" ht="12.75" x14ac:dyDescent="0.2">
      <c r="F185" s="626"/>
      <c r="G185" s="626"/>
    </row>
    <row r="186" spans="6:7" s="469" customFormat="1" ht="12.75" x14ac:dyDescent="0.2">
      <c r="F186" s="626"/>
      <c r="G186" s="626"/>
    </row>
    <row r="187" spans="6:7" s="469" customFormat="1" ht="12.75" x14ac:dyDescent="0.2">
      <c r="F187" s="626"/>
      <c r="G187" s="626"/>
    </row>
    <row r="188" spans="6:7" s="469" customFormat="1" ht="12.75" x14ac:dyDescent="0.2">
      <c r="F188" s="626"/>
      <c r="G188" s="626"/>
    </row>
    <row r="189" spans="6:7" s="469" customFormat="1" ht="12.75" x14ac:dyDescent="0.2">
      <c r="F189" s="626"/>
      <c r="G189" s="626"/>
    </row>
    <row r="190" spans="6:7" s="469" customFormat="1" ht="12.75" x14ac:dyDescent="0.2">
      <c r="F190" s="626"/>
      <c r="G190" s="626"/>
    </row>
    <row r="191" spans="6:7" s="469" customFormat="1" ht="12.75" x14ac:dyDescent="0.2">
      <c r="F191" s="626"/>
      <c r="G191" s="626"/>
    </row>
    <row r="192" spans="6:7" s="469" customFormat="1" ht="12.75" x14ac:dyDescent="0.2">
      <c r="F192" s="626"/>
      <c r="G192" s="626"/>
    </row>
    <row r="193" spans="6:7" s="469" customFormat="1" ht="12.75" x14ac:dyDescent="0.2">
      <c r="F193" s="626"/>
      <c r="G193" s="626"/>
    </row>
    <row r="194" spans="6:7" s="469" customFormat="1" ht="12.75" x14ac:dyDescent="0.2">
      <c r="F194" s="626"/>
      <c r="G194" s="626"/>
    </row>
    <row r="195" spans="6:7" s="469" customFormat="1" ht="12.75" x14ac:dyDescent="0.2">
      <c r="F195" s="626"/>
      <c r="G195" s="626"/>
    </row>
    <row r="196" spans="6:7" s="469" customFormat="1" ht="12.75" x14ac:dyDescent="0.2">
      <c r="F196" s="626"/>
      <c r="G196" s="626"/>
    </row>
    <row r="197" spans="6:7" s="469" customFormat="1" ht="12.75" x14ac:dyDescent="0.2">
      <c r="F197" s="626"/>
      <c r="G197" s="626"/>
    </row>
    <row r="198" spans="6:7" s="469" customFormat="1" ht="12.75" x14ac:dyDescent="0.2">
      <c r="F198" s="626"/>
      <c r="G198" s="626"/>
    </row>
    <row r="199" spans="6:7" s="469" customFormat="1" ht="12.75" x14ac:dyDescent="0.2">
      <c r="F199" s="626"/>
      <c r="G199" s="626"/>
    </row>
    <row r="200" spans="6:7" s="469" customFormat="1" ht="12.75" x14ac:dyDescent="0.2">
      <c r="F200" s="626"/>
      <c r="G200" s="626"/>
    </row>
    <row r="201" spans="6:7" s="469" customFormat="1" ht="12.75" x14ac:dyDescent="0.2">
      <c r="F201" s="626"/>
      <c r="G201" s="626"/>
    </row>
    <row r="202" spans="6:7" s="469" customFormat="1" ht="12.75" x14ac:dyDescent="0.2">
      <c r="F202" s="626"/>
      <c r="G202" s="626"/>
    </row>
    <row r="203" spans="6:7" s="469" customFormat="1" ht="12.75" x14ac:dyDescent="0.2">
      <c r="F203" s="626"/>
      <c r="G203" s="626"/>
    </row>
    <row r="204" spans="6:7" s="469" customFormat="1" ht="12.75" x14ac:dyDescent="0.2">
      <c r="F204" s="626"/>
      <c r="G204" s="626"/>
    </row>
    <row r="205" spans="6:7" s="469" customFormat="1" ht="12.75" x14ac:dyDescent="0.2">
      <c r="F205" s="626"/>
      <c r="G205" s="626"/>
    </row>
    <row r="206" spans="6:7" s="469" customFormat="1" ht="12.75" x14ac:dyDescent="0.2">
      <c r="F206" s="626"/>
      <c r="G206" s="626"/>
    </row>
    <row r="207" spans="6:7" s="469" customFormat="1" ht="12.75" x14ac:dyDescent="0.2">
      <c r="F207" s="626"/>
      <c r="G207" s="626"/>
    </row>
    <row r="208" spans="6:7" s="469" customFormat="1" ht="12.75" x14ac:dyDescent="0.2">
      <c r="F208" s="626"/>
      <c r="G208" s="626"/>
    </row>
    <row r="209" spans="6:7" s="469" customFormat="1" ht="12.75" x14ac:dyDescent="0.2">
      <c r="F209" s="626"/>
      <c r="G209" s="626"/>
    </row>
    <row r="210" spans="6:7" s="469" customFormat="1" ht="12.75" x14ac:dyDescent="0.2">
      <c r="F210" s="626"/>
      <c r="G210" s="626"/>
    </row>
    <row r="211" spans="6:7" s="469" customFormat="1" ht="12.75" x14ac:dyDescent="0.2">
      <c r="F211" s="626"/>
      <c r="G211" s="626"/>
    </row>
    <row r="212" spans="6:7" s="469" customFormat="1" ht="12.75" x14ac:dyDescent="0.2">
      <c r="F212" s="626"/>
      <c r="G212" s="626"/>
    </row>
    <row r="213" spans="6:7" s="469" customFormat="1" ht="12.75" x14ac:dyDescent="0.2">
      <c r="F213" s="626"/>
      <c r="G213" s="626"/>
    </row>
    <row r="214" spans="6:7" s="469" customFormat="1" ht="12.75" x14ac:dyDescent="0.2">
      <c r="F214" s="626"/>
      <c r="G214" s="626"/>
    </row>
    <row r="215" spans="6:7" s="469" customFormat="1" ht="12.75" x14ac:dyDescent="0.2">
      <c r="F215" s="626"/>
      <c r="G215" s="626"/>
    </row>
    <row r="216" spans="6:7" s="469" customFormat="1" ht="12.75" x14ac:dyDescent="0.2">
      <c r="F216" s="626"/>
      <c r="G216" s="626"/>
    </row>
    <row r="217" spans="6:7" s="469" customFormat="1" ht="12.75" x14ac:dyDescent="0.2">
      <c r="F217" s="626"/>
      <c r="G217" s="626"/>
    </row>
    <row r="218" spans="6:7" s="469" customFormat="1" ht="12.75" x14ac:dyDescent="0.2">
      <c r="F218" s="626"/>
      <c r="G218" s="626"/>
    </row>
    <row r="219" spans="6:7" s="469" customFormat="1" ht="12.75" x14ac:dyDescent="0.2">
      <c r="F219" s="626"/>
      <c r="G219" s="626"/>
    </row>
    <row r="220" spans="6:7" s="469" customFormat="1" ht="12.75" x14ac:dyDescent="0.2">
      <c r="F220" s="626"/>
      <c r="G220" s="626"/>
    </row>
    <row r="221" spans="6:7" s="469" customFormat="1" ht="12.75" x14ac:dyDescent="0.2">
      <c r="F221" s="626"/>
      <c r="G221" s="626"/>
    </row>
    <row r="222" spans="6:7" s="469" customFormat="1" ht="12.75" x14ac:dyDescent="0.2">
      <c r="F222" s="626"/>
      <c r="G222" s="626"/>
    </row>
    <row r="223" spans="6:7" s="469" customFormat="1" ht="12.75" x14ac:dyDescent="0.2">
      <c r="F223" s="626"/>
      <c r="G223" s="626"/>
    </row>
    <row r="224" spans="6:7" s="469" customFormat="1" ht="12.75" x14ac:dyDescent="0.2">
      <c r="F224" s="626"/>
      <c r="G224" s="626"/>
    </row>
    <row r="225" spans="6:7" s="469" customFormat="1" ht="12.75" x14ac:dyDescent="0.2">
      <c r="F225" s="626"/>
      <c r="G225" s="626"/>
    </row>
    <row r="226" spans="6:7" s="469" customFormat="1" ht="12.75" x14ac:dyDescent="0.2">
      <c r="F226" s="626"/>
      <c r="G226" s="626"/>
    </row>
    <row r="227" spans="6:7" s="469" customFormat="1" ht="12.75" x14ac:dyDescent="0.2">
      <c r="F227" s="626"/>
      <c r="G227" s="626"/>
    </row>
    <row r="228" spans="6:7" s="469" customFormat="1" ht="12.75" x14ac:dyDescent="0.2">
      <c r="F228" s="626"/>
      <c r="G228" s="626"/>
    </row>
    <row r="229" spans="6:7" s="469" customFormat="1" ht="12.75" x14ac:dyDescent="0.2">
      <c r="F229" s="626"/>
      <c r="G229" s="626"/>
    </row>
    <row r="230" spans="6:7" s="469" customFormat="1" ht="12.75" x14ac:dyDescent="0.2">
      <c r="F230" s="626"/>
      <c r="G230" s="626"/>
    </row>
    <row r="231" spans="6:7" s="469" customFormat="1" ht="12.75" x14ac:dyDescent="0.2">
      <c r="F231" s="626"/>
      <c r="G231" s="626"/>
    </row>
    <row r="232" spans="6:7" s="469" customFormat="1" ht="12.75" x14ac:dyDescent="0.2">
      <c r="F232" s="626"/>
      <c r="G232" s="626"/>
    </row>
    <row r="233" spans="6:7" s="469" customFormat="1" ht="12.75" x14ac:dyDescent="0.2">
      <c r="F233" s="626"/>
      <c r="G233" s="626"/>
    </row>
    <row r="234" spans="6:7" s="469" customFormat="1" ht="12.75" x14ac:dyDescent="0.2">
      <c r="F234" s="626"/>
      <c r="G234" s="626"/>
    </row>
    <row r="235" spans="6:7" s="469" customFormat="1" ht="12.75" x14ac:dyDescent="0.2">
      <c r="F235" s="626"/>
      <c r="G235" s="626"/>
    </row>
    <row r="236" spans="6:7" s="469" customFormat="1" ht="12.75" x14ac:dyDescent="0.2">
      <c r="F236" s="626"/>
      <c r="G236" s="626"/>
    </row>
    <row r="237" spans="6:7" s="469" customFormat="1" ht="12.75" x14ac:dyDescent="0.2">
      <c r="F237" s="626"/>
      <c r="G237" s="626"/>
    </row>
    <row r="238" spans="6:7" s="469" customFormat="1" ht="12.75" x14ac:dyDescent="0.2">
      <c r="F238" s="626"/>
      <c r="G238" s="626"/>
    </row>
    <row r="239" spans="6:7" s="469" customFormat="1" ht="12.75" x14ac:dyDescent="0.2">
      <c r="F239" s="626"/>
      <c r="G239" s="626"/>
    </row>
    <row r="240" spans="6:7" s="469" customFormat="1" ht="12.75" x14ac:dyDescent="0.2">
      <c r="F240" s="626"/>
      <c r="G240" s="626"/>
    </row>
    <row r="241" spans="6:7" s="469" customFormat="1" ht="12.75" x14ac:dyDescent="0.2">
      <c r="F241" s="626"/>
      <c r="G241" s="626"/>
    </row>
    <row r="242" spans="6:7" s="469" customFormat="1" ht="12.75" x14ac:dyDescent="0.2">
      <c r="F242" s="626"/>
      <c r="G242" s="626"/>
    </row>
    <row r="243" spans="6:7" s="469" customFormat="1" ht="12.75" x14ac:dyDescent="0.2">
      <c r="F243" s="626"/>
      <c r="G243" s="626"/>
    </row>
    <row r="244" spans="6:7" s="469" customFormat="1" ht="12.75" x14ac:dyDescent="0.2">
      <c r="F244" s="626"/>
      <c r="G244" s="626"/>
    </row>
    <row r="245" spans="6:7" s="469" customFormat="1" ht="12.75" x14ac:dyDescent="0.2">
      <c r="F245" s="626"/>
      <c r="G245" s="626"/>
    </row>
    <row r="246" spans="6:7" s="469" customFormat="1" ht="12.75" x14ac:dyDescent="0.2">
      <c r="F246" s="626"/>
      <c r="G246" s="626"/>
    </row>
    <row r="247" spans="6:7" s="469" customFormat="1" ht="12.75" x14ac:dyDescent="0.2">
      <c r="F247" s="626"/>
      <c r="G247" s="626"/>
    </row>
    <row r="248" spans="6:7" s="469" customFormat="1" ht="12.75" x14ac:dyDescent="0.2">
      <c r="F248" s="626"/>
      <c r="G248" s="626"/>
    </row>
    <row r="249" spans="6:7" s="469" customFormat="1" ht="12.75" x14ac:dyDescent="0.2">
      <c r="F249" s="626"/>
      <c r="G249" s="626"/>
    </row>
    <row r="250" spans="6:7" s="469" customFormat="1" ht="12.75" x14ac:dyDescent="0.2">
      <c r="F250" s="626"/>
      <c r="G250" s="626"/>
    </row>
    <row r="251" spans="6:7" s="469" customFormat="1" ht="12.75" x14ac:dyDescent="0.2">
      <c r="F251" s="626"/>
      <c r="G251" s="626"/>
    </row>
    <row r="252" spans="6:7" s="469" customFormat="1" ht="12.75" x14ac:dyDescent="0.2">
      <c r="F252" s="626"/>
      <c r="G252" s="626"/>
    </row>
    <row r="253" spans="6:7" s="469" customFormat="1" ht="12.75" x14ac:dyDescent="0.2">
      <c r="F253" s="626"/>
      <c r="G253" s="626"/>
    </row>
    <row r="254" spans="6:7" s="469" customFormat="1" ht="12.75" x14ac:dyDescent="0.2">
      <c r="F254" s="626"/>
      <c r="G254" s="626"/>
    </row>
    <row r="255" spans="6:7" s="469" customFormat="1" ht="12.75" x14ac:dyDescent="0.2">
      <c r="F255" s="626"/>
      <c r="G255" s="626"/>
    </row>
    <row r="256" spans="6:7" s="469" customFormat="1" ht="12.75" x14ac:dyDescent="0.2">
      <c r="F256" s="626"/>
      <c r="G256" s="626"/>
    </row>
    <row r="257" spans="6:7" s="469" customFormat="1" ht="12.75" x14ac:dyDescent="0.2">
      <c r="F257" s="626"/>
      <c r="G257" s="626"/>
    </row>
    <row r="258" spans="6:7" s="469" customFormat="1" ht="12.75" x14ac:dyDescent="0.2">
      <c r="F258" s="626"/>
      <c r="G258" s="626"/>
    </row>
    <row r="259" spans="6:7" s="469" customFormat="1" ht="12.75" x14ac:dyDescent="0.2">
      <c r="F259" s="626"/>
      <c r="G259" s="626"/>
    </row>
    <row r="260" spans="6:7" s="469" customFormat="1" ht="12.75" x14ac:dyDescent="0.2">
      <c r="F260" s="626"/>
      <c r="G260" s="626"/>
    </row>
    <row r="261" spans="6:7" s="469" customFormat="1" ht="12.75" x14ac:dyDescent="0.2">
      <c r="F261" s="626"/>
      <c r="G261" s="626"/>
    </row>
    <row r="262" spans="6:7" s="469" customFormat="1" ht="12.75" x14ac:dyDescent="0.2">
      <c r="F262" s="626"/>
      <c r="G262" s="626"/>
    </row>
    <row r="263" spans="6:7" s="469" customFormat="1" ht="12.75" x14ac:dyDescent="0.2">
      <c r="F263" s="626"/>
      <c r="G263" s="626"/>
    </row>
    <row r="264" spans="6:7" s="469" customFormat="1" ht="12.75" x14ac:dyDescent="0.2">
      <c r="F264" s="626"/>
      <c r="G264" s="626"/>
    </row>
    <row r="265" spans="6:7" s="469" customFormat="1" ht="12.75" x14ac:dyDescent="0.2">
      <c r="F265" s="626"/>
      <c r="G265" s="626"/>
    </row>
    <row r="266" spans="6:7" s="469" customFormat="1" ht="12.75" x14ac:dyDescent="0.2">
      <c r="F266" s="626"/>
      <c r="G266" s="626"/>
    </row>
    <row r="267" spans="6:7" s="469" customFormat="1" ht="12.75" x14ac:dyDescent="0.2">
      <c r="F267" s="626"/>
      <c r="G267" s="626"/>
    </row>
    <row r="268" spans="6:7" s="469" customFormat="1" ht="12.75" x14ac:dyDescent="0.2">
      <c r="F268" s="626"/>
      <c r="G268" s="626"/>
    </row>
    <row r="269" spans="6:7" s="469" customFormat="1" ht="12.75" x14ac:dyDescent="0.2">
      <c r="F269" s="626"/>
      <c r="G269" s="626"/>
    </row>
    <row r="270" spans="6:7" s="469" customFormat="1" ht="12.75" x14ac:dyDescent="0.2">
      <c r="F270" s="626"/>
      <c r="G270" s="626"/>
    </row>
    <row r="271" spans="6:7" s="469" customFormat="1" ht="12.75" x14ac:dyDescent="0.2">
      <c r="F271" s="626"/>
      <c r="G271" s="626"/>
    </row>
  </sheetData>
  <sheetProtection algorithmName="SHA-512" hashValue="5UZewWjZ0iVUVZiiWciI/A8nlGr3zV6w2t2W2qazdLn1cjST2EgWaAiCui0T7tVfTxh5EY05Cp8bwmQ2ShFKLQ==" saltValue="IKOmJKn43L9euvO2a7oUEw==" spinCount="100000" sheet="1" objects="1" scenarios="1"/>
  <mergeCells count="7">
    <mergeCell ref="A36:G36"/>
    <mergeCell ref="B3:C4"/>
    <mergeCell ref="D3:D4"/>
    <mergeCell ref="A32:G32"/>
    <mergeCell ref="A33:G33"/>
    <mergeCell ref="A34:G34"/>
    <mergeCell ref="A35:G35"/>
  </mergeCells>
  <pageMargins left="0.70866141732283505" right="0.70866141732283505" top="0.74803149606299202" bottom="0.74803149606299202" header="0.31496062992126" footer="0.31496062992126"/>
  <pageSetup scale="81" fitToHeight="3" orientation="portrait" r:id="rId1"/>
  <headerFooter>
    <oddFooter>&amp;LHawai'i DOH
PFASs November 2024&amp;C&amp;P of &amp;N&amp;R&amp;A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29"/>
  </sheetPr>
  <dimension ref="B1:D22"/>
  <sheetViews>
    <sheetView zoomScaleNormal="100" workbookViewId="0">
      <selection activeCell="F24" sqref="F24"/>
    </sheetView>
  </sheetViews>
  <sheetFormatPr defaultRowHeight="12.75" x14ac:dyDescent="0.2"/>
  <cols>
    <col min="1" max="1" width="9.140625" style="519"/>
    <col min="2" max="2" width="32" style="519" customWidth="1"/>
    <col min="3" max="3" width="25.85546875" style="852" customWidth="1"/>
    <col min="4" max="4" width="14" style="852" customWidth="1"/>
    <col min="5" max="16384" width="9.140625" style="519"/>
  </cols>
  <sheetData>
    <row r="1" spans="2:4" ht="31.5" x14ac:dyDescent="0.25">
      <c r="B1" s="471" t="s">
        <v>805</v>
      </c>
      <c r="C1" s="1024"/>
      <c r="D1" s="1024"/>
    </row>
    <row r="2" spans="2:4" ht="13.5" thickBot="1" x14ac:dyDescent="0.25">
      <c r="B2" s="1024"/>
      <c r="C2" s="1024"/>
      <c r="D2" s="1024"/>
    </row>
    <row r="3" spans="2:4" ht="51" customHeight="1" thickTop="1" x14ac:dyDescent="0.2">
      <c r="B3" s="1025" t="s">
        <v>806</v>
      </c>
      <c r="C3" s="1026" t="s">
        <v>807</v>
      </c>
      <c r="D3" s="1027" t="s">
        <v>808</v>
      </c>
    </row>
    <row r="4" spans="2:4" ht="26.1" customHeight="1" x14ac:dyDescent="0.2">
      <c r="B4" s="1629" t="s">
        <v>809</v>
      </c>
      <c r="C4" s="1630"/>
      <c r="D4" s="1631"/>
    </row>
    <row r="5" spans="2:4" ht="51" x14ac:dyDescent="0.2">
      <c r="B5" s="1624" t="s">
        <v>810</v>
      </c>
      <c r="C5" s="917" t="s">
        <v>811</v>
      </c>
      <c r="D5" s="1028">
        <v>100</v>
      </c>
    </row>
    <row r="6" spans="2:4" ht="38.25" x14ac:dyDescent="0.2">
      <c r="B6" s="1625"/>
      <c r="C6" s="917" t="s">
        <v>812</v>
      </c>
      <c r="D6" s="1028">
        <v>500</v>
      </c>
    </row>
    <row r="7" spans="2:4" ht="25.5" x14ac:dyDescent="0.2">
      <c r="B7" s="1626"/>
      <c r="C7" s="917" t="s">
        <v>813</v>
      </c>
      <c r="D7" s="1028">
        <v>1000</v>
      </c>
    </row>
    <row r="8" spans="2:4" ht="51" x14ac:dyDescent="0.2">
      <c r="B8" s="1624" t="s">
        <v>814</v>
      </c>
      <c r="C8" s="917" t="s">
        <v>811</v>
      </c>
      <c r="D8" s="1028">
        <v>500</v>
      </c>
    </row>
    <row r="9" spans="2:4" ht="38.25" x14ac:dyDescent="0.2">
      <c r="B9" s="1627"/>
      <c r="C9" s="917" t="s">
        <v>812</v>
      </c>
      <c r="D9" s="1028">
        <v>1000</v>
      </c>
    </row>
    <row r="10" spans="2:4" ht="25.5" x14ac:dyDescent="0.2">
      <c r="B10" s="1628"/>
      <c r="C10" s="917" t="s">
        <v>813</v>
      </c>
      <c r="D10" s="1028">
        <v>2500</v>
      </c>
    </row>
    <row r="11" spans="2:4" ht="26.1" customHeight="1" x14ac:dyDescent="0.2">
      <c r="B11" s="1632" t="s">
        <v>815</v>
      </c>
      <c r="C11" s="1576"/>
      <c r="D11" s="1633"/>
    </row>
    <row r="12" spans="2:4" ht="51" x14ac:dyDescent="0.2">
      <c r="B12" s="1624" t="s">
        <v>810</v>
      </c>
      <c r="C12" s="917" t="s">
        <v>811</v>
      </c>
      <c r="D12" s="1028">
        <v>500</v>
      </c>
    </row>
    <row r="13" spans="2:4" ht="38.25" x14ac:dyDescent="0.2">
      <c r="B13" s="1625"/>
      <c r="C13" s="917" t="s">
        <v>812</v>
      </c>
      <c r="D13" s="1028">
        <v>1000</v>
      </c>
    </row>
    <row r="14" spans="2:4" ht="25.5" x14ac:dyDescent="0.2">
      <c r="B14" s="1626"/>
      <c r="C14" s="917" t="s">
        <v>813</v>
      </c>
      <c r="D14" s="1028">
        <v>2500</v>
      </c>
    </row>
    <row r="15" spans="2:4" ht="51" x14ac:dyDescent="0.2">
      <c r="B15" s="1624" t="s">
        <v>814</v>
      </c>
      <c r="C15" s="917" t="s">
        <v>811</v>
      </c>
      <c r="D15" s="1028">
        <v>1000</v>
      </c>
    </row>
    <row r="16" spans="2:4" ht="38.25" x14ac:dyDescent="0.2">
      <c r="B16" s="1627"/>
      <c r="C16" s="917" t="s">
        <v>812</v>
      </c>
      <c r="D16" s="1028">
        <v>2500</v>
      </c>
    </row>
    <row r="17" spans="2:4" ht="26.25" thickBot="1" x14ac:dyDescent="0.25">
      <c r="B17" s="1628"/>
      <c r="C17" s="1029" t="s">
        <v>813</v>
      </c>
      <c r="D17" s="1030">
        <v>5000</v>
      </c>
    </row>
    <row r="18" spans="2:4" ht="13.5" thickTop="1" x14ac:dyDescent="0.2">
      <c r="B18" s="1031"/>
      <c r="C18" s="1032"/>
      <c r="D18" s="1033"/>
    </row>
    <row r="19" spans="2:4" x14ac:dyDescent="0.2">
      <c r="B19" s="518" t="s">
        <v>816</v>
      </c>
      <c r="D19" s="1034"/>
    </row>
    <row r="20" spans="2:4" ht="13.5" thickBot="1" x14ac:dyDescent="0.25">
      <c r="B20" s="523" t="s">
        <v>817</v>
      </c>
      <c r="C20" s="1035"/>
      <c r="D20" s="1036"/>
    </row>
    <row r="21" spans="2:4" ht="13.5" thickTop="1" x14ac:dyDescent="0.2">
      <c r="B21" s="470"/>
    </row>
    <row r="22" spans="2:4" x14ac:dyDescent="0.2">
      <c r="B22" s="470"/>
    </row>
  </sheetData>
  <sheetProtection algorithmName="SHA-512" hashValue="QIaZEtn0TWxWXIJ3hFR2ljuzmSxTyUnU+bEc5tvAg86ILn2FtL74rq+3j1+QrbHx05CNdQgwOxcXXngHGooyEQ==" saltValue="ybRTzE1wEngcbHS/6FpVnw==" spinCount="100000" sheet="1" objects="1" scenarios="1"/>
  <mergeCells count="6">
    <mergeCell ref="B12:B14"/>
    <mergeCell ref="B15:B17"/>
    <mergeCell ref="B4:D4"/>
    <mergeCell ref="B11:D11"/>
    <mergeCell ref="B5:B7"/>
    <mergeCell ref="B8:B10"/>
  </mergeCells>
  <phoneticPr fontId="0" type="noConversion"/>
  <printOptions horizontalCentered="1"/>
  <pageMargins left="0.15748031496063" right="0.15748031496063" top="0.511811023622047" bottom="0.98425196850393704" header="0.511811023622047" footer="0.511811023622047"/>
  <pageSetup orientation="portrait" r:id="rId1"/>
  <headerFooter alignWithMargins="0">
    <oddFooter>&amp;LHawai'i DOH
PFASs November 2024&amp;C&amp;8Page &amp;P of &amp;N&amp;R&amp;A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indexed="29"/>
    <pageSetUpPr fitToPage="1"/>
  </sheetPr>
  <dimension ref="A1:J43"/>
  <sheetViews>
    <sheetView zoomScaleNormal="100" workbookViewId="0">
      <selection activeCell="F24" sqref="F24"/>
    </sheetView>
  </sheetViews>
  <sheetFormatPr defaultColWidth="9.140625" defaultRowHeight="11.25" x14ac:dyDescent="0.2"/>
  <cols>
    <col min="1" max="1" width="50.5703125" style="517" customWidth="1"/>
    <col min="2" max="3" width="12.7109375" style="515" customWidth="1"/>
    <col min="4" max="5" width="12.5703125" style="515" customWidth="1"/>
    <col min="6" max="6" width="12.5703125" style="504" customWidth="1"/>
    <col min="7" max="8" width="14.5703125" style="781" customWidth="1"/>
    <col min="9" max="9" width="13.28515625" style="781" customWidth="1"/>
    <col min="10" max="10" width="12.7109375" style="638" customWidth="1"/>
    <col min="11" max="16384" width="9.140625" style="517"/>
  </cols>
  <sheetData>
    <row r="1" spans="1:10" s="706" customFormat="1" ht="30" customHeight="1" x14ac:dyDescent="0.25">
      <c r="A1" s="1572" t="s">
        <v>818</v>
      </c>
      <c r="B1" s="1523"/>
      <c r="C1" s="1523"/>
      <c r="D1" s="1523"/>
      <c r="E1" s="1523"/>
      <c r="F1" s="1523"/>
      <c r="G1" s="1523"/>
      <c r="H1" s="1523"/>
      <c r="I1" s="1523"/>
      <c r="J1" s="1523"/>
    </row>
    <row r="2" spans="1:10" s="706" customFormat="1" ht="16.350000000000001" customHeight="1" thickBot="1" x14ac:dyDescent="0.25">
      <c r="A2" s="989"/>
      <c r="B2" s="568"/>
      <c r="C2" s="568"/>
      <c r="D2" s="468"/>
      <c r="E2" s="468"/>
      <c r="F2" s="473"/>
      <c r="G2" s="989"/>
      <c r="H2" s="989"/>
      <c r="I2" s="989"/>
      <c r="J2" s="631"/>
    </row>
    <row r="3" spans="1:10" s="706" customFormat="1" ht="72" customHeight="1" thickTop="1" thickBot="1" x14ac:dyDescent="0.25">
      <c r="A3" s="991" t="s">
        <v>624</v>
      </c>
      <c r="B3" s="537" t="s">
        <v>819</v>
      </c>
      <c r="C3" s="1003" t="s">
        <v>820</v>
      </c>
      <c r="D3" s="537" t="s">
        <v>821</v>
      </c>
      <c r="E3" s="1003" t="s">
        <v>822</v>
      </c>
      <c r="F3" s="1004" t="s">
        <v>823</v>
      </c>
      <c r="G3" s="1005" t="s">
        <v>824</v>
      </c>
      <c r="H3" s="1006" t="s">
        <v>825</v>
      </c>
      <c r="I3" s="1006" t="s">
        <v>826</v>
      </c>
      <c r="J3" s="1007" t="s">
        <v>827</v>
      </c>
    </row>
    <row r="4" spans="1:10" s="706" customFormat="1" ht="12" customHeight="1" x14ac:dyDescent="0.2">
      <c r="A4" s="490" t="s">
        <v>472</v>
      </c>
      <c r="B4" s="542">
        <v>1000</v>
      </c>
      <c r="C4" s="495">
        <v>2500</v>
      </c>
      <c r="D4" s="542">
        <v>1000</v>
      </c>
      <c r="E4" s="495">
        <v>2500</v>
      </c>
      <c r="F4" s="491" t="s">
        <v>551</v>
      </c>
      <c r="G4" s="1008"/>
      <c r="H4" s="1009"/>
      <c r="I4" s="1010" t="s">
        <v>307</v>
      </c>
      <c r="J4" s="1011" t="s">
        <v>307</v>
      </c>
    </row>
    <row r="5" spans="1:10" s="706" customFormat="1" ht="12" customHeight="1" x14ac:dyDescent="0.2">
      <c r="A5" s="497" t="s">
        <v>473</v>
      </c>
      <c r="B5" s="547">
        <v>1000</v>
      </c>
      <c r="C5" s="502">
        <v>2500</v>
      </c>
      <c r="D5" s="547">
        <v>1000</v>
      </c>
      <c r="E5" s="502">
        <v>2500</v>
      </c>
      <c r="F5" s="498" t="s">
        <v>551</v>
      </c>
      <c r="G5" s="1012"/>
      <c r="H5" s="1013"/>
      <c r="I5" s="1014" t="s">
        <v>307</v>
      </c>
      <c r="J5" s="1015" t="s">
        <v>307</v>
      </c>
    </row>
    <row r="6" spans="1:10" s="706" customFormat="1" ht="12" customHeight="1" x14ac:dyDescent="0.2">
      <c r="A6" s="497" t="s">
        <v>474</v>
      </c>
      <c r="B6" s="547">
        <v>1000</v>
      </c>
      <c r="C6" s="502">
        <v>2500</v>
      </c>
      <c r="D6" s="547">
        <v>1000</v>
      </c>
      <c r="E6" s="502">
        <v>2500</v>
      </c>
      <c r="F6" s="498" t="s">
        <v>551</v>
      </c>
      <c r="G6" s="1012"/>
      <c r="H6" s="1013"/>
      <c r="I6" s="1014" t="s">
        <v>307</v>
      </c>
      <c r="J6" s="1015" t="s">
        <v>307</v>
      </c>
    </row>
    <row r="7" spans="1:10" s="706" customFormat="1" ht="12" customHeight="1" x14ac:dyDescent="0.2">
      <c r="A7" s="497" t="s">
        <v>475</v>
      </c>
      <c r="B7" s="547">
        <v>1000</v>
      </c>
      <c r="C7" s="502">
        <v>2500</v>
      </c>
      <c r="D7" s="547">
        <v>1000</v>
      </c>
      <c r="E7" s="502">
        <v>2500</v>
      </c>
      <c r="F7" s="498" t="s">
        <v>551</v>
      </c>
      <c r="G7" s="1012"/>
      <c r="H7" s="1013"/>
      <c r="I7" s="1014" t="s">
        <v>307</v>
      </c>
      <c r="J7" s="1015" t="s">
        <v>307</v>
      </c>
    </row>
    <row r="8" spans="1:10" s="706" customFormat="1" ht="12" customHeight="1" x14ac:dyDescent="0.2">
      <c r="A8" s="497" t="s">
        <v>476</v>
      </c>
      <c r="B8" s="547">
        <v>1000</v>
      </c>
      <c r="C8" s="502">
        <v>2500</v>
      </c>
      <c r="D8" s="547">
        <v>1000</v>
      </c>
      <c r="E8" s="502">
        <v>2500</v>
      </c>
      <c r="F8" s="498" t="s">
        <v>551</v>
      </c>
      <c r="G8" s="1012"/>
      <c r="H8" s="1013"/>
      <c r="I8" s="1014" t="s">
        <v>307</v>
      </c>
      <c r="J8" s="1015" t="s">
        <v>307</v>
      </c>
    </row>
    <row r="9" spans="1:10" s="706" customFormat="1" ht="12" customHeight="1" x14ac:dyDescent="0.2">
      <c r="A9" s="497" t="s">
        <v>477</v>
      </c>
      <c r="B9" s="547">
        <v>1000</v>
      </c>
      <c r="C9" s="502">
        <v>2500</v>
      </c>
      <c r="D9" s="547">
        <v>1000</v>
      </c>
      <c r="E9" s="502">
        <v>2500</v>
      </c>
      <c r="F9" s="498" t="s">
        <v>551</v>
      </c>
      <c r="G9" s="1012"/>
      <c r="H9" s="1013"/>
      <c r="I9" s="1014" t="s">
        <v>307</v>
      </c>
      <c r="J9" s="1015" t="s">
        <v>307</v>
      </c>
    </row>
    <row r="10" spans="1:10" s="706" customFormat="1" ht="12" customHeight="1" x14ac:dyDescent="0.2">
      <c r="A10" s="497" t="s">
        <v>200</v>
      </c>
      <c r="B10" s="547">
        <v>1000</v>
      </c>
      <c r="C10" s="502">
        <v>2500</v>
      </c>
      <c r="D10" s="547">
        <v>1000</v>
      </c>
      <c r="E10" s="502">
        <v>2500</v>
      </c>
      <c r="F10" s="498">
        <v>149004.4165629714</v>
      </c>
      <c r="G10" s="1012"/>
      <c r="H10" s="1013"/>
      <c r="I10" s="1014" t="s">
        <v>307</v>
      </c>
      <c r="J10" s="1015" t="s">
        <v>307</v>
      </c>
    </row>
    <row r="11" spans="1:10" s="706" customFormat="1" ht="12" customHeight="1" x14ac:dyDescent="0.2">
      <c r="A11" s="497" t="s">
        <v>478</v>
      </c>
      <c r="B11" s="547">
        <v>1000</v>
      </c>
      <c r="C11" s="502">
        <v>2500</v>
      </c>
      <c r="D11" s="547">
        <v>1000</v>
      </c>
      <c r="E11" s="502">
        <v>2500</v>
      </c>
      <c r="F11" s="498">
        <v>3307.8546432463559</v>
      </c>
      <c r="G11" s="1012"/>
      <c r="H11" s="1013"/>
      <c r="I11" s="1014" t="s">
        <v>307</v>
      </c>
      <c r="J11" s="1015" t="s">
        <v>307</v>
      </c>
    </row>
    <row r="12" spans="1:10" s="706" customFormat="1" ht="12" customHeight="1" x14ac:dyDescent="0.2">
      <c r="A12" s="497" t="s">
        <v>479</v>
      </c>
      <c r="B12" s="547">
        <v>1000</v>
      </c>
      <c r="C12" s="502">
        <v>2500</v>
      </c>
      <c r="D12" s="547">
        <v>1000</v>
      </c>
      <c r="E12" s="502">
        <v>2500</v>
      </c>
      <c r="F12" s="498" t="s">
        <v>551</v>
      </c>
      <c r="G12" s="1012"/>
      <c r="H12" s="1013"/>
      <c r="I12" s="1014" t="s">
        <v>307</v>
      </c>
      <c r="J12" s="1015" t="s">
        <v>307</v>
      </c>
    </row>
    <row r="13" spans="1:10" s="706" customFormat="1" ht="12" customHeight="1" x14ac:dyDescent="0.2">
      <c r="A13" s="497" t="s">
        <v>480</v>
      </c>
      <c r="B13" s="547">
        <v>1000</v>
      </c>
      <c r="C13" s="502">
        <v>2500</v>
      </c>
      <c r="D13" s="547">
        <v>1000</v>
      </c>
      <c r="E13" s="502">
        <v>2500</v>
      </c>
      <c r="F13" s="498" t="s">
        <v>551</v>
      </c>
      <c r="G13" s="1012"/>
      <c r="H13" s="1013"/>
      <c r="I13" s="1014" t="s">
        <v>307</v>
      </c>
      <c r="J13" s="1015" t="s">
        <v>307</v>
      </c>
    </row>
    <row r="14" spans="1:10" s="706" customFormat="1" ht="12" customHeight="1" x14ac:dyDescent="0.2">
      <c r="A14" s="497" t="s">
        <v>481</v>
      </c>
      <c r="B14" s="547">
        <v>1000</v>
      </c>
      <c r="C14" s="502">
        <v>2500</v>
      </c>
      <c r="D14" s="547">
        <v>1000</v>
      </c>
      <c r="E14" s="502">
        <v>2500</v>
      </c>
      <c r="F14" s="498" t="s">
        <v>551</v>
      </c>
      <c r="G14" s="1012"/>
      <c r="H14" s="1013"/>
      <c r="I14" s="1014" t="s">
        <v>307</v>
      </c>
      <c r="J14" s="1015" t="s">
        <v>307</v>
      </c>
    </row>
    <row r="15" spans="1:10" s="706" customFormat="1" ht="12" customHeight="1" x14ac:dyDescent="0.2">
      <c r="A15" s="497" t="s">
        <v>482</v>
      </c>
      <c r="B15" s="547">
        <v>1000</v>
      </c>
      <c r="C15" s="502">
        <v>2500</v>
      </c>
      <c r="D15" s="547">
        <v>1000</v>
      </c>
      <c r="E15" s="502">
        <v>2500</v>
      </c>
      <c r="F15" s="498" t="s">
        <v>551</v>
      </c>
      <c r="G15" s="1012"/>
      <c r="H15" s="1013"/>
      <c r="I15" s="1014" t="s">
        <v>307</v>
      </c>
      <c r="J15" s="1015" t="s">
        <v>307</v>
      </c>
    </row>
    <row r="16" spans="1:10" s="706" customFormat="1" ht="12" customHeight="1" x14ac:dyDescent="0.2">
      <c r="A16" s="497" t="s">
        <v>483</v>
      </c>
      <c r="B16" s="547">
        <v>1000</v>
      </c>
      <c r="C16" s="502">
        <v>2500</v>
      </c>
      <c r="D16" s="547">
        <v>1000</v>
      </c>
      <c r="E16" s="502">
        <v>2500</v>
      </c>
      <c r="F16" s="498" t="s">
        <v>551</v>
      </c>
      <c r="G16" s="1012"/>
      <c r="H16" s="1013"/>
      <c r="I16" s="1014" t="s">
        <v>307</v>
      </c>
      <c r="J16" s="1015" t="s">
        <v>307</v>
      </c>
    </row>
    <row r="17" spans="1:10" s="706" customFormat="1" ht="12" customHeight="1" x14ac:dyDescent="0.2">
      <c r="A17" s="497" t="s">
        <v>484</v>
      </c>
      <c r="B17" s="547">
        <v>1000</v>
      </c>
      <c r="C17" s="502">
        <v>2500</v>
      </c>
      <c r="D17" s="547">
        <v>1000</v>
      </c>
      <c r="E17" s="502">
        <v>2500</v>
      </c>
      <c r="F17" s="498" t="s">
        <v>551</v>
      </c>
      <c r="G17" s="1012"/>
      <c r="H17" s="1013"/>
      <c r="I17" s="1014" t="s">
        <v>307</v>
      </c>
      <c r="J17" s="1015" t="s">
        <v>307</v>
      </c>
    </row>
    <row r="18" spans="1:10" s="706" customFormat="1" ht="12" customHeight="1" x14ac:dyDescent="0.2">
      <c r="A18" s="497" t="s">
        <v>485</v>
      </c>
      <c r="B18" s="547">
        <v>1000</v>
      </c>
      <c r="C18" s="502">
        <v>2500</v>
      </c>
      <c r="D18" s="547">
        <v>1000</v>
      </c>
      <c r="E18" s="502">
        <v>2500</v>
      </c>
      <c r="F18" s="498" t="s">
        <v>551</v>
      </c>
      <c r="G18" s="1012"/>
      <c r="H18" s="1013"/>
      <c r="I18" s="1014" t="s">
        <v>307</v>
      </c>
      <c r="J18" s="1015" t="s">
        <v>307</v>
      </c>
    </row>
    <row r="19" spans="1:10" s="706" customFormat="1" ht="12" customHeight="1" x14ac:dyDescent="0.2">
      <c r="A19" s="497" t="s">
        <v>486</v>
      </c>
      <c r="B19" s="547">
        <v>1000</v>
      </c>
      <c r="C19" s="502">
        <v>2500</v>
      </c>
      <c r="D19" s="547">
        <v>1000</v>
      </c>
      <c r="E19" s="502">
        <v>2500</v>
      </c>
      <c r="F19" s="498" t="s">
        <v>551</v>
      </c>
      <c r="G19" s="1012"/>
      <c r="H19" s="1013"/>
      <c r="I19" s="1014" t="s">
        <v>307</v>
      </c>
      <c r="J19" s="1015" t="s">
        <v>307</v>
      </c>
    </row>
    <row r="20" spans="1:10" s="706" customFormat="1" ht="12" customHeight="1" x14ac:dyDescent="0.2">
      <c r="A20" s="497" t="s">
        <v>487</v>
      </c>
      <c r="B20" s="547">
        <v>1000</v>
      </c>
      <c r="C20" s="502">
        <v>2500</v>
      </c>
      <c r="D20" s="547">
        <v>1000</v>
      </c>
      <c r="E20" s="502">
        <v>2500</v>
      </c>
      <c r="F20" s="498" t="s">
        <v>551</v>
      </c>
      <c r="G20" s="1012"/>
      <c r="H20" s="1013"/>
      <c r="I20" s="1014" t="s">
        <v>307</v>
      </c>
      <c r="J20" s="1015" t="s">
        <v>307</v>
      </c>
    </row>
    <row r="21" spans="1:10" s="706" customFormat="1" ht="12" customHeight="1" x14ac:dyDescent="0.2">
      <c r="A21" s="497" t="s">
        <v>488</v>
      </c>
      <c r="B21" s="547">
        <v>1000</v>
      </c>
      <c r="C21" s="502">
        <v>2500</v>
      </c>
      <c r="D21" s="547">
        <v>1000</v>
      </c>
      <c r="E21" s="502">
        <v>2500</v>
      </c>
      <c r="F21" s="498" t="s">
        <v>551</v>
      </c>
      <c r="G21" s="1012"/>
      <c r="H21" s="1013"/>
      <c r="I21" s="1014" t="s">
        <v>307</v>
      </c>
      <c r="J21" s="1015" t="s">
        <v>307</v>
      </c>
    </row>
    <row r="22" spans="1:10" s="706" customFormat="1" ht="12" customHeight="1" x14ac:dyDescent="0.2">
      <c r="A22" s="497" t="s">
        <v>489</v>
      </c>
      <c r="B22" s="547">
        <v>1000</v>
      </c>
      <c r="C22" s="502">
        <v>2500</v>
      </c>
      <c r="D22" s="547">
        <v>1000</v>
      </c>
      <c r="E22" s="502">
        <v>2500</v>
      </c>
      <c r="F22" s="498" t="s">
        <v>551</v>
      </c>
      <c r="G22" s="1012"/>
      <c r="H22" s="1013"/>
      <c r="I22" s="1014" t="s">
        <v>307</v>
      </c>
      <c r="J22" s="1015" t="s">
        <v>307</v>
      </c>
    </row>
    <row r="23" spans="1:10" s="706" customFormat="1" ht="12" customHeight="1" x14ac:dyDescent="0.2">
      <c r="A23" s="497" t="s">
        <v>490</v>
      </c>
      <c r="B23" s="547">
        <v>1000</v>
      </c>
      <c r="C23" s="502">
        <v>2500</v>
      </c>
      <c r="D23" s="547">
        <v>1000</v>
      </c>
      <c r="E23" s="502">
        <v>2500</v>
      </c>
      <c r="F23" s="498" t="s">
        <v>551</v>
      </c>
      <c r="G23" s="1012"/>
      <c r="H23" s="1013"/>
      <c r="I23" s="1014" t="s">
        <v>307</v>
      </c>
      <c r="J23" s="1015" t="s">
        <v>307</v>
      </c>
    </row>
    <row r="24" spans="1:10" ht="12" customHeight="1" x14ac:dyDescent="0.2">
      <c r="A24" s="497" t="s">
        <v>491</v>
      </c>
      <c r="B24" s="547">
        <v>1000</v>
      </c>
      <c r="C24" s="502">
        <v>2500</v>
      </c>
      <c r="D24" s="547">
        <v>1000</v>
      </c>
      <c r="E24" s="502">
        <v>2500</v>
      </c>
      <c r="F24" s="498" t="s">
        <v>551</v>
      </c>
      <c r="G24" s="1012"/>
      <c r="H24" s="1013"/>
      <c r="I24" s="1014" t="s">
        <v>307</v>
      </c>
      <c r="J24" s="1015" t="s">
        <v>307</v>
      </c>
    </row>
    <row r="25" spans="1:10" ht="12" customHeight="1" x14ac:dyDescent="0.2">
      <c r="A25" s="497" t="s">
        <v>492</v>
      </c>
      <c r="B25" s="547">
        <v>1000</v>
      </c>
      <c r="C25" s="502">
        <v>2500</v>
      </c>
      <c r="D25" s="547">
        <v>1000</v>
      </c>
      <c r="E25" s="502">
        <v>2500</v>
      </c>
      <c r="F25" s="498" t="s">
        <v>551</v>
      </c>
      <c r="G25" s="1012"/>
      <c r="H25" s="1013"/>
      <c r="I25" s="1014" t="s">
        <v>307</v>
      </c>
      <c r="J25" s="1015" t="s">
        <v>307</v>
      </c>
    </row>
    <row r="26" spans="1:10" ht="12" customHeight="1" x14ac:dyDescent="0.2">
      <c r="A26" s="497" t="s">
        <v>493</v>
      </c>
      <c r="B26" s="547">
        <v>1000</v>
      </c>
      <c r="C26" s="502">
        <v>2500</v>
      </c>
      <c r="D26" s="547">
        <v>1000</v>
      </c>
      <c r="E26" s="502">
        <v>2500</v>
      </c>
      <c r="F26" s="498" t="s">
        <v>551</v>
      </c>
      <c r="G26" s="1012"/>
      <c r="H26" s="1013"/>
      <c r="I26" s="1014" t="s">
        <v>307</v>
      </c>
      <c r="J26" s="1015" t="s">
        <v>307</v>
      </c>
    </row>
    <row r="27" spans="1:10" ht="12" customHeight="1" x14ac:dyDescent="0.2">
      <c r="A27" s="497" t="s">
        <v>494</v>
      </c>
      <c r="B27" s="547">
        <v>1000</v>
      </c>
      <c r="C27" s="502">
        <v>2500</v>
      </c>
      <c r="D27" s="547">
        <v>1000</v>
      </c>
      <c r="E27" s="502">
        <v>2500</v>
      </c>
      <c r="F27" s="498" t="s">
        <v>551</v>
      </c>
      <c r="G27" s="1012"/>
      <c r="H27" s="1013"/>
      <c r="I27" s="1014" t="s">
        <v>307</v>
      </c>
      <c r="J27" s="1015" t="s">
        <v>307</v>
      </c>
    </row>
    <row r="28" spans="1:10" ht="12" customHeight="1" x14ac:dyDescent="0.2">
      <c r="A28" s="497" t="s">
        <v>495</v>
      </c>
      <c r="B28" s="547">
        <v>1000</v>
      </c>
      <c r="C28" s="502">
        <v>2500</v>
      </c>
      <c r="D28" s="547">
        <v>1000</v>
      </c>
      <c r="E28" s="502">
        <v>2500</v>
      </c>
      <c r="F28" s="498" t="s">
        <v>551</v>
      </c>
      <c r="G28" s="1012"/>
      <c r="H28" s="1013"/>
      <c r="I28" s="1014" t="s">
        <v>307</v>
      </c>
      <c r="J28" s="1015" t="s">
        <v>307</v>
      </c>
    </row>
    <row r="29" spans="1:10" ht="12" customHeight="1" thickBot="1" x14ac:dyDescent="0.25">
      <c r="A29" s="507" t="s">
        <v>496</v>
      </c>
      <c r="B29" s="553">
        <v>1000</v>
      </c>
      <c r="C29" s="512">
        <v>2500</v>
      </c>
      <c r="D29" s="553">
        <v>1000</v>
      </c>
      <c r="E29" s="512">
        <v>2500</v>
      </c>
      <c r="F29" s="508" t="s">
        <v>551</v>
      </c>
      <c r="G29" s="1016"/>
      <c r="H29" s="1017"/>
      <c r="I29" s="1018" t="s">
        <v>307</v>
      </c>
      <c r="J29" s="1019" t="s">
        <v>307</v>
      </c>
    </row>
    <row r="30" spans="1:10" ht="11.25" customHeight="1" thickTop="1" x14ac:dyDescent="0.2">
      <c r="A30" s="514" t="s">
        <v>238</v>
      </c>
      <c r="C30" s="568"/>
      <c r="J30" s="1020"/>
    </row>
    <row r="31" spans="1:10" ht="11.25" customHeight="1" x14ac:dyDescent="0.2">
      <c r="A31" s="521" t="s">
        <v>828</v>
      </c>
      <c r="B31" s="568"/>
      <c r="C31" s="568"/>
      <c r="J31" s="1020"/>
    </row>
    <row r="32" spans="1:10" ht="11.25" customHeight="1" x14ac:dyDescent="0.2">
      <c r="A32" s="518" t="s">
        <v>592</v>
      </c>
      <c r="J32" s="1020"/>
    </row>
    <row r="33" spans="1:10" ht="11.25" customHeight="1" x14ac:dyDescent="0.2">
      <c r="A33" s="521" t="s">
        <v>829</v>
      </c>
      <c r="B33" s="568"/>
      <c r="C33" s="568"/>
      <c r="J33" s="1020"/>
    </row>
    <row r="34" spans="1:10" ht="11.25" customHeight="1" x14ac:dyDescent="0.2">
      <c r="A34" s="514"/>
      <c r="B34" s="568"/>
      <c r="C34" s="568"/>
      <c r="J34" s="1020"/>
    </row>
    <row r="35" spans="1:10" ht="11.25" customHeight="1" x14ac:dyDescent="0.2">
      <c r="A35" s="521" t="s">
        <v>830</v>
      </c>
      <c r="J35" s="1020"/>
    </row>
    <row r="36" spans="1:10" ht="11.25" customHeight="1" x14ac:dyDescent="0.2">
      <c r="A36" s="521" t="s">
        <v>831</v>
      </c>
      <c r="D36" s="505"/>
      <c r="E36" s="505"/>
      <c r="F36" s="470"/>
      <c r="G36" s="517"/>
      <c r="H36" s="517"/>
      <c r="I36" s="517"/>
      <c r="J36" s="561"/>
    </row>
    <row r="37" spans="1:10" ht="11.25" customHeight="1" x14ac:dyDescent="0.2">
      <c r="A37" s="521" t="s">
        <v>832</v>
      </c>
      <c r="J37" s="1020"/>
    </row>
    <row r="38" spans="1:10" ht="11.25" customHeight="1" x14ac:dyDescent="0.2">
      <c r="A38" s="521" t="s">
        <v>833</v>
      </c>
      <c r="J38" s="1020"/>
    </row>
    <row r="39" spans="1:10" ht="11.25" customHeight="1" x14ac:dyDescent="0.2">
      <c r="A39" s="521"/>
      <c r="B39" s="731"/>
      <c r="C39" s="731"/>
      <c r="D39" s="731"/>
      <c r="E39" s="731"/>
      <c r="F39" s="731"/>
      <c r="G39" s="731"/>
      <c r="H39" s="731"/>
      <c r="I39" s="731"/>
      <c r="J39" s="732"/>
    </row>
    <row r="40" spans="1:10" ht="11.25" customHeight="1" x14ac:dyDescent="0.2">
      <c r="A40" s="514" t="s">
        <v>834</v>
      </c>
      <c r="B40" s="568"/>
      <c r="C40" s="568"/>
      <c r="J40" s="1020"/>
    </row>
    <row r="41" spans="1:10" ht="11.25" customHeight="1" x14ac:dyDescent="0.2">
      <c r="A41" s="521" t="s">
        <v>835</v>
      </c>
      <c r="J41" s="1020"/>
    </row>
    <row r="42" spans="1:10" ht="11.25" customHeight="1" thickBot="1" x14ac:dyDescent="0.25">
      <c r="A42" s="849"/>
      <c r="B42" s="819"/>
      <c r="C42" s="819"/>
      <c r="D42" s="819"/>
      <c r="E42" s="819"/>
      <c r="F42" s="1021"/>
      <c r="G42" s="1022"/>
      <c r="H42" s="1022"/>
      <c r="I42" s="1022"/>
      <c r="J42" s="1023"/>
    </row>
    <row r="43" spans="1:10" ht="12" thickTop="1" x14ac:dyDescent="0.2"/>
  </sheetData>
  <sheetProtection algorithmName="SHA-512" hashValue="CKJW4NsWGl1JAFDlwh0xWbBV6uad9DDLiMhA4H8Udj2o/YEARCzg0Zx6GeirUuU4qEz/rz+nEPhW2eucvLFnIg==" saltValue="8eID+zogCvuxipxqp+E9mg==" spinCount="100000" sheet="1" objects="1" scenarios="1"/>
  <mergeCells count="1">
    <mergeCell ref="A1:J1"/>
  </mergeCells>
  <phoneticPr fontId="0" type="noConversion"/>
  <printOptions horizontalCentered="1"/>
  <pageMargins left="0.15748031496063" right="0.15748031496063" top="0.511811023622047" bottom="0.98425196850393704" header="0.511811023622047" footer="0.511811023622047"/>
  <pageSetup scale="82" fitToHeight="4" orientation="landscape" r:id="rId1"/>
  <headerFooter alignWithMargins="0">
    <oddFooter>&amp;LHawai'i DOH
PFASs November 2024&amp;C&amp;8Page &amp;P of &amp;N&amp;R&amp;A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indexed="29"/>
    <pageSetUpPr fitToPage="1"/>
  </sheetPr>
  <dimension ref="A1:L43"/>
  <sheetViews>
    <sheetView zoomScaleNormal="100" workbookViewId="0">
      <selection activeCell="F24" sqref="F24"/>
    </sheetView>
  </sheetViews>
  <sheetFormatPr defaultColWidth="9.140625" defaultRowHeight="12.75" x14ac:dyDescent="0.2"/>
  <cols>
    <col min="1" max="1" width="50.5703125" style="517" customWidth="1"/>
    <col min="2" max="3" width="15.140625" style="505" customWidth="1"/>
    <col min="4" max="5" width="12.5703125" style="515" customWidth="1"/>
    <col min="6" max="6" width="12.5703125" style="504" customWidth="1"/>
    <col min="7" max="8" width="14.5703125" style="781" customWidth="1"/>
    <col min="9" max="9" width="12.5703125" style="781" customWidth="1"/>
    <col min="10" max="10" width="12.7109375" style="638" customWidth="1"/>
    <col min="11" max="12" width="9.140625" style="627"/>
    <col min="13" max="16384" width="9.140625" style="517"/>
  </cols>
  <sheetData>
    <row r="1" spans="1:10" s="706" customFormat="1" ht="34.5" x14ac:dyDescent="0.25">
      <c r="A1" s="566" t="s">
        <v>836</v>
      </c>
      <c r="B1" s="972"/>
      <c r="C1" s="972"/>
      <c r="D1" s="468"/>
      <c r="E1" s="468"/>
      <c r="F1" s="473"/>
      <c r="G1" s="989"/>
      <c r="H1" s="989"/>
      <c r="I1" s="989"/>
      <c r="J1" s="631"/>
    </row>
    <row r="2" spans="1:10" s="706" customFormat="1" ht="16.350000000000001" customHeight="1" thickBot="1" x14ac:dyDescent="0.25">
      <c r="A2" s="1002"/>
      <c r="B2" s="468"/>
      <c r="C2" s="468"/>
      <c r="D2" s="468"/>
      <c r="E2" s="468"/>
      <c r="F2" s="473"/>
      <c r="G2" s="989"/>
      <c r="H2" s="989"/>
      <c r="I2" s="989"/>
      <c r="J2" s="631"/>
    </row>
    <row r="3" spans="1:10" s="706" customFormat="1" ht="72" customHeight="1" thickTop="1" thickBot="1" x14ac:dyDescent="0.25">
      <c r="A3" s="991" t="s">
        <v>624</v>
      </c>
      <c r="B3" s="537" t="s">
        <v>819</v>
      </c>
      <c r="C3" s="1003" t="s">
        <v>820</v>
      </c>
      <c r="D3" s="537" t="s">
        <v>821</v>
      </c>
      <c r="E3" s="1003" t="s">
        <v>822</v>
      </c>
      <c r="F3" s="1004" t="s">
        <v>823</v>
      </c>
      <c r="G3" s="1005" t="s">
        <v>824</v>
      </c>
      <c r="H3" s="1006" t="s">
        <v>825</v>
      </c>
      <c r="I3" s="1006" t="s">
        <v>826</v>
      </c>
      <c r="J3" s="1007" t="s">
        <v>827</v>
      </c>
    </row>
    <row r="4" spans="1:10" s="706" customFormat="1" ht="12" customHeight="1" x14ac:dyDescent="0.2">
      <c r="A4" s="490" t="s">
        <v>472</v>
      </c>
      <c r="B4" s="743">
        <v>2500</v>
      </c>
      <c r="C4" s="743">
        <v>5000</v>
      </c>
      <c r="D4" s="542">
        <v>2500</v>
      </c>
      <c r="E4" s="495">
        <v>5000</v>
      </c>
      <c r="F4" s="491" t="s">
        <v>551</v>
      </c>
      <c r="G4" s="1008"/>
      <c r="H4" s="1009"/>
      <c r="I4" s="1010"/>
      <c r="J4" s="1011" t="s">
        <v>307</v>
      </c>
    </row>
    <row r="5" spans="1:10" s="706" customFormat="1" ht="12" customHeight="1" x14ac:dyDescent="0.2">
      <c r="A5" s="497" t="s">
        <v>473</v>
      </c>
      <c r="B5" s="746">
        <v>2500</v>
      </c>
      <c r="C5" s="746">
        <v>5000</v>
      </c>
      <c r="D5" s="547">
        <v>2500</v>
      </c>
      <c r="E5" s="502">
        <v>5000</v>
      </c>
      <c r="F5" s="498" t="s">
        <v>551</v>
      </c>
      <c r="G5" s="1012"/>
      <c r="H5" s="1013"/>
      <c r="I5" s="1014"/>
      <c r="J5" s="1015" t="s">
        <v>307</v>
      </c>
    </row>
    <row r="6" spans="1:10" s="706" customFormat="1" ht="12" customHeight="1" x14ac:dyDescent="0.2">
      <c r="A6" s="497" t="s">
        <v>474</v>
      </c>
      <c r="B6" s="746">
        <v>2500</v>
      </c>
      <c r="C6" s="746">
        <v>5000</v>
      </c>
      <c r="D6" s="547">
        <v>2500</v>
      </c>
      <c r="E6" s="502">
        <v>5000</v>
      </c>
      <c r="F6" s="498" t="s">
        <v>551</v>
      </c>
      <c r="G6" s="1012"/>
      <c r="H6" s="1013"/>
      <c r="I6" s="1014"/>
      <c r="J6" s="1015" t="s">
        <v>307</v>
      </c>
    </row>
    <row r="7" spans="1:10" s="706" customFormat="1" ht="12" customHeight="1" x14ac:dyDescent="0.2">
      <c r="A7" s="497" t="s">
        <v>475</v>
      </c>
      <c r="B7" s="746">
        <v>2500</v>
      </c>
      <c r="C7" s="746">
        <v>5000</v>
      </c>
      <c r="D7" s="547">
        <v>2500</v>
      </c>
      <c r="E7" s="502">
        <v>5000</v>
      </c>
      <c r="F7" s="498" t="s">
        <v>551</v>
      </c>
      <c r="G7" s="1012"/>
      <c r="H7" s="1013"/>
      <c r="I7" s="1014"/>
      <c r="J7" s="1015" t="s">
        <v>307</v>
      </c>
    </row>
    <row r="8" spans="1:10" s="706" customFormat="1" ht="12" customHeight="1" x14ac:dyDescent="0.2">
      <c r="A8" s="497" t="s">
        <v>476</v>
      </c>
      <c r="B8" s="746">
        <v>2500</v>
      </c>
      <c r="C8" s="746">
        <v>5000</v>
      </c>
      <c r="D8" s="547">
        <v>2500</v>
      </c>
      <c r="E8" s="502">
        <v>5000</v>
      </c>
      <c r="F8" s="498" t="s">
        <v>551</v>
      </c>
      <c r="G8" s="1012"/>
      <c r="H8" s="1013"/>
      <c r="I8" s="1014"/>
      <c r="J8" s="1015" t="s">
        <v>307</v>
      </c>
    </row>
    <row r="9" spans="1:10" s="706" customFormat="1" ht="12" customHeight="1" x14ac:dyDescent="0.2">
      <c r="A9" s="497" t="s">
        <v>477</v>
      </c>
      <c r="B9" s="746">
        <v>2500</v>
      </c>
      <c r="C9" s="746">
        <v>5000</v>
      </c>
      <c r="D9" s="547">
        <v>2500</v>
      </c>
      <c r="E9" s="502">
        <v>5000</v>
      </c>
      <c r="F9" s="498" t="s">
        <v>551</v>
      </c>
      <c r="G9" s="1012"/>
      <c r="H9" s="1013"/>
      <c r="I9" s="1014"/>
      <c r="J9" s="1015" t="s">
        <v>307</v>
      </c>
    </row>
    <row r="10" spans="1:10" s="706" customFormat="1" ht="12" customHeight="1" x14ac:dyDescent="0.2">
      <c r="A10" s="497" t="s">
        <v>200</v>
      </c>
      <c r="B10" s="746">
        <v>2500</v>
      </c>
      <c r="C10" s="746">
        <v>5000</v>
      </c>
      <c r="D10" s="547">
        <v>2500</v>
      </c>
      <c r="E10" s="502">
        <v>5000</v>
      </c>
      <c r="F10" s="498">
        <v>149004.4165629714</v>
      </c>
      <c r="G10" s="1012"/>
      <c r="H10" s="1013"/>
      <c r="I10" s="1014"/>
      <c r="J10" s="1015" t="s">
        <v>307</v>
      </c>
    </row>
    <row r="11" spans="1:10" s="706" customFormat="1" ht="12" customHeight="1" x14ac:dyDescent="0.2">
      <c r="A11" s="497" t="s">
        <v>478</v>
      </c>
      <c r="B11" s="746">
        <v>2500</v>
      </c>
      <c r="C11" s="746">
        <v>3307.8546432463559</v>
      </c>
      <c r="D11" s="547">
        <v>2500</v>
      </c>
      <c r="E11" s="502">
        <v>5000</v>
      </c>
      <c r="F11" s="498">
        <v>3307.8546432463559</v>
      </c>
      <c r="G11" s="1012"/>
      <c r="H11" s="1013"/>
      <c r="I11" s="1014"/>
      <c r="J11" s="1015" t="s">
        <v>307</v>
      </c>
    </row>
    <row r="12" spans="1:10" s="706" customFormat="1" ht="12" customHeight="1" x14ac:dyDescent="0.2">
      <c r="A12" s="497" t="s">
        <v>479</v>
      </c>
      <c r="B12" s="746">
        <v>2500</v>
      </c>
      <c r="C12" s="746">
        <v>5000</v>
      </c>
      <c r="D12" s="547">
        <v>2500</v>
      </c>
      <c r="E12" s="502">
        <v>5000</v>
      </c>
      <c r="F12" s="498" t="s">
        <v>551</v>
      </c>
      <c r="G12" s="1012"/>
      <c r="H12" s="1013"/>
      <c r="I12" s="1014"/>
      <c r="J12" s="1015" t="s">
        <v>307</v>
      </c>
    </row>
    <row r="13" spans="1:10" s="706" customFormat="1" ht="12" customHeight="1" x14ac:dyDescent="0.2">
      <c r="A13" s="497" t="s">
        <v>480</v>
      </c>
      <c r="B13" s="746">
        <v>2500</v>
      </c>
      <c r="C13" s="746">
        <v>5000</v>
      </c>
      <c r="D13" s="547">
        <v>2500</v>
      </c>
      <c r="E13" s="502">
        <v>5000</v>
      </c>
      <c r="F13" s="498" t="s">
        <v>551</v>
      </c>
      <c r="G13" s="1012"/>
      <c r="H13" s="1013"/>
      <c r="I13" s="1014"/>
      <c r="J13" s="1015" t="s">
        <v>307</v>
      </c>
    </row>
    <row r="14" spans="1:10" s="706" customFormat="1" ht="12" customHeight="1" x14ac:dyDescent="0.2">
      <c r="A14" s="497" t="s">
        <v>481</v>
      </c>
      <c r="B14" s="746">
        <v>2500</v>
      </c>
      <c r="C14" s="746">
        <v>5000</v>
      </c>
      <c r="D14" s="547">
        <v>2500</v>
      </c>
      <c r="E14" s="502">
        <v>5000</v>
      </c>
      <c r="F14" s="498" t="s">
        <v>551</v>
      </c>
      <c r="G14" s="1012"/>
      <c r="H14" s="1013"/>
      <c r="I14" s="1014"/>
      <c r="J14" s="1015" t="s">
        <v>307</v>
      </c>
    </row>
    <row r="15" spans="1:10" s="706" customFormat="1" ht="12" customHeight="1" x14ac:dyDescent="0.2">
      <c r="A15" s="497" t="s">
        <v>482</v>
      </c>
      <c r="B15" s="746">
        <v>2500</v>
      </c>
      <c r="C15" s="746">
        <v>5000</v>
      </c>
      <c r="D15" s="547">
        <v>2500</v>
      </c>
      <c r="E15" s="502">
        <v>5000</v>
      </c>
      <c r="F15" s="498" t="s">
        <v>551</v>
      </c>
      <c r="G15" s="1012"/>
      <c r="H15" s="1013"/>
      <c r="I15" s="1014"/>
      <c r="J15" s="1015" t="s">
        <v>307</v>
      </c>
    </row>
    <row r="16" spans="1:10" s="706" customFormat="1" ht="12" customHeight="1" x14ac:dyDescent="0.2">
      <c r="A16" s="497" t="s">
        <v>483</v>
      </c>
      <c r="B16" s="746">
        <v>2500</v>
      </c>
      <c r="C16" s="746">
        <v>5000</v>
      </c>
      <c r="D16" s="547">
        <v>2500</v>
      </c>
      <c r="E16" s="502">
        <v>5000</v>
      </c>
      <c r="F16" s="498" t="s">
        <v>551</v>
      </c>
      <c r="G16" s="1012"/>
      <c r="H16" s="1013"/>
      <c r="I16" s="1014"/>
      <c r="J16" s="1015" t="s">
        <v>307</v>
      </c>
    </row>
    <row r="17" spans="1:10" s="706" customFormat="1" ht="12" customHeight="1" x14ac:dyDescent="0.2">
      <c r="A17" s="497" t="s">
        <v>484</v>
      </c>
      <c r="B17" s="746">
        <v>2500</v>
      </c>
      <c r="C17" s="746">
        <v>5000</v>
      </c>
      <c r="D17" s="547">
        <v>2500</v>
      </c>
      <c r="E17" s="502">
        <v>5000</v>
      </c>
      <c r="F17" s="498" t="s">
        <v>551</v>
      </c>
      <c r="G17" s="1012"/>
      <c r="H17" s="1013"/>
      <c r="I17" s="1014"/>
      <c r="J17" s="1015" t="s">
        <v>307</v>
      </c>
    </row>
    <row r="18" spans="1:10" s="706" customFormat="1" ht="12" customHeight="1" x14ac:dyDescent="0.2">
      <c r="A18" s="497" t="s">
        <v>485</v>
      </c>
      <c r="B18" s="746">
        <v>2500</v>
      </c>
      <c r="C18" s="746">
        <v>5000</v>
      </c>
      <c r="D18" s="547">
        <v>2500</v>
      </c>
      <c r="E18" s="502">
        <v>5000</v>
      </c>
      <c r="F18" s="498" t="s">
        <v>551</v>
      </c>
      <c r="G18" s="1012"/>
      <c r="H18" s="1013"/>
      <c r="I18" s="1014"/>
      <c r="J18" s="1015" t="s">
        <v>307</v>
      </c>
    </row>
    <row r="19" spans="1:10" s="706" customFormat="1" ht="12" customHeight="1" x14ac:dyDescent="0.2">
      <c r="A19" s="497" t="s">
        <v>486</v>
      </c>
      <c r="B19" s="746">
        <v>2500</v>
      </c>
      <c r="C19" s="746">
        <v>5000</v>
      </c>
      <c r="D19" s="547">
        <v>2500</v>
      </c>
      <c r="E19" s="502">
        <v>5000</v>
      </c>
      <c r="F19" s="498" t="s">
        <v>551</v>
      </c>
      <c r="G19" s="1012"/>
      <c r="H19" s="1013"/>
      <c r="I19" s="1014"/>
      <c r="J19" s="1015" t="s">
        <v>307</v>
      </c>
    </row>
    <row r="20" spans="1:10" s="706" customFormat="1" ht="12" customHeight="1" x14ac:dyDescent="0.2">
      <c r="A20" s="497" t="s">
        <v>487</v>
      </c>
      <c r="B20" s="746">
        <v>2500</v>
      </c>
      <c r="C20" s="746">
        <v>5000</v>
      </c>
      <c r="D20" s="547">
        <v>2500</v>
      </c>
      <c r="E20" s="502">
        <v>5000</v>
      </c>
      <c r="F20" s="498" t="s">
        <v>551</v>
      </c>
      <c r="G20" s="1012"/>
      <c r="H20" s="1013"/>
      <c r="I20" s="1014"/>
      <c r="J20" s="1015" t="s">
        <v>307</v>
      </c>
    </row>
    <row r="21" spans="1:10" s="706" customFormat="1" ht="12" customHeight="1" x14ac:dyDescent="0.2">
      <c r="A21" s="497" t="s">
        <v>488</v>
      </c>
      <c r="B21" s="746">
        <v>2500</v>
      </c>
      <c r="C21" s="746">
        <v>5000</v>
      </c>
      <c r="D21" s="547">
        <v>2500</v>
      </c>
      <c r="E21" s="502">
        <v>5000</v>
      </c>
      <c r="F21" s="498" t="s">
        <v>551</v>
      </c>
      <c r="G21" s="1012"/>
      <c r="H21" s="1013"/>
      <c r="I21" s="1014"/>
      <c r="J21" s="1015" t="s">
        <v>307</v>
      </c>
    </row>
    <row r="22" spans="1:10" s="706" customFormat="1" ht="12" customHeight="1" x14ac:dyDescent="0.2">
      <c r="A22" s="497" t="s">
        <v>489</v>
      </c>
      <c r="B22" s="746">
        <v>2500</v>
      </c>
      <c r="C22" s="746">
        <v>5000</v>
      </c>
      <c r="D22" s="547">
        <v>2500</v>
      </c>
      <c r="E22" s="502">
        <v>5000</v>
      </c>
      <c r="F22" s="498" t="s">
        <v>551</v>
      </c>
      <c r="G22" s="1012"/>
      <c r="H22" s="1013"/>
      <c r="I22" s="1014"/>
      <c r="J22" s="1015" t="s">
        <v>307</v>
      </c>
    </row>
    <row r="23" spans="1:10" s="706" customFormat="1" ht="12" customHeight="1" x14ac:dyDescent="0.2">
      <c r="A23" s="497" t="s">
        <v>490</v>
      </c>
      <c r="B23" s="746">
        <v>2500</v>
      </c>
      <c r="C23" s="746">
        <v>5000</v>
      </c>
      <c r="D23" s="547">
        <v>2500</v>
      </c>
      <c r="E23" s="502">
        <v>5000</v>
      </c>
      <c r="F23" s="498" t="s">
        <v>551</v>
      </c>
      <c r="G23" s="1012"/>
      <c r="H23" s="1013"/>
      <c r="I23" s="1014"/>
      <c r="J23" s="1015" t="s">
        <v>307</v>
      </c>
    </row>
    <row r="24" spans="1:10" ht="12" customHeight="1" x14ac:dyDescent="0.2">
      <c r="A24" s="497" t="s">
        <v>491</v>
      </c>
      <c r="B24" s="746">
        <v>2500</v>
      </c>
      <c r="C24" s="746">
        <v>5000</v>
      </c>
      <c r="D24" s="547">
        <v>2500</v>
      </c>
      <c r="E24" s="502">
        <v>5000</v>
      </c>
      <c r="F24" s="498" t="s">
        <v>551</v>
      </c>
      <c r="G24" s="1012"/>
      <c r="H24" s="1013"/>
      <c r="I24" s="1014"/>
      <c r="J24" s="1015" t="s">
        <v>307</v>
      </c>
    </row>
    <row r="25" spans="1:10" ht="12" customHeight="1" x14ac:dyDescent="0.2">
      <c r="A25" s="497" t="s">
        <v>492</v>
      </c>
      <c r="B25" s="746">
        <v>2500</v>
      </c>
      <c r="C25" s="746">
        <v>5000</v>
      </c>
      <c r="D25" s="547">
        <v>2500</v>
      </c>
      <c r="E25" s="502">
        <v>5000</v>
      </c>
      <c r="F25" s="498" t="s">
        <v>551</v>
      </c>
      <c r="G25" s="1012"/>
      <c r="H25" s="1013"/>
      <c r="I25" s="1014"/>
      <c r="J25" s="1015" t="s">
        <v>307</v>
      </c>
    </row>
    <row r="26" spans="1:10" ht="12" customHeight="1" x14ac:dyDescent="0.2">
      <c r="A26" s="497" t="s">
        <v>493</v>
      </c>
      <c r="B26" s="746">
        <v>2500</v>
      </c>
      <c r="C26" s="746">
        <v>5000</v>
      </c>
      <c r="D26" s="547">
        <v>2500</v>
      </c>
      <c r="E26" s="502">
        <v>5000</v>
      </c>
      <c r="F26" s="498" t="s">
        <v>551</v>
      </c>
      <c r="G26" s="1012"/>
      <c r="H26" s="1013"/>
      <c r="I26" s="1014"/>
      <c r="J26" s="1015" t="s">
        <v>307</v>
      </c>
    </row>
    <row r="27" spans="1:10" ht="12" customHeight="1" x14ac:dyDescent="0.2">
      <c r="A27" s="497" t="s">
        <v>494</v>
      </c>
      <c r="B27" s="746">
        <v>2500</v>
      </c>
      <c r="C27" s="746">
        <v>5000</v>
      </c>
      <c r="D27" s="547">
        <v>2500</v>
      </c>
      <c r="E27" s="502">
        <v>5000</v>
      </c>
      <c r="F27" s="498" t="s">
        <v>551</v>
      </c>
      <c r="G27" s="1012"/>
      <c r="H27" s="1013"/>
      <c r="I27" s="1014"/>
      <c r="J27" s="1015" t="s">
        <v>307</v>
      </c>
    </row>
    <row r="28" spans="1:10" ht="12" customHeight="1" x14ac:dyDescent="0.2">
      <c r="A28" s="497" t="s">
        <v>495</v>
      </c>
      <c r="B28" s="746">
        <v>2500</v>
      </c>
      <c r="C28" s="746">
        <v>5000</v>
      </c>
      <c r="D28" s="547">
        <v>2500</v>
      </c>
      <c r="E28" s="502">
        <v>5000</v>
      </c>
      <c r="F28" s="498" t="s">
        <v>551</v>
      </c>
      <c r="G28" s="1012"/>
      <c r="H28" s="1013"/>
      <c r="I28" s="1014"/>
      <c r="J28" s="1015" t="s">
        <v>307</v>
      </c>
    </row>
    <row r="29" spans="1:10" ht="12" customHeight="1" thickBot="1" x14ac:dyDescent="0.25">
      <c r="A29" s="507" t="s">
        <v>496</v>
      </c>
      <c r="B29" s="750">
        <v>2500</v>
      </c>
      <c r="C29" s="750">
        <v>5000</v>
      </c>
      <c r="D29" s="553">
        <v>2500</v>
      </c>
      <c r="E29" s="512">
        <v>5000</v>
      </c>
      <c r="F29" s="508" t="s">
        <v>551</v>
      </c>
      <c r="G29" s="1016"/>
      <c r="H29" s="1017"/>
      <c r="I29" s="1018"/>
      <c r="J29" s="1019" t="s">
        <v>307</v>
      </c>
    </row>
    <row r="30" spans="1:10" ht="11.25" customHeight="1" thickTop="1" x14ac:dyDescent="0.2">
      <c r="A30" s="514" t="s">
        <v>238</v>
      </c>
      <c r="B30" s="968"/>
      <c r="C30" s="968"/>
      <c r="J30" s="1020"/>
    </row>
    <row r="31" spans="1:10" ht="11.25" customHeight="1" x14ac:dyDescent="0.2">
      <c r="A31" s="521" t="s">
        <v>837</v>
      </c>
      <c r="B31" s="968"/>
      <c r="C31" s="968"/>
      <c r="J31" s="1020"/>
    </row>
    <row r="32" spans="1:10" ht="11.25" customHeight="1" x14ac:dyDescent="0.2">
      <c r="A32" s="518" t="s">
        <v>592</v>
      </c>
      <c r="J32" s="1020"/>
    </row>
    <row r="33" spans="1:12" ht="11.25" customHeight="1" x14ac:dyDescent="0.2">
      <c r="A33" s="521" t="s">
        <v>829</v>
      </c>
      <c r="B33" s="968"/>
      <c r="C33" s="968"/>
      <c r="J33" s="1020"/>
      <c r="K33" s="469"/>
      <c r="L33" s="469"/>
    </row>
    <row r="34" spans="1:12" ht="11.25" customHeight="1" x14ac:dyDescent="0.2">
      <c r="A34" s="514"/>
      <c r="B34" s="968"/>
      <c r="C34" s="968"/>
      <c r="J34" s="1020"/>
      <c r="K34" s="469"/>
      <c r="L34" s="469"/>
    </row>
    <row r="35" spans="1:12" ht="11.25" customHeight="1" x14ac:dyDescent="0.2">
      <c r="A35" s="521" t="s">
        <v>830</v>
      </c>
      <c r="J35" s="1020"/>
      <c r="K35" s="469"/>
      <c r="L35" s="469"/>
    </row>
    <row r="36" spans="1:12" ht="11.25" customHeight="1" x14ac:dyDescent="0.2">
      <c r="A36" s="521" t="s">
        <v>831</v>
      </c>
      <c r="D36" s="505"/>
      <c r="E36" s="505"/>
      <c r="F36" s="470"/>
      <c r="G36" s="517"/>
      <c r="H36" s="517"/>
      <c r="I36" s="517"/>
      <c r="J36" s="561"/>
      <c r="K36" s="517"/>
      <c r="L36" s="517"/>
    </row>
    <row r="37" spans="1:12" ht="11.25" customHeight="1" x14ac:dyDescent="0.2">
      <c r="A37" s="521" t="s">
        <v>832</v>
      </c>
      <c r="J37" s="1020"/>
      <c r="K37" s="469"/>
      <c r="L37" s="469"/>
    </row>
    <row r="38" spans="1:12" ht="11.25" customHeight="1" x14ac:dyDescent="0.2">
      <c r="A38" s="521" t="s">
        <v>833</v>
      </c>
      <c r="J38" s="1020"/>
      <c r="K38" s="469"/>
      <c r="L38" s="469"/>
    </row>
    <row r="39" spans="1:12" ht="11.25" customHeight="1" x14ac:dyDescent="0.2">
      <c r="A39" s="521"/>
      <c r="J39" s="1020"/>
      <c r="K39" s="469"/>
      <c r="L39" s="469"/>
    </row>
    <row r="40" spans="1:12" ht="11.25" customHeight="1" x14ac:dyDescent="0.2">
      <c r="A40" s="514" t="s">
        <v>834</v>
      </c>
      <c r="B40" s="731"/>
      <c r="C40" s="731"/>
      <c r="D40" s="731"/>
      <c r="E40" s="731"/>
      <c r="F40" s="731"/>
      <c r="G40" s="731"/>
      <c r="H40" s="731"/>
      <c r="I40" s="731"/>
      <c r="J40" s="732"/>
      <c r="K40" s="469"/>
      <c r="L40" s="469"/>
    </row>
    <row r="41" spans="1:12" ht="11.25" customHeight="1" x14ac:dyDescent="0.2">
      <c r="A41" s="521" t="s">
        <v>835</v>
      </c>
      <c r="B41" s="731"/>
      <c r="C41" s="731"/>
      <c r="D41" s="731"/>
      <c r="E41" s="731"/>
      <c r="F41" s="731"/>
      <c r="G41" s="731"/>
      <c r="H41" s="731"/>
      <c r="I41" s="731"/>
      <c r="J41" s="732"/>
      <c r="K41" s="469"/>
      <c r="L41" s="469"/>
    </row>
    <row r="42" spans="1:12" ht="11.25" customHeight="1" thickBot="1" x14ac:dyDescent="0.25">
      <c r="A42" s="849"/>
      <c r="B42" s="786"/>
      <c r="C42" s="786"/>
      <c r="D42" s="819"/>
      <c r="E42" s="819"/>
      <c r="F42" s="1021"/>
      <c r="G42" s="1022"/>
      <c r="H42" s="1022"/>
      <c r="I42" s="1022"/>
      <c r="J42" s="1023"/>
      <c r="K42" s="469"/>
      <c r="L42" s="469"/>
    </row>
    <row r="43" spans="1:12" ht="13.5" thickTop="1" x14ac:dyDescent="0.2">
      <c r="K43" s="469"/>
      <c r="L43" s="469"/>
    </row>
  </sheetData>
  <sheetProtection algorithmName="SHA-512" hashValue="COUlJINRPMOlwE3Qc55CIQQUP0m2F5cCmxdgTMnQrHf2oYo7B5ipI02psRuxDuPx7/QYYBBYEG5sXjPwU3UdMA==" saltValue="YR8vfSnURw7B2qxIP8rgJQ==" spinCount="100000" sheet="1" objects="1" scenarios="1"/>
  <phoneticPr fontId="0" type="noConversion"/>
  <printOptions horizontalCentered="1"/>
  <pageMargins left="0.15748031496063" right="0.15748031496063" top="0.511811023622047" bottom="0.98425196850393704" header="0.511811023622047" footer="0.511811023622047"/>
  <pageSetup scale="80" fitToHeight="4" orientation="landscape" r:id="rId1"/>
  <headerFooter alignWithMargins="0">
    <oddFooter>&amp;LHawai'i DOH
PFASs November 2024&amp;C&amp;8Page &amp;P of &amp;N&amp;R&amp;A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indexed="29"/>
    <pageSetUpPr fitToPage="1"/>
  </sheetPr>
  <dimension ref="A1:L37"/>
  <sheetViews>
    <sheetView zoomScaleNormal="100" workbookViewId="0">
      <selection activeCell="F24" sqref="F24"/>
    </sheetView>
  </sheetViews>
  <sheetFormatPr defaultColWidth="9.140625" defaultRowHeight="12.75" x14ac:dyDescent="0.2"/>
  <cols>
    <col min="1" max="1" width="50.5703125" style="517" customWidth="1"/>
    <col min="2" max="2" width="12.5703125" style="515" customWidth="1"/>
    <col min="3" max="3" width="20.7109375" style="784" customWidth="1"/>
    <col min="4" max="5" width="12.5703125" style="515" customWidth="1"/>
    <col min="6" max="6" width="13.5703125" style="515" customWidth="1"/>
    <col min="7" max="7" width="12.5703125" style="515" customWidth="1"/>
    <col min="8" max="8" width="9" style="519"/>
    <col min="9" max="9" width="14.140625" style="519" customWidth="1"/>
    <col min="10" max="10" width="9" style="519"/>
    <col min="11" max="11" width="10.5703125" style="519" customWidth="1"/>
    <col min="12" max="12" width="9.140625" style="1001"/>
    <col min="13" max="16384" width="9.140625" style="517"/>
  </cols>
  <sheetData>
    <row r="1" spans="1:12" s="706" customFormat="1" ht="47.25" x14ac:dyDescent="0.25">
      <c r="A1" s="566" t="s">
        <v>838</v>
      </c>
      <c r="B1" s="468"/>
      <c r="C1" s="468"/>
      <c r="D1" s="468"/>
      <c r="E1" s="468"/>
      <c r="F1" s="472"/>
      <c r="G1" s="468"/>
      <c r="H1" s="519"/>
      <c r="I1" s="519"/>
      <c r="J1" s="519"/>
      <c r="K1" s="519"/>
      <c r="L1" s="1000"/>
    </row>
    <row r="2" spans="1:12" s="706" customFormat="1" ht="16.350000000000001" customHeight="1" thickBot="1" x14ac:dyDescent="0.25">
      <c r="A2" s="989"/>
      <c r="B2" s="468"/>
      <c r="C2" s="990"/>
      <c r="D2" s="468"/>
      <c r="E2" s="468"/>
      <c r="F2" s="472"/>
      <c r="G2" s="468"/>
      <c r="H2" s="519"/>
      <c r="I2" s="519"/>
      <c r="J2" s="519"/>
      <c r="K2" s="519"/>
      <c r="L2" s="1000"/>
    </row>
    <row r="3" spans="1:12" s="706" customFormat="1" ht="35.25" thickTop="1" thickBot="1" x14ac:dyDescent="0.25">
      <c r="A3" s="991" t="s">
        <v>469</v>
      </c>
      <c r="B3" s="992" t="s">
        <v>839</v>
      </c>
      <c r="C3" s="993" t="s">
        <v>405</v>
      </c>
      <c r="D3" s="994" t="s">
        <v>840</v>
      </c>
      <c r="E3" s="995" t="s">
        <v>841</v>
      </c>
      <c r="F3" s="995" t="s">
        <v>405</v>
      </c>
      <c r="G3" s="831" t="s">
        <v>842</v>
      </c>
      <c r="H3" s="519"/>
      <c r="I3" s="519"/>
      <c r="J3" s="519"/>
      <c r="K3" s="519"/>
      <c r="L3" s="1000"/>
    </row>
    <row r="4" spans="1:12" s="706" customFormat="1" ht="12" customHeight="1" x14ac:dyDescent="0.2">
      <c r="A4" s="490" t="s">
        <v>472</v>
      </c>
      <c r="B4" s="542">
        <v>50000</v>
      </c>
      <c r="C4" s="996" t="s">
        <v>842</v>
      </c>
      <c r="D4" s="542">
        <v>1084201.25</v>
      </c>
      <c r="E4" s="963"/>
      <c r="F4" s="963"/>
      <c r="G4" s="745">
        <v>50000</v>
      </c>
      <c r="H4" s="519"/>
      <c r="I4" s="519"/>
      <c r="J4" s="519"/>
      <c r="K4" s="519"/>
      <c r="L4" s="1000"/>
    </row>
    <row r="5" spans="1:12" s="706" customFormat="1" ht="12" customHeight="1" x14ac:dyDescent="0.2">
      <c r="A5" s="497" t="s">
        <v>473</v>
      </c>
      <c r="B5" s="547">
        <v>50000</v>
      </c>
      <c r="C5" s="997" t="s">
        <v>842</v>
      </c>
      <c r="D5" s="547">
        <v>65612000</v>
      </c>
      <c r="E5" s="836"/>
      <c r="F5" s="836"/>
      <c r="G5" s="748">
        <v>50000</v>
      </c>
      <c r="H5" s="519"/>
      <c r="I5" s="519"/>
      <c r="J5" s="519"/>
      <c r="K5" s="519"/>
      <c r="L5" s="1000"/>
    </row>
    <row r="6" spans="1:12" s="706" customFormat="1" ht="12" customHeight="1" x14ac:dyDescent="0.2">
      <c r="A6" s="497" t="s">
        <v>474</v>
      </c>
      <c r="B6" s="547">
        <v>50000</v>
      </c>
      <c r="C6" s="997" t="s">
        <v>842</v>
      </c>
      <c r="D6" s="547">
        <v>85207850</v>
      </c>
      <c r="E6" s="836"/>
      <c r="F6" s="836"/>
      <c r="G6" s="748">
        <v>50000</v>
      </c>
      <c r="H6" s="519"/>
      <c r="I6" s="519"/>
      <c r="J6" s="519"/>
      <c r="K6" s="519"/>
      <c r="L6" s="1000"/>
    </row>
    <row r="7" spans="1:12" s="706" customFormat="1" ht="12" customHeight="1" x14ac:dyDescent="0.2">
      <c r="A7" s="497" t="s">
        <v>475</v>
      </c>
      <c r="B7" s="547">
        <v>50000</v>
      </c>
      <c r="C7" s="997" t="s">
        <v>842</v>
      </c>
      <c r="D7" s="547">
        <v>176275675.00000003</v>
      </c>
      <c r="E7" s="836"/>
      <c r="F7" s="836"/>
      <c r="G7" s="748">
        <v>50000</v>
      </c>
      <c r="H7" s="519"/>
      <c r="I7" s="519"/>
      <c r="J7" s="519"/>
      <c r="K7" s="519"/>
      <c r="L7" s="1000"/>
    </row>
    <row r="8" spans="1:12" s="706" customFormat="1" ht="12" customHeight="1" x14ac:dyDescent="0.2">
      <c r="A8" s="497" t="s">
        <v>476</v>
      </c>
      <c r="B8" s="547">
        <v>50000</v>
      </c>
      <c r="C8" s="997" t="s">
        <v>842</v>
      </c>
      <c r="D8" s="547">
        <v>282002800</v>
      </c>
      <c r="E8" s="836"/>
      <c r="F8" s="836"/>
      <c r="G8" s="748">
        <v>50000</v>
      </c>
      <c r="H8" s="519"/>
      <c r="I8" s="519"/>
      <c r="J8" s="519"/>
      <c r="K8" s="519"/>
      <c r="L8" s="1000"/>
    </row>
    <row r="9" spans="1:12" s="706" customFormat="1" ht="12" customHeight="1" x14ac:dyDescent="0.2">
      <c r="A9" s="497" t="s">
        <v>477</v>
      </c>
      <c r="B9" s="547">
        <v>50000</v>
      </c>
      <c r="C9" s="997" t="s">
        <v>842</v>
      </c>
      <c r="D9" s="547">
        <v>500000000</v>
      </c>
      <c r="E9" s="836"/>
      <c r="F9" s="836"/>
      <c r="G9" s="748">
        <v>50000</v>
      </c>
      <c r="H9" s="519"/>
      <c r="I9" s="519"/>
      <c r="J9" s="519"/>
      <c r="K9" s="519"/>
      <c r="L9" s="1000"/>
    </row>
    <row r="10" spans="1:12" s="706" customFormat="1" ht="12" customHeight="1" x14ac:dyDescent="0.2">
      <c r="A10" s="497" t="s">
        <v>200</v>
      </c>
      <c r="B10" s="547">
        <v>50000</v>
      </c>
      <c r="C10" s="997" t="s">
        <v>842</v>
      </c>
      <c r="D10" s="547">
        <v>496570165.00000006</v>
      </c>
      <c r="E10" s="836"/>
      <c r="F10" s="836"/>
      <c r="G10" s="748">
        <v>50000</v>
      </c>
      <c r="H10" s="519"/>
      <c r="I10" s="519"/>
      <c r="J10" s="519"/>
      <c r="K10" s="519"/>
      <c r="L10" s="1000"/>
    </row>
    <row r="11" spans="1:12" s="706" customFormat="1" ht="12" customHeight="1" x14ac:dyDescent="0.2">
      <c r="A11" s="497" t="s">
        <v>478</v>
      </c>
      <c r="B11" s="547">
        <v>50000</v>
      </c>
      <c r="C11" s="997" t="s">
        <v>842</v>
      </c>
      <c r="D11" s="547">
        <v>12218000</v>
      </c>
      <c r="E11" s="836"/>
      <c r="F11" s="836"/>
      <c r="G11" s="748">
        <v>50000</v>
      </c>
      <c r="H11" s="519"/>
      <c r="I11" s="519"/>
      <c r="J11" s="519"/>
      <c r="K11" s="519"/>
      <c r="L11" s="1000"/>
    </row>
    <row r="12" spans="1:12" s="706" customFormat="1" ht="12" customHeight="1" x14ac:dyDescent="0.2">
      <c r="A12" s="497" t="s">
        <v>479</v>
      </c>
      <c r="B12" s="547">
        <v>50000</v>
      </c>
      <c r="C12" s="997" t="s">
        <v>842</v>
      </c>
      <c r="D12" s="547">
        <v>73069633.000000015</v>
      </c>
      <c r="E12" s="836"/>
      <c r="F12" s="836"/>
      <c r="G12" s="748">
        <v>50000</v>
      </c>
      <c r="H12" s="519"/>
      <c r="I12" s="519"/>
      <c r="J12" s="519"/>
      <c r="K12" s="519"/>
      <c r="L12" s="1000"/>
    </row>
    <row r="13" spans="1:12" s="706" customFormat="1" ht="12" customHeight="1" x14ac:dyDescent="0.2">
      <c r="A13" s="497" t="s">
        <v>480</v>
      </c>
      <c r="B13" s="547">
        <v>50000</v>
      </c>
      <c r="C13" s="997" t="s">
        <v>842</v>
      </c>
      <c r="D13" s="547">
        <v>121655537.49999999</v>
      </c>
      <c r="E13" s="836"/>
      <c r="F13" s="836"/>
      <c r="G13" s="748">
        <v>50000</v>
      </c>
      <c r="H13" s="519"/>
      <c r="I13" s="519"/>
      <c r="J13" s="519"/>
      <c r="K13" s="519"/>
      <c r="L13" s="1000"/>
    </row>
    <row r="14" spans="1:12" s="706" customFormat="1" ht="12" customHeight="1" x14ac:dyDescent="0.2">
      <c r="A14" s="497" t="s">
        <v>481</v>
      </c>
      <c r="B14" s="547">
        <v>50000</v>
      </c>
      <c r="C14" s="997" t="s">
        <v>842</v>
      </c>
      <c r="D14" s="547">
        <v>172175850.00000003</v>
      </c>
      <c r="E14" s="836"/>
      <c r="F14" s="836"/>
      <c r="G14" s="748">
        <v>50000</v>
      </c>
      <c r="H14" s="519"/>
      <c r="I14" s="519"/>
      <c r="J14" s="519"/>
      <c r="K14" s="519"/>
      <c r="L14" s="1000"/>
    </row>
    <row r="15" spans="1:12" s="706" customFormat="1" ht="12" customHeight="1" x14ac:dyDescent="0.2">
      <c r="A15" s="497" t="s">
        <v>482</v>
      </c>
      <c r="B15" s="547">
        <v>50000</v>
      </c>
      <c r="C15" s="997" t="s">
        <v>842</v>
      </c>
      <c r="D15" s="547">
        <v>265030149.99999997</v>
      </c>
      <c r="E15" s="836"/>
      <c r="F15" s="836"/>
      <c r="G15" s="748">
        <v>50000</v>
      </c>
      <c r="H15" s="519"/>
      <c r="I15" s="519"/>
      <c r="J15" s="519"/>
      <c r="K15" s="519"/>
      <c r="L15" s="1000"/>
    </row>
    <row r="16" spans="1:12" s="706" customFormat="1" ht="12" customHeight="1" x14ac:dyDescent="0.2">
      <c r="A16" s="497" t="s">
        <v>483</v>
      </c>
      <c r="B16" s="547">
        <v>50000</v>
      </c>
      <c r="C16" s="997" t="s">
        <v>842</v>
      </c>
      <c r="D16" s="547">
        <v>311862565</v>
      </c>
      <c r="E16" s="836"/>
      <c r="F16" s="836"/>
      <c r="G16" s="748">
        <v>50000</v>
      </c>
      <c r="H16" s="519"/>
      <c r="I16" s="519"/>
      <c r="J16" s="519"/>
      <c r="K16" s="519"/>
      <c r="L16" s="1000"/>
    </row>
    <row r="17" spans="1:12" s="706" customFormat="1" ht="12" customHeight="1" x14ac:dyDescent="0.2">
      <c r="A17" s="497" t="s">
        <v>484</v>
      </c>
      <c r="B17" s="547">
        <v>50000</v>
      </c>
      <c r="C17" s="997" t="s">
        <v>842</v>
      </c>
      <c r="D17" s="547">
        <v>388978800</v>
      </c>
      <c r="E17" s="836"/>
      <c r="F17" s="836"/>
      <c r="G17" s="748">
        <v>50000</v>
      </c>
      <c r="H17" s="519"/>
      <c r="I17" s="519"/>
      <c r="J17" s="519"/>
      <c r="K17" s="519"/>
      <c r="L17" s="1000"/>
    </row>
    <row r="18" spans="1:12" s="706" customFormat="1" ht="12" customHeight="1" x14ac:dyDescent="0.2">
      <c r="A18" s="497" t="s">
        <v>485</v>
      </c>
      <c r="B18" s="547">
        <v>50000</v>
      </c>
      <c r="C18" s="997" t="s">
        <v>842</v>
      </c>
      <c r="D18" s="547">
        <v>477162540</v>
      </c>
      <c r="E18" s="836"/>
      <c r="F18" s="836"/>
      <c r="G18" s="748">
        <v>50000</v>
      </c>
      <c r="H18" s="519"/>
      <c r="I18" s="519"/>
      <c r="J18" s="519"/>
      <c r="K18" s="519"/>
      <c r="L18" s="1000"/>
    </row>
    <row r="19" spans="1:12" s="706" customFormat="1" ht="12" customHeight="1" x14ac:dyDescent="0.2">
      <c r="A19" s="497" t="s">
        <v>486</v>
      </c>
      <c r="B19" s="547">
        <v>50000</v>
      </c>
      <c r="C19" s="997" t="s">
        <v>842</v>
      </c>
      <c r="D19" s="547">
        <v>500000000</v>
      </c>
      <c r="E19" s="836"/>
      <c r="F19" s="836"/>
      <c r="G19" s="748">
        <v>50000</v>
      </c>
      <c r="H19" s="519"/>
      <c r="I19" s="519"/>
      <c r="J19" s="519"/>
      <c r="K19" s="519"/>
      <c r="L19" s="1000"/>
    </row>
    <row r="20" spans="1:12" s="706" customFormat="1" ht="12" customHeight="1" x14ac:dyDescent="0.2">
      <c r="A20" s="497" t="s">
        <v>487</v>
      </c>
      <c r="B20" s="547">
        <v>50000</v>
      </c>
      <c r="C20" s="997" t="s">
        <v>842</v>
      </c>
      <c r="D20" s="547">
        <v>500000000</v>
      </c>
      <c r="E20" s="836"/>
      <c r="F20" s="836"/>
      <c r="G20" s="748">
        <v>50000</v>
      </c>
      <c r="H20" s="519"/>
      <c r="I20" s="519"/>
      <c r="J20" s="519"/>
      <c r="K20" s="519"/>
      <c r="L20" s="1000"/>
    </row>
    <row r="21" spans="1:12" s="706" customFormat="1" ht="12" customHeight="1" x14ac:dyDescent="0.2">
      <c r="A21" s="497" t="s">
        <v>488</v>
      </c>
      <c r="B21" s="547">
        <v>50000</v>
      </c>
      <c r="C21" s="997" t="s">
        <v>842</v>
      </c>
      <c r="D21" s="547">
        <v>500000000</v>
      </c>
      <c r="E21" s="836"/>
      <c r="F21" s="836"/>
      <c r="G21" s="748">
        <v>50000</v>
      </c>
      <c r="H21" s="519"/>
      <c r="I21" s="519"/>
      <c r="J21" s="519"/>
      <c r="K21" s="519"/>
      <c r="L21" s="1000"/>
    </row>
    <row r="22" spans="1:12" s="706" customFormat="1" ht="12" customHeight="1" x14ac:dyDescent="0.2">
      <c r="A22" s="497" t="s">
        <v>489</v>
      </c>
      <c r="B22" s="547">
        <v>50000</v>
      </c>
      <c r="C22" s="997" t="s">
        <v>842</v>
      </c>
      <c r="D22" s="547">
        <v>500000000</v>
      </c>
      <c r="E22" s="836"/>
      <c r="F22" s="836"/>
      <c r="G22" s="748">
        <v>50000</v>
      </c>
      <c r="H22" s="519"/>
      <c r="I22" s="519"/>
      <c r="J22" s="519"/>
      <c r="K22" s="519"/>
      <c r="L22" s="1000"/>
    </row>
    <row r="23" spans="1:12" s="706" customFormat="1" ht="12" customHeight="1" x14ac:dyDescent="0.2">
      <c r="A23" s="497" t="s">
        <v>490</v>
      </c>
      <c r="B23" s="547">
        <v>50000</v>
      </c>
      <c r="C23" s="997" t="s">
        <v>842</v>
      </c>
      <c r="D23" s="547">
        <v>500000000</v>
      </c>
      <c r="E23" s="836"/>
      <c r="F23" s="836"/>
      <c r="G23" s="748">
        <v>50000</v>
      </c>
      <c r="H23" s="519"/>
      <c r="I23" s="519"/>
      <c r="J23" s="519"/>
      <c r="K23" s="519"/>
      <c r="L23" s="1000"/>
    </row>
    <row r="24" spans="1:12" ht="12" customHeight="1" x14ac:dyDescent="0.2">
      <c r="A24" s="497" t="s">
        <v>491</v>
      </c>
      <c r="B24" s="547">
        <v>50000</v>
      </c>
      <c r="C24" s="997" t="s">
        <v>842</v>
      </c>
      <c r="D24" s="547">
        <v>500000000</v>
      </c>
      <c r="E24" s="836"/>
      <c r="F24" s="836"/>
      <c r="G24" s="748">
        <v>50000</v>
      </c>
    </row>
    <row r="25" spans="1:12" ht="12" customHeight="1" x14ac:dyDescent="0.2">
      <c r="A25" s="497" t="s">
        <v>492</v>
      </c>
      <c r="B25" s="547">
        <v>50000</v>
      </c>
      <c r="C25" s="997" t="s">
        <v>842</v>
      </c>
      <c r="D25" s="547">
        <v>286090000.00000006</v>
      </c>
      <c r="E25" s="836"/>
      <c r="F25" s="836"/>
      <c r="G25" s="748">
        <v>50000</v>
      </c>
    </row>
    <row r="26" spans="1:12" ht="12" customHeight="1" x14ac:dyDescent="0.2">
      <c r="A26" s="497" t="s">
        <v>493</v>
      </c>
      <c r="B26" s="547">
        <v>50000</v>
      </c>
      <c r="C26" s="997" t="s">
        <v>842</v>
      </c>
      <c r="D26" s="547">
        <v>108500000</v>
      </c>
      <c r="E26" s="836"/>
      <c r="F26" s="836"/>
      <c r="G26" s="748">
        <v>50000</v>
      </c>
    </row>
    <row r="27" spans="1:12" ht="12" customHeight="1" x14ac:dyDescent="0.2">
      <c r="A27" s="497" t="s">
        <v>494</v>
      </c>
      <c r="B27" s="547">
        <v>8808.7999999999993</v>
      </c>
      <c r="C27" s="997" t="s">
        <v>1131</v>
      </c>
      <c r="D27" s="547">
        <v>8808.7999999999993</v>
      </c>
      <c r="E27" s="836"/>
      <c r="F27" s="836"/>
      <c r="G27" s="748">
        <v>50000</v>
      </c>
    </row>
    <row r="28" spans="1:12" ht="12" customHeight="1" x14ac:dyDescent="0.2">
      <c r="A28" s="497" t="s">
        <v>495</v>
      </c>
      <c r="B28" s="547">
        <v>98.831999999999994</v>
      </c>
      <c r="C28" s="997" t="s">
        <v>1131</v>
      </c>
      <c r="D28" s="547">
        <v>98.831999999999994</v>
      </c>
      <c r="E28" s="836"/>
      <c r="F28" s="836"/>
      <c r="G28" s="748">
        <v>50000</v>
      </c>
    </row>
    <row r="29" spans="1:12" ht="12" customHeight="1" thickBot="1" x14ac:dyDescent="0.25">
      <c r="A29" s="507" t="s">
        <v>496</v>
      </c>
      <c r="B29" s="553">
        <v>50000</v>
      </c>
      <c r="C29" s="998" t="s">
        <v>842</v>
      </c>
      <c r="D29" s="553">
        <v>95811</v>
      </c>
      <c r="E29" s="966"/>
      <c r="F29" s="966"/>
      <c r="G29" s="752">
        <v>50000</v>
      </c>
    </row>
    <row r="30" spans="1:12" ht="11.25" customHeight="1" thickTop="1" x14ac:dyDescent="0.2">
      <c r="A30" s="514" t="s">
        <v>672</v>
      </c>
      <c r="G30" s="522"/>
    </row>
    <row r="31" spans="1:12" ht="14.1" customHeight="1" x14ac:dyDescent="0.2">
      <c r="A31" s="1526" t="s">
        <v>843</v>
      </c>
      <c r="B31" s="1523"/>
      <c r="C31" s="1523"/>
      <c r="D31" s="1523"/>
      <c r="E31" s="1523"/>
      <c r="F31" s="1523"/>
      <c r="G31" s="1524"/>
    </row>
    <row r="32" spans="1:12" ht="11.25" customHeight="1" x14ac:dyDescent="0.2">
      <c r="A32" s="521" t="s">
        <v>844</v>
      </c>
      <c r="G32" s="522"/>
    </row>
    <row r="33" spans="1:7" ht="11.25" customHeight="1" x14ac:dyDescent="0.2">
      <c r="A33" s="521"/>
      <c r="G33" s="522"/>
    </row>
    <row r="34" spans="1:7" ht="11.25" customHeight="1" x14ac:dyDescent="0.2">
      <c r="A34" s="514" t="s">
        <v>238</v>
      </c>
      <c r="G34" s="522"/>
    </row>
    <row r="35" spans="1:7" ht="11.25" customHeight="1" x14ac:dyDescent="0.2">
      <c r="A35" s="521" t="s">
        <v>845</v>
      </c>
      <c r="G35" s="522"/>
    </row>
    <row r="36" spans="1:7" ht="11.25" customHeight="1" thickBot="1" x14ac:dyDescent="0.25">
      <c r="A36" s="849"/>
      <c r="B36" s="819"/>
      <c r="C36" s="524"/>
      <c r="D36" s="819"/>
      <c r="E36" s="819"/>
      <c r="F36" s="819"/>
      <c r="G36" s="820"/>
    </row>
    <row r="37" spans="1:7" ht="13.5" thickTop="1" x14ac:dyDescent="0.2"/>
  </sheetData>
  <sheetProtection algorithmName="SHA-512" hashValue="Lpa3jlJy1Bv4Od7EUBFB8e8eU8bEdQ93DpJF0eUtXawWq8Fcv/bfUIgx/5dQHI8NYFa7ym4T8x5WWhVxiaK07A==" saltValue="wO8ER/tZE2yTDtmLM05aeA==" spinCount="100000" sheet="1" objects="1" scenarios="1"/>
  <mergeCells count="1">
    <mergeCell ref="A31:G31"/>
  </mergeCells>
  <phoneticPr fontId="0" type="noConversion"/>
  <printOptions horizontalCentered="1"/>
  <pageMargins left="0.15748031496063" right="0.15748031496063" top="0.511811023622047" bottom="0.98425196850393704" header="0.511811023622047" footer="0.511811023622047"/>
  <pageSetup fitToHeight="4" orientation="landscape" r:id="rId1"/>
  <headerFooter alignWithMargins="0">
    <oddFooter>&amp;LHawai'i DOH
PFASs November 2024&amp;C&amp;8Page &amp;P of &amp;N&amp;R&amp;A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indexed="29"/>
    <pageSetUpPr fitToPage="1"/>
  </sheetPr>
  <dimension ref="A1:G38"/>
  <sheetViews>
    <sheetView zoomScaleNormal="100" workbookViewId="0">
      <selection activeCell="F24" sqref="F24"/>
    </sheetView>
  </sheetViews>
  <sheetFormatPr defaultColWidth="9.140625" defaultRowHeight="11.25" x14ac:dyDescent="0.2"/>
  <cols>
    <col min="1" max="1" width="50.5703125" style="517" customWidth="1"/>
    <col min="2" max="2" width="12.5703125" style="515" customWidth="1"/>
    <col min="3" max="3" width="20.7109375" style="784" customWidth="1"/>
    <col min="4" max="5" width="12.5703125" style="515" customWidth="1"/>
    <col min="6" max="6" width="12.85546875" style="515" customWidth="1"/>
    <col min="7" max="7" width="12.5703125" style="515" customWidth="1"/>
    <col min="8" max="16384" width="9.140625" style="517"/>
  </cols>
  <sheetData>
    <row r="1" spans="1:7" s="706" customFormat="1" ht="47.25" x14ac:dyDescent="0.25">
      <c r="A1" s="566" t="s">
        <v>846</v>
      </c>
      <c r="B1" s="468"/>
      <c r="C1" s="468"/>
      <c r="D1" s="468"/>
      <c r="E1" s="468"/>
      <c r="F1" s="472"/>
      <c r="G1" s="468"/>
    </row>
    <row r="2" spans="1:7" s="706" customFormat="1" ht="16.350000000000001" customHeight="1" thickBot="1" x14ac:dyDescent="0.25">
      <c r="A2" s="989"/>
      <c r="B2" s="468"/>
      <c r="C2" s="990"/>
      <c r="D2" s="468"/>
      <c r="E2" s="468"/>
      <c r="F2" s="472"/>
      <c r="G2" s="468"/>
    </row>
    <row r="3" spans="1:7" s="706" customFormat="1" ht="31.5" customHeight="1" thickTop="1" thickBot="1" x14ac:dyDescent="0.25">
      <c r="A3" s="991" t="s">
        <v>469</v>
      </c>
      <c r="B3" s="992" t="s">
        <v>839</v>
      </c>
      <c r="C3" s="993" t="s">
        <v>405</v>
      </c>
      <c r="D3" s="994" t="s">
        <v>840</v>
      </c>
      <c r="E3" s="995" t="s">
        <v>847</v>
      </c>
      <c r="F3" s="995" t="s">
        <v>405</v>
      </c>
      <c r="G3" s="831" t="s">
        <v>842</v>
      </c>
    </row>
    <row r="4" spans="1:7" s="706" customFormat="1" ht="12" customHeight="1" x14ac:dyDescent="0.2">
      <c r="A4" s="490" t="s">
        <v>472</v>
      </c>
      <c r="B4" s="542">
        <v>50000</v>
      </c>
      <c r="C4" s="996" t="s">
        <v>842</v>
      </c>
      <c r="D4" s="542">
        <v>1084201.25</v>
      </c>
      <c r="E4" s="963"/>
      <c r="F4" s="963"/>
      <c r="G4" s="745">
        <v>50000</v>
      </c>
    </row>
    <row r="5" spans="1:7" s="706" customFormat="1" ht="12" customHeight="1" x14ac:dyDescent="0.2">
      <c r="A5" s="497" t="s">
        <v>473</v>
      </c>
      <c r="B5" s="547">
        <v>50000</v>
      </c>
      <c r="C5" s="997" t="s">
        <v>842</v>
      </c>
      <c r="D5" s="547">
        <v>65612000</v>
      </c>
      <c r="E5" s="836"/>
      <c r="F5" s="836"/>
      <c r="G5" s="748">
        <v>50000</v>
      </c>
    </row>
    <row r="6" spans="1:7" s="706" customFormat="1" ht="12" customHeight="1" x14ac:dyDescent="0.2">
      <c r="A6" s="497" t="s">
        <v>474</v>
      </c>
      <c r="B6" s="547">
        <v>50000</v>
      </c>
      <c r="C6" s="997" t="s">
        <v>842</v>
      </c>
      <c r="D6" s="547">
        <v>85207850</v>
      </c>
      <c r="E6" s="836"/>
      <c r="F6" s="836"/>
      <c r="G6" s="748">
        <v>50000</v>
      </c>
    </row>
    <row r="7" spans="1:7" s="706" customFormat="1" ht="12" customHeight="1" x14ac:dyDescent="0.2">
      <c r="A7" s="497" t="s">
        <v>475</v>
      </c>
      <c r="B7" s="547">
        <v>50000</v>
      </c>
      <c r="C7" s="997" t="s">
        <v>842</v>
      </c>
      <c r="D7" s="547">
        <v>176275675.00000003</v>
      </c>
      <c r="E7" s="836"/>
      <c r="F7" s="836"/>
      <c r="G7" s="748">
        <v>50000</v>
      </c>
    </row>
    <row r="8" spans="1:7" s="706" customFormat="1" ht="12" customHeight="1" x14ac:dyDescent="0.2">
      <c r="A8" s="497" t="s">
        <v>476</v>
      </c>
      <c r="B8" s="547">
        <v>50000</v>
      </c>
      <c r="C8" s="997" t="s">
        <v>842</v>
      </c>
      <c r="D8" s="547">
        <v>282002800</v>
      </c>
      <c r="E8" s="836"/>
      <c r="F8" s="836"/>
      <c r="G8" s="748">
        <v>50000</v>
      </c>
    </row>
    <row r="9" spans="1:7" s="706" customFormat="1" ht="12" customHeight="1" x14ac:dyDescent="0.2">
      <c r="A9" s="497" t="s">
        <v>477</v>
      </c>
      <c r="B9" s="547">
        <v>50000</v>
      </c>
      <c r="C9" s="997" t="s">
        <v>842</v>
      </c>
      <c r="D9" s="547">
        <v>500000000</v>
      </c>
      <c r="E9" s="836"/>
      <c r="F9" s="836"/>
      <c r="G9" s="748">
        <v>50000</v>
      </c>
    </row>
    <row r="10" spans="1:7" s="706" customFormat="1" ht="12" customHeight="1" x14ac:dyDescent="0.2">
      <c r="A10" s="497" t="s">
        <v>200</v>
      </c>
      <c r="B10" s="547">
        <v>50000</v>
      </c>
      <c r="C10" s="997" t="s">
        <v>842</v>
      </c>
      <c r="D10" s="547">
        <v>496570165.00000006</v>
      </c>
      <c r="E10" s="836"/>
      <c r="F10" s="836"/>
      <c r="G10" s="748">
        <v>50000</v>
      </c>
    </row>
    <row r="11" spans="1:7" s="706" customFormat="1" ht="12" customHeight="1" x14ac:dyDescent="0.2">
      <c r="A11" s="497" t="s">
        <v>478</v>
      </c>
      <c r="B11" s="547">
        <v>50000</v>
      </c>
      <c r="C11" s="997" t="s">
        <v>842</v>
      </c>
      <c r="D11" s="547">
        <v>12218000</v>
      </c>
      <c r="E11" s="836"/>
      <c r="F11" s="836"/>
      <c r="G11" s="748">
        <v>50000</v>
      </c>
    </row>
    <row r="12" spans="1:7" s="706" customFormat="1" ht="12" customHeight="1" x14ac:dyDescent="0.2">
      <c r="A12" s="497" t="s">
        <v>479</v>
      </c>
      <c r="B12" s="547">
        <v>50000</v>
      </c>
      <c r="C12" s="997" t="s">
        <v>842</v>
      </c>
      <c r="D12" s="547">
        <v>73069633.000000015</v>
      </c>
      <c r="E12" s="836"/>
      <c r="F12" s="836"/>
      <c r="G12" s="748">
        <v>50000</v>
      </c>
    </row>
    <row r="13" spans="1:7" s="706" customFormat="1" ht="12" customHeight="1" x14ac:dyDescent="0.2">
      <c r="A13" s="497" t="s">
        <v>480</v>
      </c>
      <c r="B13" s="547">
        <v>50000</v>
      </c>
      <c r="C13" s="997" t="s">
        <v>842</v>
      </c>
      <c r="D13" s="547">
        <v>121655537.49999999</v>
      </c>
      <c r="E13" s="836"/>
      <c r="F13" s="836"/>
      <c r="G13" s="748">
        <v>50000</v>
      </c>
    </row>
    <row r="14" spans="1:7" s="706" customFormat="1" ht="12" customHeight="1" x14ac:dyDescent="0.2">
      <c r="A14" s="497" t="s">
        <v>481</v>
      </c>
      <c r="B14" s="547">
        <v>50000</v>
      </c>
      <c r="C14" s="997" t="s">
        <v>842</v>
      </c>
      <c r="D14" s="547">
        <v>172175850.00000003</v>
      </c>
      <c r="E14" s="836"/>
      <c r="F14" s="836"/>
      <c r="G14" s="748">
        <v>50000</v>
      </c>
    </row>
    <row r="15" spans="1:7" s="706" customFormat="1" ht="12" customHeight="1" x14ac:dyDescent="0.2">
      <c r="A15" s="497" t="s">
        <v>482</v>
      </c>
      <c r="B15" s="547">
        <v>50000</v>
      </c>
      <c r="C15" s="997" t="s">
        <v>842</v>
      </c>
      <c r="D15" s="547">
        <v>265030149.99999997</v>
      </c>
      <c r="E15" s="836"/>
      <c r="F15" s="836"/>
      <c r="G15" s="748">
        <v>50000</v>
      </c>
    </row>
    <row r="16" spans="1:7" s="706" customFormat="1" ht="12" customHeight="1" x14ac:dyDescent="0.2">
      <c r="A16" s="497" t="s">
        <v>483</v>
      </c>
      <c r="B16" s="547">
        <v>50000</v>
      </c>
      <c r="C16" s="997" t="s">
        <v>842</v>
      </c>
      <c r="D16" s="547">
        <v>311862565</v>
      </c>
      <c r="E16" s="836"/>
      <c r="F16" s="836"/>
      <c r="G16" s="748">
        <v>50000</v>
      </c>
    </row>
    <row r="17" spans="1:7" s="706" customFormat="1" ht="12" customHeight="1" x14ac:dyDescent="0.2">
      <c r="A17" s="497" t="s">
        <v>484</v>
      </c>
      <c r="B17" s="547">
        <v>50000</v>
      </c>
      <c r="C17" s="997" t="s">
        <v>842</v>
      </c>
      <c r="D17" s="547">
        <v>388978800</v>
      </c>
      <c r="E17" s="836"/>
      <c r="F17" s="836"/>
      <c r="G17" s="748">
        <v>50000</v>
      </c>
    </row>
    <row r="18" spans="1:7" s="706" customFormat="1" ht="12" customHeight="1" x14ac:dyDescent="0.2">
      <c r="A18" s="497" t="s">
        <v>485</v>
      </c>
      <c r="B18" s="547">
        <v>50000</v>
      </c>
      <c r="C18" s="997" t="s">
        <v>842</v>
      </c>
      <c r="D18" s="547">
        <v>477162540</v>
      </c>
      <c r="E18" s="836"/>
      <c r="F18" s="836"/>
      <c r="G18" s="748">
        <v>50000</v>
      </c>
    </row>
    <row r="19" spans="1:7" s="706" customFormat="1" ht="12" customHeight="1" x14ac:dyDescent="0.2">
      <c r="A19" s="497" t="s">
        <v>486</v>
      </c>
      <c r="B19" s="547">
        <v>50000</v>
      </c>
      <c r="C19" s="997" t="s">
        <v>842</v>
      </c>
      <c r="D19" s="547">
        <v>500000000</v>
      </c>
      <c r="E19" s="836"/>
      <c r="F19" s="836"/>
      <c r="G19" s="748">
        <v>50000</v>
      </c>
    </row>
    <row r="20" spans="1:7" s="706" customFormat="1" ht="12" customHeight="1" x14ac:dyDescent="0.2">
      <c r="A20" s="497" t="s">
        <v>487</v>
      </c>
      <c r="B20" s="547">
        <v>50000</v>
      </c>
      <c r="C20" s="997" t="s">
        <v>842</v>
      </c>
      <c r="D20" s="547">
        <v>500000000</v>
      </c>
      <c r="E20" s="836"/>
      <c r="F20" s="836"/>
      <c r="G20" s="748">
        <v>50000</v>
      </c>
    </row>
    <row r="21" spans="1:7" s="706" customFormat="1" ht="12" customHeight="1" x14ac:dyDescent="0.2">
      <c r="A21" s="497" t="s">
        <v>488</v>
      </c>
      <c r="B21" s="547">
        <v>50000</v>
      </c>
      <c r="C21" s="997" t="s">
        <v>842</v>
      </c>
      <c r="D21" s="547">
        <v>500000000</v>
      </c>
      <c r="E21" s="836"/>
      <c r="F21" s="836"/>
      <c r="G21" s="748">
        <v>50000</v>
      </c>
    </row>
    <row r="22" spans="1:7" s="706" customFormat="1" ht="12" customHeight="1" x14ac:dyDescent="0.2">
      <c r="A22" s="497" t="s">
        <v>489</v>
      </c>
      <c r="B22" s="547">
        <v>50000</v>
      </c>
      <c r="C22" s="997" t="s">
        <v>842</v>
      </c>
      <c r="D22" s="547">
        <v>500000000</v>
      </c>
      <c r="E22" s="836"/>
      <c r="F22" s="836"/>
      <c r="G22" s="748">
        <v>50000</v>
      </c>
    </row>
    <row r="23" spans="1:7" s="706" customFormat="1" ht="12" customHeight="1" x14ac:dyDescent="0.2">
      <c r="A23" s="497" t="s">
        <v>490</v>
      </c>
      <c r="B23" s="547">
        <v>50000</v>
      </c>
      <c r="C23" s="997" t="s">
        <v>842</v>
      </c>
      <c r="D23" s="547">
        <v>500000000</v>
      </c>
      <c r="E23" s="836"/>
      <c r="F23" s="836"/>
      <c r="G23" s="748">
        <v>50000</v>
      </c>
    </row>
    <row r="24" spans="1:7" ht="12" customHeight="1" x14ac:dyDescent="0.2">
      <c r="A24" s="497" t="s">
        <v>491</v>
      </c>
      <c r="B24" s="547">
        <v>50000</v>
      </c>
      <c r="C24" s="997" t="s">
        <v>842</v>
      </c>
      <c r="D24" s="547">
        <v>500000000</v>
      </c>
      <c r="E24" s="836"/>
      <c r="F24" s="836"/>
      <c r="G24" s="748">
        <v>50000</v>
      </c>
    </row>
    <row r="25" spans="1:7" ht="12" customHeight="1" x14ac:dyDescent="0.2">
      <c r="A25" s="497" t="s">
        <v>492</v>
      </c>
      <c r="B25" s="547">
        <v>50000</v>
      </c>
      <c r="C25" s="997" t="s">
        <v>842</v>
      </c>
      <c r="D25" s="547">
        <v>286090000.00000006</v>
      </c>
      <c r="E25" s="836"/>
      <c r="F25" s="836"/>
      <c r="G25" s="748">
        <v>50000</v>
      </c>
    </row>
    <row r="26" spans="1:7" ht="12" customHeight="1" x14ac:dyDescent="0.2">
      <c r="A26" s="497" t="s">
        <v>493</v>
      </c>
      <c r="B26" s="547">
        <v>50000</v>
      </c>
      <c r="C26" s="997" t="s">
        <v>842</v>
      </c>
      <c r="D26" s="547">
        <v>108500000</v>
      </c>
      <c r="E26" s="836"/>
      <c r="F26" s="836"/>
      <c r="G26" s="748">
        <v>50000</v>
      </c>
    </row>
    <row r="27" spans="1:7" ht="12" customHeight="1" x14ac:dyDescent="0.2">
      <c r="A27" s="497" t="s">
        <v>494</v>
      </c>
      <c r="B27" s="547">
        <v>8808.7999999999993</v>
      </c>
      <c r="C27" s="997" t="s">
        <v>1131</v>
      </c>
      <c r="D27" s="547">
        <v>8808.7999999999993</v>
      </c>
      <c r="E27" s="836"/>
      <c r="F27" s="836"/>
      <c r="G27" s="748">
        <v>50000</v>
      </c>
    </row>
    <row r="28" spans="1:7" ht="12" customHeight="1" x14ac:dyDescent="0.2">
      <c r="A28" s="497" t="s">
        <v>495</v>
      </c>
      <c r="B28" s="547">
        <v>98.831999999999994</v>
      </c>
      <c r="C28" s="997" t="s">
        <v>1131</v>
      </c>
      <c r="D28" s="547">
        <v>98.831999999999994</v>
      </c>
      <c r="E28" s="836"/>
      <c r="F28" s="836"/>
      <c r="G28" s="748">
        <v>50000</v>
      </c>
    </row>
    <row r="29" spans="1:7" ht="12" customHeight="1" thickBot="1" x14ac:dyDescent="0.25">
      <c r="A29" s="507" t="s">
        <v>496</v>
      </c>
      <c r="B29" s="553">
        <v>50000</v>
      </c>
      <c r="C29" s="998" t="s">
        <v>842</v>
      </c>
      <c r="D29" s="553">
        <v>95811</v>
      </c>
      <c r="E29" s="966"/>
      <c r="F29" s="966"/>
      <c r="G29" s="752">
        <v>50000</v>
      </c>
    </row>
    <row r="30" spans="1:7" ht="11.25" customHeight="1" thickTop="1" x14ac:dyDescent="0.2">
      <c r="A30" s="514" t="s">
        <v>672</v>
      </c>
      <c r="G30" s="522"/>
    </row>
    <row r="31" spans="1:7" ht="11.25" customHeight="1" x14ac:dyDescent="0.2">
      <c r="A31" s="521" t="s">
        <v>848</v>
      </c>
      <c r="G31" s="522"/>
    </row>
    <row r="32" spans="1:7" ht="11.25" customHeight="1" x14ac:dyDescent="0.2">
      <c r="A32" s="521" t="s">
        <v>844</v>
      </c>
      <c r="G32" s="522"/>
    </row>
    <row r="33" spans="1:7" ht="11.25" customHeight="1" x14ac:dyDescent="0.2">
      <c r="A33" s="521"/>
      <c r="G33" s="522"/>
    </row>
    <row r="34" spans="1:7" ht="11.25" customHeight="1" x14ac:dyDescent="0.2">
      <c r="A34" s="514" t="s">
        <v>238</v>
      </c>
      <c r="G34" s="522"/>
    </row>
    <row r="35" spans="1:7" ht="11.25" customHeight="1" x14ac:dyDescent="0.2">
      <c r="A35" s="521" t="s">
        <v>849</v>
      </c>
      <c r="G35" s="522"/>
    </row>
    <row r="36" spans="1:7" ht="11.25" customHeight="1" x14ac:dyDescent="0.2">
      <c r="A36" s="521" t="s">
        <v>850</v>
      </c>
      <c r="G36" s="522"/>
    </row>
    <row r="37" spans="1:7" ht="11.25" customHeight="1" thickBot="1" x14ac:dyDescent="0.25">
      <c r="A37" s="849"/>
      <c r="B37" s="819"/>
      <c r="C37" s="524"/>
      <c r="D37" s="819"/>
      <c r="E37" s="819"/>
      <c r="F37" s="819"/>
      <c r="G37" s="820"/>
    </row>
    <row r="38" spans="1:7" ht="12" thickTop="1" x14ac:dyDescent="0.2"/>
  </sheetData>
  <sheetProtection algorithmName="SHA-512" hashValue="ztlIPYuUp66DbCK43MlHFBp7fcx/Yvjq9cO22/hOLBdVCX/yOL4xctwRWo/MHvubTGonCht4NQhkLJZQyChdeQ==" saltValue="aybxbmQURKa3qFjpjQPxHQ==" spinCount="100000" sheet="1" objects="1" scenarios="1"/>
  <phoneticPr fontId="0" type="noConversion"/>
  <printOptions horizontalCentered="1"/>
  <pageMargins left="0.15748031496063" right="0.15748031496063" top="0.511811023622047" bottom="0.98425196850393704" header="0.511811023622047" footer="0.511811023622047"/>
  <pageSetup fitToHeight="4" orientation="landscape" r:id="rId1"/>
  <headerFooter alignWithMargins="0">
    <oddFooter>&amp;LHawai'i DOH
PFASs November 2024&amp;C&amp;8Page &amp;P of &amp;N&amp;R&amp;A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indexed="29"/>
    <pageSetUpPr fitToPage="1"/>
  </sheetPr>
  <dimension ref="A1:G37"/>
  <sheetViews>
    <sheetView zoomScaleNormal="100" workbookViewId="0">
      <selection activeCell="F24" sqref="F24"/>
    </sheetView>
  </sheetViews>
  <sheetFormatPr defaultColWidth="9.140625" defaultRowHeight="11.25" x14ac:dyDescent="0.2"/>
  <cols>
    <col min="1" max="1" width="50.5703125" style="517" customWidth="1"/>
    <col min="2" max="2" width="12.5703125" style="515" customWidth="1"/>
    <col min="3" max="3" width="20.7109375" style="784" customWidth="1"/>
    <col min="4" max="5" width="12.5703125" style="515" customWidth="1"/>
    <col min="6" max="6" width="13.5703125" style="515" customWidth="1"/>
    <col min="7" max="7" width="12.5703125" style="515" customWidth="1"/>
    <col min="8" max="16384" width="9.140625" style="517"/>
  </cols>
  <sheetData>
    <row r="1" spans="1:7" ht="46.5" customHeight="1" x14ac:dyDescent="0.25">
      <c r="A1" s="566" t="s">
        <v>851</v>
      </c>
      <c r="B1" s="472"/>
      <c r="C1" s="472"/>
      <c r="D1" s="472"/>
      <c r="E1" s="472"/>
      <c r="F1" s="472"/>
      <c r="G1" s="472"/>
    </row>
    <row r="2" spans="1:7" ht="16.350000000000001" customHeight="1" thickBot="1" x14ac:dyDescent="0.25">
      <c r="A2" s="999"/>
      <c r="B2" s="472"/>
      <c r="D2" s="472"/>
      <c r="E2" s="472"/>
      <c r="F2" s="472"/>
      <c r="G2" s="472"/>
    </row>
    <row r="3" spans="1:7" s="706" customFormat="1" ht="35.25" thickTop="1" thickBot="1" x14ac:dyDescent="0.25">
      <c r="A3" s="991" t="s">
        <v>469</v>
      </c>
      <c r="B3" s="992" t="s">
        <v>839</v>
      </c>
      <c r="C3" s="993" t="s">
        <v>405</v>
      </c>
      <c r="D3" s="994" t="s">
        <v>840</v>
      </c>
      <c r="E3" s="995" t="s">
        <v>841</v>
      </c>
      <c r="F3" s="995" t="s">
        <v>405</v>
      </c>
      <c r="G3" s="831" t="s">
        <v>842</v>
      </c>
    </row>
    <row r="4" spans="1:7" s="706" customFormat="1" ht="12" customHeight="1" x14ac:dyDescent="0.2">
      <c r="A4" s="490" t="s">
        <v>472</v>
      </c>
      <c r="B4" s="542">
        <v>50000</v>
      </c>
      <c r="C4" s="996" t="s">
        <v>842</v>
      </c>
      <c r="D4" s="542">
        <v>1084201.25</v>
      </c>
      <c r="E4" s="963"/>
      <c r="F4" s="963"/>
      <c r="G4" s="745">
        <v>50000</v>
      </c>
    </row>
    <row r="5" spans="1:7" s="706" customFormat="1" ht="12" customHeight="1" x14ac:dyDescent="0.2">
      <c r="A5" s="497" t="s">
        <v>473</v>
      </c>
      <c r="B5" s="547">
        <v>50000</v>
      </c>
      <c r="C5" s="997" t="s">
        <v>842</v>
      </c>
      <c r="D5" s="547">
        <v>65612000</v>
      </c>
      <c r="E5" s="836"/>
      <c r="F5" s="836"/>
      <c r="G5" s="748">
        <v>50000</v>
      </c>
    </row>
    <row r="6" spans="1:7" s="706" customFormat="1" ht="12" customHeight="1" x14ac:dyDescent="0.2">
      <c r="A6" s="497" t="s">
        <v>474</v>
      </c>
      <c r="B6" s="547">
        <v>50000</v>
      </c>
      <c r="C6" s="997" t="s">
        <v>842</v>
      </c>
      <c r="D6" s="547">
        <v>85207850</v>
      </c>
      <c r="E6" s="836"/>
      <c r="F6" s="836"/>
      <c r="G6" s="748">
        <v>50000</v>
      </c>
    </row>
    <row r="7" spans="1:7" s="706" customFormat="1" ht="12" customHeight="1" x14ac:dyDescent="0.2">
      <c r="A7" s="497" t="s">
        <v>475</v>
      </c>
      <c r="B7" s="547">
        <v>50000</v>
      </c>
      <c r="C7" s="997" t="s">
        <v>842</v>
      </c>
      <c r="D7" s="547">
        <v>176275675.00000003</v>
      </c>
      <c r="E7" s="836"/>
      <c r="F7" s="836"/>
      <c r="G7" s="748">
        <v>50000</v>
      </c>
    </row>
    <row r="8" spans="1:7" s="706" customFormat="1" ht="12" customHeight="1" x14ac:dyDescent="0.2">
      <c r="A8" s="497" t="s">
        <v>476</v>
      </c>
      <c r="B8" s="547">
        <v>50000</v>
      </c>
      <c r="C8" s="997" t="s">
        <v>842</v>
      </c>
      <c r="D8" s="547">
        <v>282002800</v>
      </c>
      <c r="E8" s="836"/>
      <c r="F8" s="836"/>
      <c r="G8" s="748">
        <v>50000</v>
      </c>
    </row>
    <row r="9" spans="1:7" s="706" customFormat="1" ht="12" customHeight="1" x14ac:dyDescent="0.2">
      <c r="A9" s="497" t="s">
        <v>477</v>
      </c>
      <c r="B9" s="547">
        <v>50000</v>
      </c>
      <c r="C9" s="997" t="s">
        <v>842</v>
      </c>
      <c r="D9" s="547">
        <v>500000000</v>
      </c>
      <c r="E9" s="836"/>
      <c r="F9" s="836"/>
      <c r="G9" s="748">
        <v>50000</v>
      </c>
    </row>
    <row r="10" spans="1:7" s="706" customFormat="1" ht="12" customHeight="1" x14ac:dyDescent="0.2">
      <c r="A10" s="497" t="s">
        <v>200</v>
      </c>
      <c r="B10" s="547">
        <v>50000</v>
      </c>
      <c r="C10" s="997" t="s">
        <v>842</v>
      </c>
      <c r="D10" s="547">
        <v>496570165.00000006</v>
      </c>
      <c r="E10" s="836"/>
      <c r="F10" s="836"/>
      <c r="G10" s="748">
        <v>50000</v>
      </c>
    </row>
    <row r="11" spans="1:7" s="706" customFormat="1" ht="12" customHeight="1" x14ac:dyDescent="0.2">
      <c r="A11" s="497" t="s">
        <v>478</v>
      </c>
      <c r="B11" s="547">
        <v>50000</v>
      </c>
      <c r="C11" s="997" t="s">
        <v>842</v>
      </c>
      <c r="D11" s="547">
        <v>12218000</v>
      </c>
      <c r="E11" s="836"/>
      <c r="F11" s="836"/>
      <c r="G11" s="748">
        <v>50000</v>
      </c>
    </row>
    <row r="12" spans="1:7" s="706" customFormat="1" ht="12" customHeight="1" x14ac:dyDescent="0.2">
      <c r="A12" s="497" t="s">
        <v>479</v>
      </c>
      <c r="B12" s="547">
        <v>50000</v>
      </c>
      <c r="C12" s="997" t="s">
        <v>842</v>
      </c>
      <c r="D12" s="547">
        <v>73069633.000000015</v>
      </c>
      <c r="E12" s="836"/>
      <c r="F12" s="836"/>
      <c r="G12" s="748">
        <v>50000</v>
      </c>
    </row>
    <row r="13" spans="1:7" s="706" customFormat="1" ht="12" customHeight="1" x14ac:dyDescent="0.2">
      <c r="A13" s="497" t="s">
        <v>480</v>
      </c>
      <c r="B13" s="547">
        <v>50000</v>
      </c>
      <c r="C13" s="997" t="s">
        <v>842</v>
      </c>
      <c r="D13" s="547">
        <v>121655537.49999999</v>
      </c>
      <c r="E13" s="836"/>
      <c r="F13" s="836"/>
      <c r="G13" s="748">
        <v>50000</v>
      </c>
    </row>
    <row r="14" spans="1:7" s="706" customFormat="1" ht="12" customHeight="1" x14ac:dyDescent="0.2">
      <c r="A14" s="497" t="s">
        <v>481</v>
      </c>
      <c r="B14" s="547">
        <v>50000</v>
      </c>
      <c r="C14" s="997" t="s">
        <v>842</v>
      </c>
      <c r="D14" s="547">
        <v>172175850.00000003</v>
      </c>
      <c r="E14" s="836"/>
      <c r="F14" s="836"/>
      <c r="G14" s="748">
        <v>50000</v>
      </c>
    </row>
    <row r="15" spans="1:7" s="706" customFormat="1" ht="12" customHeight="1" x14ac:dyDescent="0.2">
      <c r="A15" s="497" t="s">
        <v>482</v>
      </c>
      <c r="B15" s="547">
        <v>50000</v>
      </c>
      <c r="C15" s="997" t="s">
        <v>842</v>
      </c>
      <c r="D15" s="547">
        <v>265030149.99999997</v>
      </c>
      <c r="E15" s="836"/>
      <c r="F15" s="836"/>
      <c r="G15" s="748">
        <v>50000</v>
      </c>
    </row>
    <row r="16" spans="1:7" s="706" customFormat="1" ht="12" customHeight="1" x14ac:dyDescent="0.2">
      <c r="A16" s="497" t="s">
        <v>483</v>
      </c>
      <c r="B16" s="547">
        <v>50000</v>
      </c>
      <c r="C16" s="997" t="s">
        <v>842</v>
      </c>
      <c r="D16" s="547">
        <v>311862565</v>
      </c>
      <c r="E16" s="836"/>
      <c r="F16" s="836"/>
      <c r="G16" s="748">
        <v>50000</v>
      </c>
    </row>
    <row r="17" spans="1:7" s="706" customFormat="1" ht="12" customHeight="1" x14ac:dyDescent="0.2">
      <c r="A17" s="497" t="s">
        <v>484</v>
      </c>
      <c r="B17" s="547">
        <v>50000</v>
      </c>
      <c r="C17" s="997" t="s">
        <v>842</v>
      </c>
      <c r="D17" s="547">
        <v>388978800</v>
      </c>
      <c r="E17" s="836"/>
      <c r="F17" s="836"/>
      <c r="G17" s="748">
        <v>50000</v>
      </c>
    </row>
    <row r="18" spans="1:7" s="706" customFormat="1" ht="12" customHeight="1" x14ac:dyDescent="0.2">
      <c r="A18" s="497" t="s">
        <v>485</v>
      </c>
      <c r="B18" s="547">
        <v>50000</v>
      </c>
      <c r="C18" s="997" t="s">
        <v>842</v>
      </c>
      <c r="D18" s="547">
        <v>477162540</v>
      </c>
      <c r="E18" s="836"/>
      <c r="F18" s="836"/>
      <c r="G18" s="748">
        <v>50000</v>
      </c>
    </row>
    <row r="19" spans="1:7" s="706" customFormat="1" ht="12" customHeight="1" x14ac:dyDescent="0.2">
      <c r="A19" s="497" t="s">
        <v>486</v>
      </c>
      <c r="B19" s="547">
        <v>50000</v>
      </c>
      <c r="C19" s="997" t="s">
        <v>842</v>
      </c>
      <c r="D19" s="547">
        <v>500000000</v>
      </c>
      <c r="E19" s="836"/>
      <c r="F19" s="836"/>
      <c r="G19" s="748">
        <v>50000</v>
      </c>
    </row>
    <row r="20" spans="1:7" s="706" customFormat="1" ht="12" customHeight="1" x14ac:dyDescent="0.2">
      <c r="A20" s="497" t="s">
        <v>487</v>
      </c>
      <c r="B20" s="547">
        <v>50000</v>
      </c>
      <c r="C20" s="997" t="s">
        <v>842</v>
      </c>
      <c r="D20" s="547">
        <v>500000000</v>
      </c>
      <c r="E20" s="836"/>
      <c r="F20" s="836"/>
      <c r="G20" s="748">
        <v>50000</v>
      </c>
    </row>
    <row r="21" spans="1:7" s="706" customFormat="1" ht="12" customHeight="1" x14ac:dyDescent="0.2">
      <c r="A21" s="497" t="s">
        <v>488</v>
      </c>
      <c r="B21" s="547">
        <v>50000</v>
      </c>
      <c r="C21" s="997" t="s">
        <v>842</v>
      </c>
      <c r="D21" s="547">
        <v>500000000</v>
      </c>
      <c r="E21" s="836"/>
      <c r="F21" s="836"/>
      <c r="G21" s="748">
        <v>50000</v>
      </c>
    </row>
    <row r="22" spans="1:7" s="706" customFormat="1" ht="12" customHeight="1" x14ac:dyDescent="0.2">
      <c r="A22" s="497" t="s">
        <v>489</v>
      </c>
      <c r="B22" s="547">
        <v>50000</v>
      </c>
      <c r="C22" s="997" t="s">
        <v>842</v>
      </c>
      <c r="D22" s="547">
        <v>500000000</v>
      </c>
      <c r="E22" s="836"/>
      <c r="F22" s="836"/>
      <c r="G22" s="748">
        <v>50000</v>
      </c>
    </row>
    <row r="23" spans="1:7" s="706" customFormat="1" ht="12" customHeight="1" x14ac:dyDescent="0.2">
      <c r="A23" s="497" t="s">
        <v>490</v>
      </c>
      <c r="B23" s="547">
        <v>50000</v>
      </c>
      <c r="C23" s="997" t="s">
        <v>842</v>
      </c>
      <c r="D23" s="547">
        <v>500000000</v>
      </c>
      <c r="E23" s="836"/>
      <c r="F23" s="836"/>
      <c r="G23" s="748">
        <v>50000</v>
      </c>
    </row>
    <row r="24" spans="1:7" ht="12" customHeight="1" x14ac:dyDescent="0.2">
      <c r="A24" s="497" t="s">
        <v>491</v>
      </c>
      <c r="B24" s="547">
        <v>50000</v>
      </c>
      <c r="C24" s="997" t="s">
        <v>842</v>
      </c>
      <c r="D24" s="547">
        <v>500000000</v>
      </c>
      <c r="E24" s="836"/>
      <c r="F24" s="836"/>
      <c r="G24" s="748">
        <v>50000</v>
      </c>
    </row>
    <row r="25" spans="1:7" ht="12" customHeight="1" x14ac:dyDescent="0.2">
      <c r="A25" s="497" t="s">
        <v>492</v>
      </c>
      <c r="B25" s="547">
        <v>50000</v>
      </c>
      <c r="C25" s="997" t="s">
        <v>842</v>
      </c>
      <c r="D25" s="547">
        <v>286090000.00000006</v>
      </c>
      <c r="E25" s="836"/>
      <c r="F25" s="836"/>
      <c r="G25" s="748">
        <v>50000</v>
      </c>
    </row>
    <row r="26" spans="1:7" ht="12" customHeight="1" x14ac:dyDescent="0.2">
      <c r="A26" s="497" t="s">
        <v>493</v>
      </c>
      <c r="B26" s="547">
        <v>50000</v>
      </c>
      <c r="C26" s="997" t="s">
        <v>842</v>
      </c>
      <c r="D26" s="547">
        <v>108500000</v>
      </c>
      <c r="E26" s="836"/>
      <c r="F26" s="836"/>
      <c r="G26" s="748">
        <v>50000</v>
      </c>
    </row>
    <row r="27" spans="1:7" ht="12" customHeight="1" x14ac:dyDescent="0.2">
      <c r="A27" s="497" t="s">
        <v>494</v>
      </c>
      <c r="B27" s="547">
        <v>8808.7999999999993</v>
      </c>
      <c r="C27" s="997" t="s">
        <v>1131</v>
      </c>
      <c r="D27" s="547">
        <v>8808.7999999999993</v>
      </c>
      <c r="E27" s="836"/>
      <c r="F27" s="836"/>
      <c r="G27" s="748">
        <v>50000</v>
      </c>
    </row>
    <row r="28" spans="1:7" ht="12" customHeight="1" x14ac:dyDescent="0.2">
      <c r="A28" s="497" t="s">
        <v>495</v>
      </c>
      <c r="B28" s="547">
        <v>98.831999999999994</v>
      </c>
      <c r="C28" s="997" t="s">
        <v>1131</v>
      </c>
      <c r="D28" s="547">
        <v>98.831999999999994</v>
      </c>
      <c r="E28" s="836"/>
      <c r="F28" s="836"/>
      <c r="G28" s="748">
        <v>50000</v>
      </c>
    </row>
    <row r="29" spans="1:7" ht="12" customHeight="1" thickBot="1" x14ac:dyDescent="0.25">
      <c r="A29" s="507" t="s">
        <v>496</v>
      </c>
      <c r="B29" s="553">
        <v>50000</v>
      </c>
      <c r="C29" s="998" t="s">
        <v>842</v>
      </c>
      <c r="D29" s="553">
        <v>95811</v>
      </c>
      <c r="E29" s="966"/>
      <c r="F29" s="966"/>
      <c r="G29" s="752">
        <v>50000</v>
      </c>
    </row>
    <row r="30" spans="1:7" ht="11.25" customHeight="1" thickTop="1" x14ac:dyDescent="0.2">
      <c r="A30" s="514" t="s">
        <v>672</v>
      </c>
      <c r="G30" s="522"/>
    </row>
    <row r="31" spans="1:7" ht="11.25" customHeight="1" x14ac:dyDescent="0.2">
      <c r="A31" s="521" t="s">
        <v>843</v>
      </c>
      <c r="G31" s="522"/>
    </row>
    <row r="32" spans="1:7" ht="11.25" customHeight="1" x14ac:dyDescent="0.2">
      <c r="A32" s="521" t="s">
        <v>844</v>
      </c>
      <c r="G32" s="522"/>
    </row>
    <row r="33" spans="1:7" ht="11.25" customHeight="1" x14ac:dyDescent="0.2">
      <c r="A33" s="521"/>
      <c r="G33" s="522"/>
    </row>
    <row r="34" spans="1:7" ht="11.25" customHeight="1" x14ac:dyDescent="0.2">
      <c r="A34" s="514" t="s">
        <v>238</v>
      </c>
      <c r="G34" s="522"/>
    </row>
    <row r="35" spans="1:7" ht="11.25" customHeight="1" x14ac:dyDescent="0.2">
      <c r="A35" s="521" t="s">
        <v>845</v>
      </c>
      <c r="G35" s="522"/>
    </row>
    <row r="36" spans="1:7" ht="11.25" customHeight="1" thickBot="1" x14ac:dyDescent="0.25">
      <c r="A36" s="849"/>
      <c r="B36" s="819"/>
      <c r="C36" s="524"/>
      <c r="D36" s="819"/>
      <c r="E36" s="819"/>
      <c r="F36" s="819"/>
      <c r="G36" s="820"/>
    </row>
    <row r="37" spans="1:7" ht="12" thickTop="1" x14ac:dyDescent="0.2"/>
  </sheetData>
  <sheetProtection algorithmName="SHA-512" hashValue="2ZJOm8GNXSl3lHsWiku+67hAY3Ffu0YZXJwefa3GLZ7k3SYZUWPPst0Ut9vYAGsyJwNu/Bd7DSW4G8ApXUpB5A==" saltValue="CFB95UWd41Ndl7r6M6FV/w==" spinCount="100000" sheet="1" objects="1" scenarios="1"/>
  <phoneticPr fontId="0" type="noConversion"/>
  <printOptions horizontalCentered="1"/>
  <pageMargins left="0.15748031496063" right="0.15748031496063" top="0.511811023622047" bottom="0.98425196850393704" header="0.511811023622047" footer="0.511811023622047"/>
  <pageSetup fitToHeight="4" orientation="landscape" r:id="rId1"/>
  <headerFooter alignWithMargins="0">
    <oddFooter>&amp;LHawai'i DOH
PFASs November 2024&amp;C&amp;8Page &amp;P of &amp;N&amp;R&amp;A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indexed="29"/>
    <pageSetUpPr fitToPage="1"/>
  </sheetPr>
  <dimension ref="A1:G38"/>
  <sheetViews>
    <sheetView zoomScaleNormal="100" workbookViewId="0">
      <selection activeCell="F24" sqref="F24"/>
    </sheetView>
  </sheetViews>
  <sheetFormatPr defaultColWidth="9.140625" defaultRowHeight="11.25" x14ac:dyDescent="0.2"/>
  <cols>
    <col min="1" max="1" width="50.5703125" style="517" customWidth="1"/>
    <col min="2" max="2" width="12.5703125" style="515" customWidth="1"/>
    <col min="3" max="3" width="20.7109375" style="784" customWidth="1"/>
    <col min="4" max="5" width="12.5703125" style="515" customWidth="1"/>
    <col min="6" max="6" width="12.85546875" style="515" customWidth="1"/>
    <col min="7" max="7" width="12.5703125" style="515" customWidth="1"/>
    <col min="8" max="16384" width="9.140625" style="517"/>
  </cols>
  <sheetData>
    <row r="1" spans="1:7" s="706" customFormat="1" ht="46.5" customHeight="1" x14ac:dyDescent="0.25">
      <c r="A1" s="566" t="s">
        <v>852</v>
      </c>
      <c r="B1" s="468"/>
      <c r="C1" s="468"/>
      <c r="D1" s="468"/>
      <c r="E1" s="468"/>
      <c r="F1" s="472"/>
      <c r="G1" s="468"/>
    </row>
    <row r="2" spans="1:7" s="706" customFormat="1" ht="16.350000000000001" customHeight="1" thickBot="1" x14ac:dyDescent="0.25">
      <c r="A2" s="989"/>
      <c r="B2" s="468"/>
      <c r="C2" s="990"/>
      <c r="D2" s="468"/>
      <c r="E2" s="468"/>
      <c r="F2" s="472"/>
      <c r="G2" s="468"/>
    </row>
    <row r="3" spans="1:7" s="706" customFormat="1" ht="33.75" customHeight="1" thickTop="1" thickBot="1" x14ac:dyDescent="0.25">
      <c r="A3" s="991" t="s">
        <v>469</v>
      </c>
      <c r="B3" s="992" t="s">
        <v>839</v>
      </c>
      <c r="C3" s="993" t="s">
        <v>405</v>
      </c>
      <c r="D3" s="994" t="s">
        <v>840</v>
      </c>
      <c r="E3" s="995" t="s">
        <v>847</v>
      </c>
      <c r="F3" s="995" t="s">
        <v>405</v>
      </c>
      <c r="G3" s="831" t="s">
        <v>842</v>
      </c>
    </row>
    <row r="4" spans="1:7" s="706" customFormat="1" ht="12" customHeight="1" x14ac:dyDescent="0.2">
      <c r="A4" s="490" t="s">
        <v>472</v>
      </c>
      <c r="B4" s="743">
        <v>50000</v>
      </c>
      <c r="C4" s="996" t="s">
        <v>842</v>
      </c>
      <c r="D4" s="542">
        <v>1084201.25</v>
      </c>
      <c r="E4" s="963"/>
      <c r="F4" s="963"/>
      <c r="G4" s="745">
        <v>50000</v>
      </c>
    </row>
    <row r="5" spans="1:7" s="706" customFormat="1" ht="12" customHeight="1" x14ac:dyDescent="0.2">
      <c r="A5" s="497" t="s">
        <v>473</v>
      </c>
      <c r="B5" s="746">
        <v>50000</v>
      </c>
      <c r="C5" s="997" t="s">
        <v>842</v>
      </c>
      <c r="D5" s="547">
        <v>65612000</v>
      </c>
      <c r="E5" s="836"/>
      <c r="F5" s="836"/>
      <c r="G5" s="748">
        <v>50000</v>
      </c>
    </row>
    <row r="6" spans="1:7" s="706" customFormat="1" ht="12" customHeight="1" x14ac:dyDescent="0.2">
      <c r="A6" s="497" t="s">
        <v>474</v>
      </c>
      <c r="B6" s="746">
        <v>50000</v>
      </c>
      <c r="C6" s="997" t="s">
        <v>842</v>
      </c>
      <c r="D6" s="547">
        <v>85207850</v>
      </c>
      <c r="E6" s="836"/>
      <c r="F6" s="836"/>
      <c r="G6" s="748">
        <v>50000</v>
      </c>
    </row>
    <row r="7" spans="1:7" s="706" customFormat="1" ht="12" customHeight="1" x14ac:dyDescent="0.2">
      <c r="A7" s="497" t="s">
        <v>475</v>
      </c>
      <c r="B7" s="746">
        <v>50000</v>
      </c>
      <c r="C7" s="997" t="s">
        <v>842</v>
      </c>
      <c r="D7" s="547">
        <v>176275675.00000003</v>
      </c>
      <c r="E7" s="836"/>
      <c r="F7" s="836"/>
      <c r="G7" s="748">
        <v>50000</v>
      </c>
    </row>
    <row r="8" spans="1:7" s="706" customFormat="1" ht="12" customHeight="1" x14ac:dyDescent="0.2">
      <c r="A8" s="497" t="s">
        <v>476</v>
      </c>
      <c r="B8" s="746">
        <v>50000</v>
      </c>
      <c r="C8" s="997" t="s">
        <v>842</v>
      </c>
      <c r="D8" s="547">
        <v>282002800</v>
      </c>
      <c r="E8" s="836"/>
      <c r="F8" s="836"/>
      <c r="G8" s="748">
        <v>50000</v>
      </c>
    </row>
    <row r="9" spans="1:7" s="706" customFormat="1" ht="12" customHeight="1" x14ac:dyDescent="0.2">
      <c r="A9" s="497" t="s">
        <v>477</v>
      </c>
      <c r="B9" s="746">
        <v>50000</v>
      </c>
      <c r="C9" s="997" t="s">
        <v>842</v>
      </c>
      <c r="D9" s="547">
        <v>500000000</v>
      </c>
      <c r="E9" s="836"/>
      <c r="F9" s="836"/>
      <c r="G9" s="748">
        <v>50000</v>
      </c>
    </row>
    <row r="10" spans="1:7" s="706" customFormat="1" ht="12" customHeight="1" x14ac:dyDescent="0.2">
      <c r="A10" s="497" t="s">
        <v>200</v>
      </c>
      <c r="B10" s="746">
        <v>50000</v>
      </c>
      <c r="C10" s="997" t="s">
        <v>842</v>
      </c>
      <c r="D10" s="547">
        <v>496570165.00000006</v>
      </c>
      <c r="E10" s="836"/>
      <c r="F10" s="836"/>
      <c r="G10" s="748">
        <v>50000</v>
      </c>
    </row>
    <row r="11" spans="1:7" s="706" customFormat="1" ht="12" customHeight="1" x14ac:dyDescent="0.2">
      <c r="A11" s="497" t="s">
        <v>478</v>
      </c>
      <c r="B11" s="746">
        <v>50000</v>
      </c>
      <c r="C11" s="997" t="s">
        <v>842</v>
      </c>
      <c r="D11" s="547">
        <v>12218000</v>
      </c>
      <c r="E11" s="836"/>
      <c r="F11" s="836"/>
      <c r="G11" s="748">
        <v>50000</v>
      </c>
    </row>
    <row r="12" spans="1:7" s="706" customFormat="1" ht="12" customHeight="1" x14ac:dyDescent="0.2">
      <c r="A12" s="497" t="s">
        <v>479</v>
      </c>
      <c r="B12" s="746">
        <v>50000</v>
      </c>
      <c r="C12" s="997" t="s">
        <v>842</v>
      </c>
      <c r="D12" s="547">
        <v>73069633.000000015</v>
      </c>
      <c r="E12" s="836"/>
      <c r="F12" s="836"/>
      <c r="G12" s="748">
        <v>50000</v>
      </c>
    </row>
    <row r="13" spans="1:7" s="706" customFormat="1" ht="12" customHeight="1" x14ac:dyDescent="0.2">
      <c r="A13" s="497" t="s">
        <v>480</v>
      </c>
      <c r="B13" s="746">
        <v>50000</v>
      </c>
      <c r="C13" s="997" t="s">
        <v>842</v>
      </c>
      <c r="D13" s="547">
        <v>121655537.49999999</v>
      </c>
      <c r="E13" s="836"/>
      <c r="F13" s="836"/>
      <c r="G13" s="748">
        <v>50000</v>
      </c>
    </row>
    <row r="14" spans="1:7" s="706" customFormat="1" ht="12" customHeight="1" x14ac:dyDescent="0.2">
      <c r="A14" s="497" t="s">
        <v>481</v>
      </c>
      <c r="B14" s="746">
        <v>50000</v>
      </c>
      <c r="C14" s="997" t="s">
        <v>842</v>
      </c>
      <c r="D14" s="547">
        <v>172175850.00000003</v>
      </c>
      <c r="E14" s="836"/>
      <c r="F14" s="836"/>
      <c r="G14" s="748">
        <v>50000</v>
      </c>
    </row>
    <row r="15" spans="1:7" s="706" customFormat="1" ht="12" customHeight="1" x14ac:dyDescent="0.2">
      <c r="A15" s="497" t="s">
        <v>482</v>
      </c>
      <c r="B15" s="746">
        <v>50000</v>
      </c>
      <c r="C15" s="997" t="s">
        <v>842</v>
      </c>
      <c r="D15" s="547">
        <v>265030149.99999997</v>
      </c>
      <c r="E15" s="836"/>
      <c r="F15" s="836"/>
      <c r="G15" s="748">
        <v>50000</v>
      </c>
    </row>
    <row r="16" spans="1:7" s="706" customFormat="1" ht="12" customHeight="1" x14ac:dyDescent="0.2">
      <c r="A16" s="497" t="s">
        <v>483</v>
      </c>
      <c r="B16" s="746">
        <v>50000</v>
      </c>
      <c r="C16" s="997" t="s">
        <v>842</v>
      </c>
      <c r="D16" s="547">
        <v>311862565</v>
      </c>
      <c r="E16" s="836"/>
      <c r="F16" s="836"/>
      <c r="G16" s="748">
        <v>50000</v>
      </c>
    </row>
    <row r="17" spans="1:7" s="706" customFormat="1" ht="12" customHeight="1" x14ac:dyDescent="0.2">
      <c r="A17" s="497" t="s">
        <v>484</v>
      </c>
      <c r="B17" s="746">
        <v>50000</v>
      </c>
      <c r="C17" s="997" t="s">
        <v>842</v>
      </c>
      <c r="D17" s="547">
        <v>388978800</v>
      </c>
      <c r="E17" s="836"/>
      <c r="F17" s="836"/>
      <c r="G17" s="748">
        <v>50000</v>
      </c>
    </row>
    <row r="18" spans="1:7" s="706" customFormat="1" ht="12" customHeight="1" x14ac:dyDescent="0.2">
      <c r="A18" s="497" t="s">
        <v>485</v>
      </c>
      <c r="B18" s="746">
        <v>50000</v>
      </c>
      <c r="C18" s="997" t="s">
        <v>842</v>
      </c>
      <c r="D18" s="547">
        <v>477162540</v>
      </c>
      <c r="E18" s="836"/>
      <c r="F18" s="836"/>
      <c r="G18" s="748">
        <v>50000</v>
      </c>
    </row>
    <row r="19" spans="1:7" s="706" customFormat="1" ht="12" customHeight="1" x14ac:dyDescent="0.2">
      <c r="A19" s="497" t="s">
        <v>486</v>
      </c>
      <c r="B19" s="746">
        <v>50000</v>
      </c>
      <c r="C19" s="997" t="s">
        <v>842</v>
      </c>
      <c r="D19" s="547">
        <v>500000000</v>
      </c>
      <c r="E19" s="836"/>
      <c r="F19" s="836"/>
      <c r="G19" s="748">
        <v>50000</v>
      </c>
    </row>
    <row r="20" spans="1:7" s="706" customFormat="1" ht="12" customHeight="1" x14ac:dyDescent="0.2">
      <c r="A20" s="497" t="s">
        <v>487</v>
      </c>
      <c r="B20" s="746">
        <v>50000</v>
      </c>
      <c r="C20" s="997" t="s">
        <v>842</v>
      </c>
      <c r="D20" s="547">
        <v>500000000</v>
      </c>
      <c r="E20" s="836"/>
      <c r="F20" s="836"/>
      <c r="G20" s="748">
        <v>50000</v>
      </c>
    </row>
    <row r="21" spans="1:7" s="706" customFormat="1" ht="12" customHeight="1" x14ac:dyDescent="0.2">
      <c r="A21" s="497" t="s">
        <v>488</v>
      </c>
      <c r="B21" s="746">
        <v>50000</v>
      </c>
      <c r="C21" s="997" t="s">
        <v>842</v>
      </c>
      <c r="D21" s="547">
        <v>500000000</v>
      </c>
      <c r="E21" s="836"/>
      <c r="F21" s="836"/>
      <c r="G21" s="748">
        <v>50000</v>
      </c>
    </row>
    <row r="22" spans="1:7" s="706" customFormat="1" ht="12" customHeight="1" x14ac:dyDescent="0.2">
      <c r="A22" s="497" t="s">
        <v>489</v>
      </c>
      <c r="B22" s="746">
        <v>50000</v>
      </c>
      <c r="C22" s="997" t="s">
        <v>842</v>
      </c>
      <c r="D22" s="547">
        <v>500000000</v>
      </c>
      <c r="E22" s="836"/>
      <c r="F22" s="836"/>
      <c r="G22" s="748">
        <v>50000</v>
      </c>
    </row>
    <row r="23" spans="1:7" s="706" customFormat="1" ht="12" customHeight="1" x14ac:dyDescent="0.2">
      <c r="A23" s="497" t="s">
        <v>490</v>
      </c>
      <c r="B23" s="746">
        <v>50000</v>
      </c>
      <c r="C23" s="997" t="s">
        <v>842</v>
      </c>
      <c r="D23" s="547">
        <v>500000000</v>
      </c>
      <c r="E23" s="836"/>
      <c r="F23" s="836"/>
      <c r="G23" s="748">
        <v>50000</v>
      </c>
    </row>
    <row r="24" spans="1:7" ht="12" customHeight="1" x14ac:dyDescent="0.2">
      <c r="A24" s="497" t="s">
        <v>491</v>
      </c>
      <c r="B24" s="746">
        <v>50000</v>
      </c>
      <c r="C24" s="997" t="s">
        <v>842</v>
      </c>
      <c r="D24" s="547">
        <v>500000000</v>
      </c>
      <c r="E24" s="836"/>
      <c r="F24" s="836"/>
      <c r="G24" s="748">
        <v>50000</v>
      </c>
    </row>
    <row r="25" spans="1:7" ht="12" customHeight="1" x14ac:dyDescent="0.2">
      <c r="A25" s="497" t="s">
        <v>492</v>
      </c>
      <c r="B25" s="746">
        <v>50000</v>
      </c>
      <c r="C25" s="997" t="s">
        <v>842</v>
      </c>
      <c r="D25" s="547">
        <v>286090000.00000006</v>
      </c>
      <c r="E25" s="836"/>
      <c r="F25" s="836"/>
      <c r="G25" s="748">
        <v>50000</v>
      </c>
    </row>
    <row r="26" spans="1:7" ht="12" customHeight="1" x14ac:dyDescent="0.2">
      <c r="A26" s="497" t="s">
        <v>493</v>
      </c>
      <c r="B26" s="746">
        <v>50000</v>
      </c>
      <c r="C26" s="997" t="s">
        <v>842</v>
      </c>
      <c r="D26" s="547">
        <v>108500000</v>
      </c>
      <c r="E26" s="836"/>
      <c r="F26" s="836"/>
      <c r="G26" s="748">
        <v>50000</v>
      </c>
    </row>
    <row r="27" spans="1:7" ht="12" customHeight="1" x14ac:dyDescent="0.2">
      <c r="A27" s="497" t="s">
        <v>494</v>
      </c>
      <c r="B27" s="746">
        <v>8808.7999999999993</v>
      </c>
      <c r="C27" s="997" t="s">
        <v>1131</v>
      </c>
      <c r="D27" s="547">
        <v>8808.7999999999993</v>
      </c>
      <c r="E27" s="836"/>
      <c r="F27" s="836"/>
      <c r="G27" s="748">
        <v>50000</v>
      </c>
    </row>
    <row r="28" spans="1:7" ht="12" customHeight="1" x14ac:dyDescent="0.2">
      <c r="A28" s="497" t="s">
        <v>495</v>
      </c>
      <c r="B28" s="746">
        <v>98.831999999999994</v>
      </c>
      <c r="C28" s="997" t="s">
        <v>1131</v>
      </c>
      <c r="D28" s="547">
        <v>98.831999999999994</v>
      </c>
      <c r="E28" s="836"/>
      <c r="F28" s="836"/>
      <c r="G28" s="748">
        <v>50000</v>
      </c>
    </row>
    <row r="29" spans="1:7" ht="12" customHeight="1" thickBot="1" x14ac:dyDescent="0.25">
      <c r="A29" s="507" t="s">
        <v>496</v>
      </c>
      <c r="B29" s="750">
        <v>50000</v>
      </c>
      <c r="C29" s="998" t="s">
        <v>842</v>
      </c>
      <c r="D29" s="553">
        <v>95811</v>
      </c>
      <c r="E29" s="966"/>
      <c r="F29" s="966"/>
      <c r="G29" s="752">
        <v>50000</v>
      </c>
    </row>
    <row r="30" spans="1:7" ht="11.25" customHeight="1" thickTop="1" x14ac:dyDescent="0.2">
      <c r="A30" s="514" t="s">
        <v>672</v>
      </c>
      <c r="G30" s="522"/>
    </row>
    <row r="31" spans="1:7" ht="11.25" customHeight="1" x14ac:dyDescent="0.2">
      <c r="A31" s="521" t="s">
        <v>848</v>
      </c>
      <c r="G31" s="522"/>
    </row>
    <row r="32" spans="1:7" ht="11.25" customHeight="1" x14ac:dyDescent="0.2">
      <c r="A32" s="521" t="s">
        <v>844</v>
      </c>
      <c r="G32" s="522"/>
    </row>
    <row r="33" spans="1:7" ht="11.25" customHeight="1" x14ac:dyDescent="0.2">
      <c r="A33" s="521"/>
      <c r="G33" s="522"/>
    </row>
    <row r="34" spans="1:7" ht="11.25" customHeight="1" x14ac:dyDescent="0.2">
      <c r="A34" s="514" t="s">
        <v>238</v>
      </c>
      <c r="G34" s="522"/>
    </row>
    <row r="35" spans="1:7" ht="11.25" customHeight="1" x14ac:dyDescent="0.2">
      <c r="A35" s="521" t="s">
        <v>853</v>
      </c>
      <c r="G35" s="522"/>
    </row>
    <row r="36" spans="1:7" ht="11.25" customHeight="1" x14ac:dyDescent="0.2">
      <c r="A36" s="521" t="s">
        <v>850</v>
      </c>
      <c r="G36" s="522"/>
    </row>
    <row r="37" spans="1:7" ht="11.25" customHeight="1" thickBot="1" x14ac:dyDescent="0.25">
      <c r="A37" s="849"/>
      <c r="B37" s="819"/>
      <c r="C37" s="524"/>
      <c r="D37" s="819"/>
      <c r="E37" s="819"/>
      <c r="F37" s="819"/>
      <c r="G37" s="820"/>
    </row>
    <row r="38" spans="1:7" ht="12" thickTop="1" x14ac:dyDescent="0.2"/>
  </sheetData>
  <sheetProtection algorithmName="SHA-512" hashValue="yzlaqgAbrIYnM4cKH3lm5944GeZQeR8zICGKFbo/5lOQmopUv1iGONmLJJeOWG45XWQNhLDpPMn9V1wKmCb2qA==" saltValue="+fWIn67EckDmFwSA+8QevA==" spinCount="100000" sheet="1" objects="1" scenarios="1"/>
  <phoneticPr fontId="0" type="noConversion"/>
  <printOptions horizontalCentered="1"/>
  <pageMargins left="0.15748031496063" right="0.15748031496063" top="0.511811023622047" bottom="0.98425196850393704" header="0.511811023622047" footer="0.511811023622047"/>
  <pageSetup fitToHeight="4" orientation="landscape" r:id="rId1"/>
  <headerFooter alignWithMargins="0">
    <oddFooter>&amp;LHawai'i DOH
PFASs November 2024&amp;C&amp;8Page &amp;P of &amp;N&amp;R&amp;A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indexed="29"/>
    <pageSetUpPr fitToPage="1"/>
  </sheetPr>
  <dimension ref="A1:Y292"/>
  <sheetViews>
    <sheetView topLeftCell="B1" zoomScaleNormal="100" workbookViewId="0">
      <selection activeCell="B3" sqref="B3:B5"/>
    </sheetView>
  </sheetViews>
  <sheetFormatPr defaultColWidth="8.7109375" defaultRowHeight="11.25" x14ac:dyDescent="0.2"/>
  <cols>
    <col min="1" max="1" width="33.140625" style="470" customWidth="1"/>
    <col min="2" max="2" width="12.7109375" style="504" customWidth="1"/>
    <col min="3" max="3" width="46.7109375" style="504" customWidth="1"/>
    <col min="4" max="5" width="4.7109375" style="504" customWidth="1"/>
    <col min="6" max="6" width="9" style="636" customWidth="1"/>
    <col min="7" max="7" width="8.85546875" style="729" hidden="1" customWidth="1"/>
    <col min="8" max="8" width="9.5703125" style="638" customWidth="1"/>
    <col min="9" max="9" width="8.85546875" style="638" customWidth="1"/>
    <col min="10" max="10" width="8.42578125" style="638" customWidth="1"/>
    <col min="11" max="11" width="10" style="638" customWidth="1"/>
    <col min="12" max="12" width="9.42578125" style="639" customWidth="1"/>
    <col min="13" max="15" width="10.42578125" style="638" customWidth="1"/>
    <col min="16" max="16" width="10" style="639" customWidth="1"/>
    <col min="17" max="17" width="9.28515625" style="639" customWidth="1"/>
    <col min="18" max="19" width="8.85546875" style="639" customWidth="1"/>
    <col min="20" max="20" width="12.42578125" style="639" customWidth="1"/>
    <col min="21" max="21" width="8.7109375" style="515"/>
    <col min="22" max="16384" width="8.7109375" style="470"/>
  </cols>
  <sheetData>
    <row r="1" spans="1:25" ht="15.75" x14ac:dyDescent="0.25">
      <c r="B1" s="628" t="s">
        <v>854</v>
      </c>
      <c r="C1" s="531"/>
      <c r="D1" s="628"/>
      <c r="E1" s="628"/>
      <c r="F1" s="629"/>
      <c r="G1" s="630"/>
      <c r="H1" s="631"/>
      <c r="I1" s="631"/>
      <c r="J1" s="631"/>
      <c r="K1" s="631"/>
      <c r="L1" s="632"/>
      <c r="M1" s="631"/>
      <c r="N1" s="631"/>
      <c r="O1" s="631"/>
      <c r="P1" s="632"/>
      <c r="Q1" s="632"/>
      <c r="R1" s="633"/>
      <c r="S1" s="633"/>
      <c r="T1" s="633"/>
    </row>
    <row r="2" spans="1:25" ht="21" thickBot="1" x14ac:dyDescent="0.35">
      <c r="C2" s="634"/>
      <c r="F2" s="635"/>
      <c r="G2" s="636"/>
      <c r="H2" s="637"/>
      <c r="O2" s="637"/>
    </row>
    <row r="3" spans="1:25" ht="57" thickTop="1" x14ac:dyDescent="0.2">
      <c r="B3" s="1653" t="s">
        <v>855</v>
      </c>
      <c r="C3" s="1664" t="s">
        <v>856</v>
      </c>
      <c r="D3" s="1634" t="s">
        <v>857</v>
      </c>
      <c r="E3" s="1635"/>
      <c r="F3" s="1640" t="s">
        <v>858</v>
      </c>
      <c r="G3" s="1640" t="s">
        <v>859</v>
      </c>
      <c r="H3" s="640" t="s">
        <v>860</v>
      </c>
      <c r="I3" s="640" t="s">
        <v>861</v>
      </c>
      <c r="J3" s="640" t="s">
        <v>862</v>
      </c>
      <c r="K3" s="640" t="s">
        <v>863</v>
      </c>
      <c r="L3" s="640" t="s">
        <v>864</v>
      </c>
      <c r="M3" s="640" t="s">
        <v>865</v>
      </c>
      <c r="N3" s="640" t="s">
        <v>865</v>
      </c>
      <c r="O3" s="640" t="s">
        <v>866</v>
      </c>
      <c r="P3" s="640" t="s">
        <v>867</v>
      </c>
      <c r="Q3" s="640" t="s">
        <v>868</v>
      </c>
      <c r="R3" s="640" t="s">
        <v>869</v>
      </c>
      <c r="S3" s="640" t="s">
        <v>870</v>
      </c>
      <c r="T3" s="641" t="s">
        <v>871</v>
      </c>
      <c r="U3" s="519"/>
      <c r="V3" s="519"/>
      <c r="W3" s="519"/>
    </row>
    <row r="4" spans="1:25" ht="12.75" x14ac:dyDescent="0.2">
      <c r="B4" s="1654"/>
      <c r="C4" s="1665"/>
      <c r="D4" s="1636"/>
      <c r="E4" s="1637"/>
      <c r="F4" s="1641"/>
      <c r="G4" s="1642"/>
      <c r="H4" s="642" t="s">
        <v>872</v>
      </c>
      <c r="I4" s="642" t="s">
        <v>873</v>
      </c>
      <c r="J4" s="642" t="s">
        <v>874</v>
      </c>
      <c r="K4" s="642" t="s">
        <v>875</v>
      </c>
      <c r="L4" s="642" t="s">
        <v>876</v>
      </c>
      <c r="M4" s="642" t="s">
        <v>877</v>
      </c>
      <c r="N4" s="642" t="s">
        <v>878</v>
      </c>
      <c r="O4" s="642" t="s">
        <v>879</v>
      </c>
      <c r="P4" s="642" t="s">
        <v>880</v>
      </c>
      <c r="Q4" s="642" t="s">
        <v>881</v>
      </c>
      <c r="R4" s="642" t="s">
        <v>882</v>
      </c>
      <c r="S4" s="642" t="s">
        <v>883</v>
      </c>
      <c r="T4" s="643" t="s">
        <v>612</v>
      </c>
      <c r="U4" s="519"/>
      <c r="V4" s="519"/>
      <c r="W4" s="519"/>
    </row>
    <row r="5" spans="1:25" s="551" customFormat="1" ht="15" customHeight="1" thickBot="1" x14ac:dyDescent="0.25">
      <c r="B5" s="1655"/>
      <c r="C5" s="1666"/>
      <c r="D5" s="1638"/>
      <c r="E5" s="1639"/>
      <c r="F5" s="644" t="s">
        <v>884</v>
      </c>
      <c r="G5" s="644" t="s">
        <v>884</v>
      </c>
      <c r="H5" s="645" t="s">
        <v>885</v>
      </c>
      <c r="I5" s="645" t="s">
        <v>886</v>
      </c>
      <c r="J5" s="645" t="s">
        <v>886</v>
      </c>
      <c r="K5" s="645" t="s">
        <v>887</v>
      </c>
      <c r="L5" s="645" t="s">
        <v>888</v>
      </c>
      <c r="M5" s="645" t="s">
        <v>889</v>
      </c>
      <c r="N5" s="645" t="s">
        <v>800</v>
      </c>
      <c r="O5" s="645" t="s">
        <v>800</v>
      </c>
      <c r="P5" s="645" t="s">
        <v>800</v>
      </c>
      <c r="Q5" s="645" t="s">
        <v>890</v>
      </c>
      <c r="R5" s="645" t="s">
        <v>891</v>
      </c>
      <c r="S5" s="645" t="s">
        <v>892</v>
      </c>
      <c r="T5" s="646" t="s">
        <v>893</v>
      </c>
    </row>
    <row r="6" spans="1:25" s="551" customFormat="1" ht="15.75" customHeight="1" x14ac:dyDescent="0.2">
      <c r="B6" s="1656" t="s">
        <v>11</v>
      </c>
      <c r="C6" s="1667" t="s">
        <v>894</v>
      </c>
      <c r="D6" s="647" t="s">
        <v>895</v>
      </c>
      <c r="E6" s="648" t="s">
        <v>875</v>
      </c>
      <c r="F6" s="649">
        <v>299.08999999999997</v>
      </c>
      <c r="G6" s="649">
        <v>299.08999999999997</v>
      </c>
      <c r="H6" s="650">
        <v>490</v>
      </c>
      <c r="I6" s="651">
        <v>2.69995257551187E-2</v>
      </c>
      <c r="J6" s="651">
        <v>7.1746893856621697E-6</v>
      </c>
      <c r="K6" s="651">
        <v>2168.4025000000001</v>
      </c>
      <c r="L6" s="651">
        <v>1.15E-8</v>
      </c>
      <c r="M6" s="651">
        <v>2.9500000000000002E-10</v>
      </c>
      <c r="N6" s="651">
        <v>1.2058553986099166E-8</v>
      </c>
      <c r="O6" s="651">
        <v>1</v>
      </c>
      <c r="P6" s="652">
        <v>0.1</v>
      </c>
      <c r="Q6" s="651"/>
      <c r="R6" s="651"/>
      <c r="S6" s="653">
        <v>2.9999999999999997E-4</v>
      </c>
      <c r="T6" s="654">
        <v>4.8999999999999998E-3</v>
      </c>
      <c r="U6" s="655"/>
      <c r="V6" s="656"/>
      <c r="Y6" s="657"/>
    </row>
    <row r="7" spans="1:25" s="551" customFormat="1" ht="15.75" customHeight="1" x14ac:dyDescent="0.2">
      <c r="B7" s="1657" t="s">
        <v>16</v>
      </c>
      <c r="C7" s="1668" t="s">
        <v>896</v>
      </c>
      <c r="D7" s="658" t="s">
        <v>895</v>
      </c>
      <c r="E7" s="648" t="s">
        <v>875</v>
      </c>
      <c r="F7" s="649">
        <v>349</v>
      </c>
      <c r="G7" s="659">
        <v>349</v>
      </c>
      <c r="H7" s="651">
        <v>1050</v>
      </c>
      <c r="I7" s="660"/>
      <c r="J7" s="660"/>
      <c r="K7" s="660">
        <v>131224</v>
      </c>
      <c r="L7" s="651">
        <v>2.8200000000000001E-7</v>
      </c>
      <c r="M7" s="651">
        <v>2.1400000000000001E-10</v>
      </c>
      <c r="N7" s="660">
        <v>8.747561196695664E-9</v>
      </c>
      <c r="O7" s="660">
        <v>1</v>
      </c>
      <c r="P7" s="661">
        <v>0.1</v>
      </c>
      <c r="Q7" s="660"/>
      <c r="R7" s="660"/>
      <c r="S7" s="653">
        <v>1.5099999999999998E-4</v>
      </c>
      <c r="T7" s="662"/>
      <c r="U7" s="663"/>
      <c r="Y7" s="657"/>
    </row>
    <row r="8" spans="1:25" s="551" customFormat="1" ht="15.75" customHeight="1" x14ac:dyDescent="0.2">
      <c r="B8" s="1658" t="s">
        <v>22</v>
      </c>
      <c r="C8" s="1669" t="s">
        <v>897</v>
      </c>
      <c r="D8" s="658" t="s">
        <v>895</v>
      </c>
      <c r="E8" s="664" t="s">
        <v>875</v>
      </c>
      <c r="F8" s="659">
        <v>399.1</v>
      </c>
      <c r="G8" s="659">
        <v>399.1</v>
      </c>
      <c r="H8" s="665">
        <v>2290</v>
      </c>
      <c r="I8" s="660">
        <v>3.4991301326684703E-2</v>
      </c>
      <c r="J8" s="660">
        <v>4.0884573129073697E-6</v>
      </c>
      <c r="K8" s="660">
        <v>170415.7</v>
      </c>
      <c r="L8" s="660">
        <v>8.1300000000000007E-9</v>
      </c>
      <c r="M8" s="660">
        <v>1.94E-10</v>
      </c>
      <c r="N8" s="660">
        <v>7.930032112892332E-9</v>
      </c>
      <c r="O8" s="660">
        <v>1</v>
      </c>
      <c r="P8" s="661">
        <v>0.1</v>
      </c>
      <c r="Q8" s="660"/>
      <c r="R8" s="660"/>
      <c r="S8" s="666">
        <v>1.9999999999999999E-6</v>
      </c>
      <c r="T8" s="662">
        <v>1.2999999999999999E-5</v>
      </c>
      <c r="U8" s="655"/>
      <c r="Y8" s="657"/>
    </row>
    <row r="9" spans="1:25" s="551" customFormat="1" ht="15.75" customHeight="1" x14ac:dyDescent="0.2">
      <c r="B9" s="1658" t="s">
        <v>28</v>
      </c>
      <c r="C9" s="1669" t="s">
        <v>898</v>
      </c>
      <c r="D9" s="658" t="s">
        <v>895</v>
      </c>
      <c r="E9" s="664" t="s">
        <v>875</v>
      </c>
      <c r="F9" s="659">
        <v>449.11</v>
      </c>
      <c r="G9" s="659">
        <v>449.11</v>
      </c>
      <c r="H9" s="660">
        <v>1230</v>
      </c>
      <c r="I9" s="660"/>
      <c r="J9" s="660"/>
      <c r="K9" s="660">
        <v>352551.35000000003</v>
      </c>
      <c r="L9" s="660">
        <v>3.3099999999999999E-7</v>
      </c>
      <c r="M9" s="660">
        <v>1.79E-10</v>
      </c>
      <c r="N9" s="660">
        <v>7.3168853000398322E-9</v>
      </c>
      <c r="O9" s="660">
        <v>1</v>
      </c>
      <c r="P9" s="661">
        <v>0.1</v>
      </c>
      <c r="Q9" s="660"/>
      <c r="R9" s="660"/>
      <c r="S9" s="666">
        <v>1.0000000000000001E-5</v>
      </c>
      <c r="T9" s="662"/>
      <c r="U9" s="655"/>
      <c r="Y9" s="657"/>
    </row>
    <row r="10" spans="1:25" s="551" customFormat="1" ht="15.75" customHeight="1" x14ac:dyDescent="0.2">
      <c r="B10" s="1658" t="s">
        <v>34</v>
      </c>
      <c r="C10" s="1669" t="s">
        <v>899</v>
      </c>
      <c r="D10" s="658" t="s">
        <v>895</v>
      </c>
      <c r="E10" s="664" t="s">
        <v>875</v>
      </c>
      <c r="F10" s="659">
        <v>499.12</v>
      </c>
      <c r="G10" s="659">
        <v>499.12</v>
      </c>
      <c r="H10" s="665">
        <v>355</v>
      </c>
      <c r="I10" s="660">
        <v>2.0747771695484599E-2</v>
      </c>
      <c r="J10" s="660">
        <v>5.2595776539671504E-6</v>
      </c>
      <c r="K10" s="660">
        <v>564005.6</v>
      </c>
      <c r="L10" s="660">
        <v>2.4499999999999998E-6</v>
      </c>
      <c r="M10" s="660">
        <v>1.7999999999999999E-11</v>
      </c>
      <c r="N10" s="660">
        <v>7.3577617542299963E-10</v>
      </c>
      <c r="O10" s="660">
        <v>1</v>
      </c>
      <c r="P10" s="661">
        <v>0.1</v>
      </c>
      <c r="Q10" s="660"/>
      <c r="R10" s="660"/>
      <c r="S10" s="666">
        <v>1.9999999999999999E-6</v>
      </c>
      <c r="T10" s="662">
        <v>8.1000000000000004E-5</v>
      </c>
      <c r="U10" s="667"/>
      <c r="Y10" s="657"/>
    </row>
    <row r="11" spans="1:25" ht="15.75" customHeight="1" x14ac:dyDescent="0.2">
      <c r="A11" s="551"/>
      <c r="B11" s="1658" t="s">
        <v>40</v>
      </c>
      <c r="C11" s="1669" t="s">
        <v>900</v>
      </c>
      <c r="D11" s="658" t="s">
        <v>895</v>
      </c>
      <c r="E11" s="664" t="s">
        <v>875</v>
      </c>
      <c r="F11" s="659">
        <v>599.13</v>
      </c>
      <c r="G11" s="659">
        <v>599.13</v>
      </c>
      <c r="H11" s="665">
        <v>19100</v>
      </c>
      <c r="I11" s="660"/>
      <c r="J11" s="660"/>
      <c r="K11" s="665">
        <v>1000000</v>
      </c>
      <c r="L11" s="660">
        <v>8.1300000000000001E-6</v>
      </c>
      <c r="M11" s="660">
        <v>3.3099999999999999E-10</v>
      </c>
      <c r="N11" s="660">
        <v>1.3530106336945165E-8</v>
      </c>
      <c r="O11" s="660">
        <v>1</v>
      </c>
      <c r="P11" s="661">
        <v>0.1</v>
      </c>
      <c r="Q11" s="660"/>
      <c r="R11" s="660"/>
      <c r="S11" s="666">
        <v>1.0000000000000001E-5</v>
      </c>
      <c r="T11" s="662"/>
      <c r="U11" s="655"/>
      <c r="Y11" s="657"/>
    </row>
    <row r="12" spans="1:25" ht="15.75" customHeight="1" x14ac:dyDescent="0.2">
      <c r="A12" s="551"/>
      <c r="B12" s="1659" t="s">
        <v>47</v>
      </c>
      <c r="C12" s="1670" t="s">
        <v>901</v>
      </c>
      <c r="D12" s="668" t="s">
        <v>902</v>
      </c>
      <c r="E12" s="669" t="s">
        <v>903</v>
      </c>
      <c r="F12" s="670">
        <v>114.023</v>
      </c>
      <c r="G12" s="671">
        <v>114.023</v>
      </c>
      <c r="H12" s="650">
        <v>4.07</v>
      </c>
      <c r="I12" s="665">
        <v>5.0700000000000002E-2</v>
      </c>
      <c r="J12" s="665">
        <v>9.3000000000000007E-6</v>
      </c>
      <c r="K12" s="650">
        <v>993140.33000000007</v>
      </c>
      <c r="L12" s="665">
        <v>108</v>
      </c>
      <c r="M12" s="665">
        <v>3.31E-3</v>
      </c>
      <c r="N12" s="665">
        <v>0.13530106336945164</v>
      </c>
      <c r="O12" s="665">
        <v>1</v>
      </c>
      <c r="P12" s="672">
        <v>0.1</v>
      </c>
      <c r="Q12" s="660"/>
      <c r="R12" s="660"/>
      <c r="S12" s="673">
        <v>1.7999999999999999E-2</v>
      </c>
      <c r="T12" s="674">
        <v>6.3E-2</v>
      </c>
      <c r="U12" s="675"/>
      <c r="Y12" s="657"/>
    </row>
    <row r="13" spans="1:25" s="551" customFormat="1" ht="15" customHeight="1" x14ac:dyDescent="0.2">
      <c r="B13" s="1657" t="s">
        <v>53</v>
      </c>
      <c r="C13" s="1671" t="s">
        <v>904</v>
      </c>
      <c r="D13" s="647" t="s">
        <v>902</v>
      </c>
      <c r="E13" s="676" t="s">
        <v>903</v>
      </c>
      <c r="F13" s="677">
        <v>164</v>
      </c>
      <c r="G13" s="649">
        <v>164</v>
      </c>
      <c r="H13" s="651">
        <v>5.89</v>
      </c>
      <c r="I13" s="660">
        <v>5.0700000000000002E-2</v>
      </c>
      <c r="J13" s="660">
        <v>9.3000000000000007E-6</v>
      </c>
      <c r="K13" s="651">
        <v>24436</v>
      </c>
      <c r="L13" s="651">
        <v>23</v>
      </c>
      <c r="M13" s="651">
        <v>3.63E-6</v>
      </c>
      <c r="N13" s="651">
        <v>1.4838152871030495E-4</v>
      </c>
      <c r="O13" s="651">
        <v>1</v>
      </c>
      <c r="P13" s="652">
        <v>0.1</v>
      </c>
      <c r="Q13" s="660"/>
      <c r="R13" s="660"/>
      <c r="S13" s="651">
        <v>5.0000000000000001E-4</v>
      </c>
      <c r="T13" s="654">
        <v>1.75E-3</v>
      </c>
      <c r="U13" s="675"/>
    </row>
    <row r="14" spans="1:25" ht="15.75" customHeight="1" x14ac:dyDescent="0.2">
      <c r="A14" s="551"/>
      <c r="B14" s="1658" t="s">
        <v>59</v>
      </c>
      <c r="C14" s="1669" t="s">
        <v>905</v>
      </c>
      <c r="D14" s="658" t="s">
        <v>906</v>
      </c>
      <c r="E14" s="664" t="s">
        <v>903</v>
      </c>
      <c r="F14" s="659">
        <v>213.03100000000001</v>
      </c>
      <c r="G14" s="659">
        <v>213.03100000000001</v>
      </c>
      <c r="H14" s="665">
        <v>89.1</v>
      </c>
      <c r="I14" s="660"/>
      <c r="J14" s="660"/>
      <c r="K14" s="660">
        <v>146139.26600000003</v>
      </c>
      <c r="L14" s="660">
        <v>21.8</v>
      </c>
      <c r="M14" s="660">
        <v>5.0099999999999998E-5</v>
      </c>
      <c r="N14" s="660">
        <v>2.0479103549273492E-3</v>
      </c>
      <c r="O14" s="660">
        <v>1</v>
      </c>
      <c r="P14" s="661">
        <v>0.1</v>
      </c>
      <c r="Q14" s="660"/>
      <c r="R14" s="660"/>
      <c r="S14" s="666">
        <v>3.8E-3</v>
      </c>
      <c r="T14" s="662">
        <v>0.01</v>
      </c>
      <c r="U14" s="655"/>
      <c r="Y14" s="657"/>
    </row>
    <row r="15" spans="1:25" ht="15.75" customHeight="1" x14ac:dyDescent="0.2">
      <c r="A15" s="551"/>
      <c r="B15" s="1658" t="s">
        <v>65</v>
      </c>
      <c r="C15" s="1669" t="s">
        <v>907</v>
      </c>
      <c r="D15" s="658" t="s">
        <v>906</v>
      </c>
      <c r="E15" s="664" t="s">
        <v>903</v>
      </c>
      <c r="F15" s="659">
        <v>263.03899999999999</v>
      </c>
      <c r="G15" s="659">
        <v>263.03899999999999</v>
      </c>
      <c r="H15" s="665">
        <v>95.5</v>
      </c>
      <c r="I15" s="660"/>
      <c r="J15" s="660"/>
      <c r="K15" s="660">
        <v>243311.07499999998</v>
      </c>
      <c r="L15" s="660">
        <v>7.27</v>
      </c>
      <c r="M15" s="660">
        <v>2.9700000000000001E-10</v>
      </c>
      <c r="N15" s="660">
        <v>1.2140306894479496E-8</v>
      </c>
      <c r="O15" s="660">
        <v>1</v>
      </c>
      <c r="P15" s="661">
        <v>0.1</v>
      </c>
      <c r="Q15" s="660"/>
      <c r="R15" s="660"/>
      <c r="S15" s="666">
        <v>4.0000000000000002E-4</v>
      </c>
      <c r="T15" s="662">
        <v>1.4E-3</v>
      </c>
      <c r="U15" s="675"/>
      <c r="Y15" s="657"/>
    </row>
    <row r="16" spans="1:25" ht="15.75" customHeight="1" x14ac:dyDescent="0.2">
      <c r="A16" s="551"/>
      <c r="B16" s="1658" t="s">
        <v>71</v>
      </c>
      <c r="C16" s="1669" t="s">
        <v>908</v>
      </c>
      <c r="D16" s="658" t="s">
        <v>906</v>
      </c>
      <c r="E16" s="664" t="s">
        <v>903</v>
      </c>
      <c r="F16" s="659">
        <v>313.04700000000003</v>
      </c>
      <c r="G16" s="659">
        <v>313.04700000000003</v>
      </c>
      <c r="H16" s="665">
        <v>1070</v>
      </c>
      <c r="I16" s="660"/>
      <c r="J16" s="660"/>
      <c r="K16" s="660">
        <v>344351.70000000007</v>
      </c>
      <c r="L16" s="660">
        <v>2</v>
      </c>
      <c r="M16" s="660">
        <v>2.3500000000000002E-10</v>
      </c>
      <c r="N16" s="660">
        <v>9.6059667346891651E-9</v>
      </c>
      <c r="O16" s="660">
        <v>1</v>
      </c>
      <c r="P16" s="661">
        <v>0.1</v>
      </c>
      <c r="Q16" s="660"/>
      <c r="R16" s="660"/>
      <c r="S16" s="666">
        <v>5.0000000000000001E-4</v>
      </c>
      <c r="T16" s="662">
        <v>1.75E-3</v>
      </c>
      <c r="U16" s="675"/>
      <c r="Y16" s="657"/>
    </row>
    <row r="17" spans="1:25" ht="15.75" customHeight="1" x14ac:dyDescent="0.2">
      <c r="A17" s="551"/>
      <c r="B17" s="1658" t="s">
        <v>77</v>
      </c>
      <c r="C17" s="1669" t="s">
        <v>909</v>
      </c>
      <c r="D17" s="658" t="s">
        <v>895</v>
      </c>
      <c r="E17" s="664" t="s">
        <v>875</v>
      </c>
      <c r="F17" s="659">
        <v>363.05500000000001</v>
      </c>
      <c r="G17" s="659">
        <v>363.05500000000001</v>
      </c>
      <c r="H17" s="665">
        <v>2090</v>
      </c>
      <c r="I17" s="660"/>
      <c r="J17" s="660"/>
      <c r="K17" s="660">
        <v>530060.29999999993</v>
      </c>
      <c r="L17" s="660">
        <v>0.30299999999999999</v>
      </c>
      <c r="M17" s="660">
        <v>2.09E-10</v>
      </c>
      <c r="N17" s="660">
        <v>8.5431789257448302E-9</v>
      </c>
      <c r="O17" s="660">
        <v>1</v>
      </c>
      <c r="P17" s="661">
        <v>0.1</v>
      </c>
      <c r="Q17" s="660"/>
      <c r="R17" s="660"/>
      <c r="S17" s="666">
        <v>2.0000000000000002E-5</v>
      </c>
      <c r="T17" s="662"/>
      <c r="U17" s="655"/>
      <c r="Y17" s="657"/>
    </row>
    <row r="18" spans="1:25" ht="15.75" customHeight="1" x14ac:dyDescent="0.2">
      <c r="A18" s="551"/>
      <c r="B18" s="1658" t="s">
        <v>83</v>
      </c>
      <c r="C18" s="1669" t="s">
        <v>910</v>
      </c>
      <c r="D18" s="658" t="s">
        <v>895</v>
      </c>
      <c r="E18" s="664" t="s">
        <v>875</v>
      </c>
      <c r="F18" s="659">
        <v>413.06299999999999</v>
      </c>
      <c r="G18" s="659">
        <v>413.06299999999999</v>
      </c>
      <c r="H18" s="665">
        <v>1660</v>
      </c>
      <c r="I18" s="660"/>
      <c r="J18" s="660"/>
      <c r="K18" s="660">
        <v>623725.13</v>
      </c>
      <c r="L18" s="660">
        <v>0.192</v>
      </c>
      <c r="M18" s="660">
        <v>1.9200000000000001E-10</v>
      </c>
      <c r="N18" s="660">
        <v>7.8482792045119988E-9</v>
      </c>
      <c r="O18" s="660">
        <v>1</v>
      </c>
      <c r="P18" s="661">
        <v>0.1</v>
      </c>
      <c r="Q18" s="660"/>
      <c r="R18" s="660"/>
      <c r="S18" s="666">
        <v>3.0000000000000001E-6</v>
      </c>
      <c r="T18" s="662">
        <v>4.0999999999999997E-6</v>
      </c>
      <c r="U18" s="667"/>
      <c r="Y18" s="657"/>
    </row>
    <row r="19" spans="1:25" ht="15.75" customHeight="1" x14ac:dyDescent="0.2">
      <c r="A19" s="551"/>
      <c r="B19" s="1658" t="s">
        <v>89</v>
      </c>
      <c r="C19" s="1669" t="s">
        <v>911</v>
      </c>
      <c r="D19" s="658" t="s">
        <v>895</v>
      </c>
      <c r="E19" s="664" t="s">
        <v>875</v>
      </c>
      <c r="F19" s="659">
        <v>463.07</v>
      </c>
      <c r="G19" s="659">
        <v>463.07</v>
      </c>
      <c r="H19" s="665">
        <v>2820</v>
      </c>
      <c r="I19" s="660"/>
      <c r="J19" s="660"/>
      <c r="K19" s="660">
        <v>777957.6</v>
      </c>
      <c r="L19" s="660">
        <v>8.9800000000000005E-2</v>
      </c>
      <c r="M19" s="660">
        <v>1.1800000000000001E-9</v>
      </c>
      <c r="N19" s="660">
        <v>4.8234215944396664E-8</v>
      </c>
      <c r="O19" s="660">
        <v>1</v>
      </c>
      <c r="P19" s="661">
        <v>0.1</v>
      </c>
      <c r="Q19" s="660"/>
      <c r="R19" s="660"/>
      <c r="S19" s="666">
        <v>3.0000000000000001E-6</v>
      </c>
      <c r="T19" s="662">
        <v>2.8E-5</v>
      </c>
      <c r="U19" s="655"/>
      <c r="Y19" s="657"/>
    </row>
    <row r="20" spans="1:25" ht="15.75" customHeight="1" x14ac:dyDescent="0.2">
      <c r="A20" s="551"/>
      <c r="B20" s="1658" t="s">
        <v>95</v>
      </c>
      <c r="C20" s="1669" t="s">
        <v>912</v>
      </c>
      <c r="D20" s="658" t="s">
        <v>895</v>
      </c>
      <c r="E20" s="664" t="s">
        <v>875</v>
      </c>
      <c r="F20" s="659">
        <v>513.07799999999997</v>
      </c>
      <c r="G20" s="659">
        <v>513.07799999999997</v>
      </c>
      <c r="H20" s="665">
        <v>398</v>
      </c>
      <c r="I20" s="660"/>
      <c r="J20" s="660"/>
      <c r="K20" s="660">
        <v>954325.08</v>
      </c>
      <c r="L20" s="660">
        <v>2.3900000000000001E-2</v>
      </c>
      <c r="M20" s="660">
        <v>1.5E-10</v>
      </c>
      <c r="N20" s="660">
        <v>6.1314681285249983E-9</v>
      </c>
      <c r="O20" s="660">
        <v>1</v>
      </c>
      <c r="P20" s="661">
        <v>0.1</v>
      </c>
      <c r="Q20" s="660"/>
      <c r="R20" s="660"/>
      <c r="S20" s="666">
        <v>2.0000000000000003E-6</v>
      </c>
      <c r="T20" s="662">
        <v>5.3000000000000001E-5</v>
      </c>
      <c r="U20" s="655"/>
      <c r="Y20" s="657"/>
    </row>
    <row r="21" spans="1:25" ht="15.75" customHeight="1" x14ac:dyDescent="0.2">
      <c r="A21" s="551"/>
      <c r="B21" s="1658" t="s">
        <v>101</v>
      </c>
      <c r="C21" s="1669" t="s">
        <v>913</v>
      </c>
      <c r="D21" s="658" t="s">
        <v>895</v>
      </c>
      <c r="E21" s="664" t="s">
        <v>875</v>
      </c>
      <c r="F21" s="659">
        <v>563.08600000000001</v>
      </c>
      <c r="G21" s="659">
        <v>563.08600000000001</v>
      </c>
      <c r="H21" s="665">
        <v>16600</v>
      </c>
      <c r="I21" s="660"/>
      <c r="J21" s="660"/>
      <c r="K21" s="665">
        <v>1000000</v>
      </c>
      <c r="L21" s="660">
        <v>1.2699999999999999E-2</v>
      </c>
      <c r="M21" s="660">
        <v>3.3399999999999998E-10</v>
      </c>
      <c r="N21" s="660">
        <v>1.3652735699515664E-8</v>
      </c>
      <c r="O21" s="660">
        <v>1</v>
      </c>
      <c r="P21" s="661">
        <v>0.1</v>
      </c>
      <c r="Q21" s="660"/>
      <c r="R21" s="660"/>
      <c r="S21" s="666">
        <v>5.0000000000000004E-6</v>
      </c>
      <c r="T21" s="662"/>
      <c r="U21" s="655"/>
      <c r="Y21" s="657"/>
    </row>
    <row r="22" spans="1:25" ht="15.75" customHeight="1" x14ac:dyDescent="0.2">
      <c r="A22" s="551"/>
      <c r="B22" s="1658" t="s">
        <v>107</v>
      </c>
      <c r="C22" s="1669" t="s">
        <v>914</v>
      </c>
      <c r="D22" s="658" t="s">
        <v>895</v>
      </c>
      <c r="E22" s="664" t="s">
        <v>875</v>
      </c>
      <c r="F22" s="659">
        <v>613.09400000000005</v>
      </c>
      <c r="G22" s="659">
        <v>613.09400000000005</v>
      </c>
      <c r="H22" s="660">
        <v>85400</v>
      </c>
      <c r="I22" s="660"/>
      <c r="J22" s="660"/>
      <c r="K22" s="665">
        <v>1000000</v>
      </c>
      <c r="L22" s="660">
        <v>4.7200000000000002E-3</v>
      </c>
      <c r="M22" s="660">
        <v>3.4000000000000001E-10</v>
      </c>
      <c r="N22" s="660">
        <v>1.3897994424656662E-8</v>
      </c>
      <c r="O22" s="660">
        <v>1</v>
      </c>
      <c r="P22" s="661">
        <v>0.1</v>
      </c>
      <c r="Q22" s="660"/>
      <c r="R22" s="660"/>
      <c r="S22" s="666">
        <v>6.7000000000000002E-6</v>
      </c>
      <c r="T22" s="662">
        <v>4.1999999999999998E-5</v>
      </c>
      <c r="U22" s="655"/>
      <c r="Y22" s="657"/>
    </row>
    <row r="23" spans="1:25" ht="15.75" customHeight="1" x14ac:dyDescent="0.2">
      <c r="A23" s="551"/>
      <c r="B23" s="1658" t="s">
        <v>113</v>
      </c>
      <c r="C23" s="1669" t="s">
        <v>915</v>
      </c>
      <c r="D23" s="658" t="s">
        <v>895</v>
      </c>
      <c r="E23" s="664" t="s">
        <v>875</v>
      </c>
      <c r="F23" s="659">
        <v>663.10199999999998</v>
      </c>
      <c r="G23" s="659">
        <v>663.10199999999998</v>
      </c>
      <c r="H23" s="660">
        <v>184000</v>
      </c>
      <c r="I23" s="660"/>
      <c r="J23" s="660"/>
      <c r="K23" s="665">
        <v>1000000</v>
      </c>
      <c r="L23" s="660">
        <v>2.1299999999999999E-3</v>
      </c>
      <c r="M23" s="660">
        <v>3.4799999999999999E-10</v>
      </c>
      <c r="N23" s="660">
        <v>1.4225006058177993E-8</v>
      </c>
      <c r="O23" s="660">
        <v>1</v>
      </c>
      <c r="P23" s="661">
        <v>0.1</v>
      </c>
      <c r="Q23" s="660"/>
      <c r="R23" s="660"/>
      <c r="S23" s="666">
        <v>6.7000000000000002E-6</v>
      </c>
      <c r="T23" s="662"/>
      <c r="U23" s="655"/>
      <c r="Y23" s="657"/>
    </row>
    <row r="24" spans="1:25" ht="15.75" customHeight="1" x14ac:dyDescent="0.2">
      <c r="A24" s="551"/>
      <c r="B24" s="1658" t="s">
        <v>119</v>
      </c>
      <c r="C24" s="1669" t="s">
        <v>916</v>
      </c>
      <c r="D24" s="658" t="s">
        <v>895</v>
      </c>
      <c r="E24" s="664" t="s">
        <v>875</v>
      </c>
      <c r="F24" s="659">
        <v>713.10900000000004</v>
      </c>
      <c r="G24" s="659">
        <v>713.10900000000004</v>
      </c>
      <c r="H24" s="660">
        <v>233000</v>
      </c>
      <c r="I24" s="660"/>
      <c r="J24" s="660"/>
      <c r="K24" s="665">
        <v>1000000</v>
      </c>
      <c r="L24" s="660">
        <v>1.1999999999999999E-3</v>
      </c>
      <c r="M24" s="660">
        <v>3.5500000000000001E-10</v>
      </c>
      <c r="N24" s="660">
        <v>1.451114123750916E-8</v>
      </c>
      <c r="O24" s="660">
        <v>1</v>
      </c>
      <c r="P24" s="661">
        <v>0.1</v>
      </c>
      <c r="Q24" s="660"/>
      <c r="R24" s="660"/>
      <c r="S24" s="666">
        <v>6.7000000000000002E-5</v>
      </c>
      <c r="T24" s="662"/>
      <c r="U24" s="655"/>
      <c r="Y24" s="657"/>
    </row>
    <row r="25" spans="1:25" ht="15.75" customHeight="1" x14ac:dyDescent="0.2">
      <c r="A25" s="551"/>
      <c r="B25" s="1658" t="s">
        <v>123</v>
      </c>
      <c r="C25" s="1669" t="s">
        <v>490</v>
      </c>
      <c r="D25" s="658" t="s">
        <v>895</v>
      </c>
      <c r="E25" s="664" t="s">
        <v>875</v>
      </c>
      <c r="F25" s="659">
        <v>499.14</v>
      </c>
      <c r="G25" s="659">
        <v>499.14</v>
      </c>
      <c r="H25" s="665">
        <v>661</v>
      </c>
      <c r="I25" s="660">
        <v>3.0194850521221599E-2</v>
      </c>
      <c r="J25" s="660">
        <v>3.5280299030058899E-6</v>
      </c>
      <c r="K25" s="665">
        <v>1000000</v>
      </c>
      <c r="L25" s="660">
        <v>0.248</v>
      </c>
      <c r="M25" s="665">
        <v>2.24E-10</v>
      </c>
      <c r="N25" s="660">
        <v>9.15632573859733E-9</v>
      </c>
      <c r="O25" s="660">
        <v>1</v>
      </c>
      <c r="P25" s="661">
        <v>0.1</v>
      </c>
      <c r="Q25" s="660"/>
      <c r="R25" s="660"/>
      <c r="S25" s="660">
        <v>1.2E-5</v>
      </c>
      <c r="T25" s="662"/>
      <c r="U25" s="655"/>
      <c r="Y25" s="657"/>
    </row>
    <row r="26" spans="1:25" s="551" customFormat="1" ht="15" customHeight="1" x14ac:dyDescent="0.2">
      <c r="B26" s="1660" t="s">
        <v>129</v>
      </c>
      <c r="C26" s="1672" t="s">
        <v>917</v>
      </c>
      <c r="D26" s="658" t="s">
        <v>895</v>
      </c>
      <c r="E26" s="664" t="s">
        <v>875</v>
      </c>
      <c r="F26" s="659">
        <v>329</v>
      </c>
      <c r="G26" s="659">
        <v>329</v>
      </c>
      <c r="H26" s="665">
        <v>407</v>
      </c>
      <c r="I26" s="660"/>
      <c r="J26" s="660"/>
      <c r="K26" s="660">
        <v>1000000</v>
      </c>
      <c r="L26" s="660">
        <v>0.24</v>
      </c>
      <c r="M26" s="660">
        <v>4.0600000000000001E-6</v>
      </c>
      <c r="N26" s="660">
        <v>1.6595840401207663E-4</v>
      </c>
      <c r="O26" s="660">
        <v>1</v>
      </c>
      <c r="P26" s="661">
        <v>0.1</v>
      </c>
      <c r="Q26" s="660"/>
      <c r="R26" s="660"/>
      <c r="S26" s="666">
        <v>3.0000000000000001E-6</v>
      </c>
      <c r="T26" s="662"/>
      <c r="U26" s="655"/>
      <c r="Y26" s="657"/>
    </row>
    <row r="27" spans="1:25" ht="15" customHeight="1" x14ac:dyDescent="0.2">
      <c r="A27" s="551"/>
      <c r="B27" s="1656" t="s">
        <v>789</v>
      </c>
      <c r="C27" s="1667" t="s">
        <v>918</v>
      </c>
      <c r="D27" s="658" t="s">
        <v>895</v>
      </c>
      <c r="E27" s="648" t="s">
        <v>875</v>
      </c>
      <c r="F27" s="649">
        <v>427</v>
      </c>
      <c r="G27" s="649">
        <v>427</v>
      </c>
      <c r="H27" s="678">
        <v>947</v>
      </c>
      <c r="I27" s="660"/>
      <c r="J27" s="660"/>
      <c r="K27" s="678">
        <v>572180.00000000012</v>
      </c>
      <c r="L27" s="678">
        <v>8.2399999999999997E-7</v>
      </c>
      <c r="M27" s="651">
        <v>1.8299999999999999E-10</v>
      </c>
      <c r="N27" s="651">
        <v>7.4803911168004969E-9</v>
      </c>
      <c r="O27" s="651">
        <v>1</v>
      </c>
      <c r="P27" s="652">
        <v>0.1</v>
      </c>
      <c r="Q27" s="660"/>
      <c r="R27" s="660"/>
      <c r="S27" s="653">
        <v>3.8999999999999999E-4</v>
      </c>
      <c r="T27" s="654">
        <v>1E-3</v>
      </c>
      <c r="U27" s="675"/>
      <c r="Y27" s="657"/>
    </row>
    <row r="28" spans="1:25" s="551" customFormat="1" ht="15" customHeight="1" x14ac:dyDescent="0.2">
      <c r="B28" s="1661" t="s">
        <v>140</v>
      </c>
      <c r="C28" s="679" t="s">
        <v>919</v>
      </c>
      <c r="D28" s="680" t="s">
        <v>895</v>
      </c>
      <c r="E28" s="681" t="s">
        <v>875</v>
      </c>
      <c r="F28" s="682">
        <v>395</v>
      </c>
      <c r="G28" s="682">
        <v>395</v>
      </c>
      <c r="H28" s="683">
        <v>967</v>
      </c>
      <c r="I28" s="660"/>
      <c r="J28" s="660"/>
      <c r="K28" s="683">
        <v>217000</v>
      </c>
      <c r="L28" s="683">
        <v>1.32E-2</v>
      </c>
      <c r="M28" s="684">
        <v>1.8E-10</v>
      </c>
      <c r="N28" s="678">
        <v>7.3577617542299979E-9</v>
      </c>
      <c r="O28" s="678">
        <v>1</v>
      </c>
      <c r="P28" s="685">
        <v>0.1</v>
      </c>
      <c r="Q28" s="660"/>
      <c r="R28" s="660"/>
      <c r="S28" s="686">
        <v>2.9999999999999997E-4</v>
      </c>
      <c r="T28" s="662"/>
      <c r="U28" s="675"/>
      <c r="Y28" s="657"/>
    </row>
    <row r="29" spans="1:25" s="551" customFormat="1" ht="15" customHeight="1" x14ac:dyDescent="0.2">
      <c r="B29" s="1662" t="s">
        <v>143</v>
      </c>
      <c r="C29" s="687" t="s">
        <v>920</v>
      </c>
      <c r="D29" s="680" t="s">
        <v>906</v>
      </c>
      <c r="E29" s="664" t="s">
        <v>903</v>
      </c>
      <c r="F29" s="659">
        <v>364</v>
      </c>
      <c r="G29" s="659">
        <v>364</v>
      </c>
      <c r="H29" s="660">
        <v>3160</v>
      </c>
      <c r="I29" s="660"/>
      <c r="J29" s="660"/>
      <c r="K29" s="660">
        <v>17.617599999999999</v>
      </c>
      <c r="L29" s="660">
        <v>1.7</v>
      </c>
      <c r="M29" s="660">
        <v>2.5999999999999998E-10</v>
      </c>
      <c r="N29" s="660">
        <v>1.0627878089443329E-8</v>
      </c>
      <c r="O29" s="660">
        <v>1</v>
      </c>
      <c r="P29" s="660">
        <v>0.1</v>
      </c>
      <c r="Q29" s="660"/>
      <c r="R29" s="660"/>
      <c r="S29" s="666">
        <v>1.2999999999999999E-3</v>
      </c>
      <c r="T29" s="688">
        <v>4.5500000000000002E-3</v>
      </c>
      <c r="U29" s="675"/>
      <c r="Y29" s="657"/>
    </row>
    <row r="30" spans="1:25" s="551" customFormat="1" ht="15" customHeight="1" x14ac:dyDescent="0.2">
      <c r="B30" s="1662" t="s">
        <v>146</v>
      </c>
      <c r="C30" s="687" t="s">
        <v>921</v>
      </c>
      <c r="D30" s="689" t="s">
        <v>895</v>
      </c>
      <c r="E30" s="690" t="s">
        <v>875</v>
      </c>
      <c r="F30" s="659">
        <v>464</v>
      </c>
      <c r="G30" s="659">
        <v>464</v>
      </c>
      <c r="H30" s="660">
        <v>2240</v>
      </c>
      <c r="I30" s="660"/>
      <c r="J30" s="660"/>
      <c r="K30" s="660">
        <v>0.19766399999999998</v>
      </c>
      <c r="L30" s="660">
        <v>0.20899999999999999</v>
      </c>
      <c r="M30" s="660">
        <v>2.09E-10</v>
      </c>
      <c r="N30" s="660">
        <v>8.5431789257448302E-9</v>
      </c>
      <c r="O30" s="660">
        <v>1</v>
      </c>
      <c r="P30" s="660">
        <v>0.1</v>
      </c>
      <c r="Q30" s="660"/>
      <c r="R30" s="660"/>
      <c r="S30" s="666">
        <v>1.1000000000000001E-3</v>
      </c>
      <c r="T30" s="688">
        <v>3.8500000000000001E-3</v>
      </c>
      <c r="U30" s="675"/>
      <c r="Y30" s="657"/>
    </row>
    <row r="31" spans="1:25" s="551" customFormat="1" ht="15" customHeight="1" thickBot="1" x14ac:dyDescent="0.25">
      <c r="B31" s="1663" t="s">
        <v>152</v>
      </c>
      <c r="C31" s="691" t="s">
        <v>922</v>
      </c>
      <c r="D31" s="692" t="s">
        <v>895</v>
      </c>
      <c r="E31" s="693" t="s">
        <v>875</v>
      </c>
      <c r="F31" s="694">
        <v>586</v>
      </c>
      <c r="G31" s="694">
        <v>586</v>
      </c>
      <c r="H31" s="695">
        <v>67600</v>
      </c>
      <c r="I31" s="695"/>
      <c r="J31" s="695"/>
      <c r="K31" s="695">
        <v>191.62199999999999</v>
      </c>
      <c r="L31" s="695">
        <v>2.57E-9</v>
      </c>
      <c r="M31" s="695">
        <v>8.9100000000000003E-10</v>
      </c>
      <c r="N31" s="695">
        <v>3.6420920683438493E-8</v>
      </c>
      <c r="O31" s="695">
        <v>1</v>
      </c>
      <c r="P31" s="695">
        <v>0.1</v>
      </c>
      <c r="Q31" s="695"/>
      <c r="R31" s="695"/>
      <c r="S31" s="696">
        <v>5.0000000000000001E-4</v>
      </c>
      <c r="T31" s="662"/>
      <c r="U31" s="675"/>
      <c r="Y31" s="657"/>
    </row>
    <row r="32" spans="1:25" s="469" customFormat="1" ht="11.25" customHeight="1" thickTop="1" x14ac:dyDescent="0.2">
      <c r="B32" s="697" t="s">
        <v>923</v>
      </c>
      <c r="C32" s="698"/>
      <c r="D32" s="699"/>
      <c r="E32" s="699"/>
      <c r="F32" s="700"/>
      <c r="G32" s="700"/>
      <c r="H32" s="701"/>
      <c r="I32" s="702"/>
      <c r="J32" s="702"/>
      <c r="K32" s="702"/>
      <c r="L32" s="703"/>
      <c r="M32" s="702"/>
      <c r="N32" s="702"/>
      <c r="O32" s="702"/>
      <c r="P32" s="702"/>
      <c r="Q32" s="702"/>
      <c r="R32" s="702"/>
      <c r="S32" s="702"/>
      <c r="T32" s="704"/>
      <c r="U32" s="705"/>
    </row>
    <row r="33" spans="2:21" ht="12" customHeight="1" x14ac:dyDescent="0.2">
      <c r="B33" s="521" t="s">
        <v>924</v>
      </c>
      <c r="C33" s="470"/>
      <c r="D33" s="706"/>
      <c r="E33" s="636"/>
      <c r="G33" s="636"/>
      <c r="H33" s="707"/>
      <c r="I33" s="707"/>
      <c r="J33" s="707"/>
      <c r="K33" s="707"/>
      <c r="L33" s="708"/>
      <c r="M33" s="707"/>
      <c r="N33" s="707"/>
      <c r="O33" s="707"/>
      <c r="P33" s="707"/>
      <c r="Q33" s="707"/>
      <c r="R33" s="707"/>
      <c r="S33" s="707"/>
      <c r="T33" s="624"/>
      <c r="U33" s="470"/>
    </row>
    <row r="34" spans="2:21" s="469" customFormat="1" ht="12" customHeight="1" x14ac:dyDescent="0.2">
      <c r="B34" s="1643" t="s">
        <v>925</v>
      </c>
      <c r="C34" s="1538"/>
      <c r="D34" s="1538"/>
      <c r="E34" s="1538"/>
      <c r="F34" s="1538"/>
      <c r="G34" s="1538"/>
      <c r="H34" s="1538"/>
      <c r="I34" s="1538"/>
      <c r="J34" s="1538"/>
      <c r="K34" s="1538"/>
      <c r="L34" s="1538"/>
      <c r="M34" s="1538"/>
      <c r="N34" s="1538"/>
      <c r="O34" s="1538"/>
      <c r="P34" s="1538"/>
      <c r="Q34" s="1538"/>
      <c r="R34" s="1538"/>
      <c r="S34" s="1538"/>
      <c r="T34" s="1582"/>
    </row>
    <row r="35" spans="2:21" s="469" customFormat="1" ht="12" customHeight="1" x14ac:dyDescent="0.2">
      <c r="B35" s="514" t="s">
        <v>926</v>
      </c>
      <c r="C35" s="734"/>
      <c r="D35" s="734"/>
      <c r="E35" s="734"/>
      <c r="F35" s="734"/>
      <c r="G35" s="734"/>
      <c r="H35" s="734"/>
      <c r="I35" s="734"/>
      <c r="J35" s="734"/>
      <c r="K35" s="734"/>
      <c r="L35" s="709"/>
      <c r="M35" s="734"/>
      <c r="N35" s="734"/>
      <c r="O35" s="734"/>
      <c r="P35" s="734"/>
      <c r="Q35" s="734"/>
      <c r="R35" s="734"/>
      <c r="S35" s="734"/>
      <c r="T35" s="735"/>
    </row>
    <row r="36" spans="2:21" s="469" customFormat="1" ht="12" customHeight="1" x14ac:dyDescent="0.2">
      <c r="B36" s="521" t="s">
        <v>927</v>
      </c>
      <c r="C36" s="710"/>
      <c r="D36" s="470"/>
      <c r="E36" s="470"/>
      <c r="F36" s="711"/>
      <c r="G36" s="712"/>
      <c r="H36" s="638"/>
      <c r="I36" s="707"/>
      <c r="J36" s="707"/>
      <c r="K36" s="707"/>
      <c r="L36" s="708"/>
      <c r="M36" s="707"/>
      <c r="N36" s="707"/>
      <c r="O36" s="707"/>
      <c r="P36" s="707"/>
      <c r="Q36" s="707"/>
      <c r="R36" s="707"/>
      <c r="S36" s="707"/>
      <c r="T36" s="713"/>
      <c r="U36" s="705"/>
    </row>
    <row r="37" spans="2:21" s="469" customFormat="1" ht="12" customHeight="1" x14ac:dyDescent="0.2">
      <c r="B37" s="521" t="s">
        <v>928</v>
      </c>
      <c r="C37" s="710"/>
      <c r="D37" s="470"/>
      <c r="E37" s="470"/>
      <c r="F37" s="711"/>
      <c r="G37" s="712"/>
      <c r="H37" s="638"/>
      <c r="I37" s="707"/>
      <c r="J37" s="707"/>
      <c r="K37" s="707"/>
      <c r="L37" s="708"/>
      <c r="M37" s="707"/>
      <c r="N37" s="707"/>
      <c r="O37" s="707"/>
      <c r="P37" s="707"/>
      <c r="Q37" s="707"/>
      <c r="R37" s="707"/>
      <c r="S37" s="707"/>
      <c r="T37" s="713"/>
      <c r="U37" s="705"/>
    </row>
    <row r="38" spans="2:21" s="469" customFormat="1" ht="12" customHeight="1" x14ac:dyDescent="0.2">
      <c r="B38" s="521" t="s">
        <v>929</v>
      </c>
      <c r="C38" s="710"/>
      <c r="D38" s="470"/>
      <c r="E38" s="470"/>
      <c r="F38" s="711"/>
      <c r="G38" s="712"/>
      <c r="H38" s="638"/>
      <c r="I38" s="707"/>
      <c r="J38" s="707"/>
      <c r="K38" s="707"/>
      <c r="L38" s="708"/>
      <c r="M38" s="707"/>
      <c r="N38" s="707"/>
      <c r="O38" s="707"/>
      <c r="P38" s="707"/>
      <c r="Q38" s="707"/>
      <c r="R38" s="707"/>
      <c r="S38" s="707"/>
      <c r="T38" s="713"/>
      <c r="U38" s="705"/>
    </row>
    <row r="39" spans="2:21" s="469" customFormat="1" ht="12" customHeight="1" x14ac:dyDescent="0.2">
      <c r="B39" s="714" t="s">
        <v>160</v>
      </c>
      <c r="C39" s="710"/>
      <c r="D39" s="470"/>
      <c r="E39" s="470"/>
      <c r="F39" s="711"/>
      <c r="G39" s="712"/>
      <c r="H39" s="638"/>
      <c r="I39" s="707"/>
      <c r="J39" s="707"/>
      <c r="K39" s="707"/>
      <c r="L39" s="708"/>
      <c r="M39" s="707"/>
      <c r="N39" s="707"/>
      <c r="O39" s="707"/>
      <c r="P39" s="707"/>
      <c r="Q39" s="707"/>
      <c r="R39" s="707"/>
      <c r="S39" s="707"/>
      <c r="T39" s="713"/>
      <c r="U39" s="705"/>
    </row>
    <row r="40" spans="2:21" s="469" customFormat="1" ht="12" customHeight="1" x14ac:dyDescent="0.2">
      <c r="B40" s="518" t="s">
        <v>930</v>
      </c>
      <c r="C40" s="517"/>
      <c r="D40" s="706"/>
      <c r="E40" s="706"/>
      <c r="F40" s="636"/>
      <c r="G40" s="636"/>
      <c r="H40" s="715"/>
      <c r="I40" s="716"/>
      <c r="J40" s="716"/>
      <c r="K40" s="716"/>
      <c r="L40" s="717"/>
      <c r="M40" s="716"/>
      <c r="N40" s="716"/>
      <c r="O40" s="716"/>
      <c r="P40" s="716"/>
      <c r="Q40" s="716"/>
      <c r="R40" s="716"/>
      <c r="S40" s="716"/>
      <c r="T40" s="718"/>
      <c r="U40" s="705"/>
    </row>
    <row r="41" spans="2:21" s="469" customFormat="1" ht="12" customHeight="1" x14ac:dyDescent="0.2">
      <c r="B41" s="518" t="s">
        <v>931</v>
      </c>
      <c r="C41" s="470"/>
      <c r="D41" s="470"/>
      <c r="E41" s="470"/>
      <c r="F41" s="711"/>
      <c r="G41" s="712"/>
      <c r="H41" s="638"/>
      <c r="I41" s="707"/>
      <c r="J41" s="707"/>
      <c r="K41" s="707"/>
      <c r="L41" s="708"/>
      <c r="M41" s="707"/>
      <c r="N41" s="707"/>
      <c r="O41" s="707"/>
      <c r="P41" s="707"/>
      <c r="Q41" s="707"/>
      <c r="R41" s="707"/>
      <c r="S41" s="707"/>
      <c r="T41" s="713"/>
      <c r="U41" s="705"/>
    </row>
    <row r="42" spans="2:21" s="469" customFormat="1" ht="12" customHeight="1" thickBot="1" x14ac:dyDescent="0.25">
      <c r="B42" s="719"/>
      <c r="C42" s="720"/>
      <c r="D42" s="720"/>
      <c r="E42" s="720"/>
      <c r="F42" s="721"/>
      <c r="G42" s="722"/>
      <c r="H42" s="723"/>
      <c r="I42" s="724"/>
      <c r="J42" s="724"/>
      <c r="K42" s="724"/>
      <c r="L42" s="725"/>
      <c r="M42" s="724"/>
      <c r="N42" s="724"/>
      <c r="O42" s="724"/>
      <c r="P42" s="724"/>
      <c r="Q42" s="724"/>
      <c r="R42" s="724"/>
      <c r="S42" s="724"/>
      <c r="T42" s="726"/>
      <c r="U42" s="705"/>
    </row>
    <row r="43" spans="2:21" s="469" customFormat="1" ht="13.5" thickTop="1" x14ac:dyDescent="0.2">
      <c r="B43" s="727"/>
      <c r="C43" s="470"/>
      <c r="D43" s="470"/>
      <c r="E43" s="470"/>
      <c r="F43" s="711"/>
      <c r="G43" s="712"/>
      <c r="H43" s="638"/>
      <c r="I43" s="707"/>
      <c r="J43" s="707"/>
      <c r="K43" s="707"/>
      <c r="L43" s="708"/>
      <c r="M43" s="707"/>
      <c r="N43" s="707"/>
      <c r="O43" s="707"/>
      <c r="P43" s="707"/>
      <c r="Q43" s="707"/>
      <c r="R43" s="707"/>
      <c r="S43" s="707"/>
      <c r="T43" s="707"/>
      <c r="U43" s="705"/>
    </row>
    <row r="44" spans="2:21" s="469" customFormat="1" ht="12.75" x14ac:dyDescent="0.2">
      <c r="B44" s="727"/>
      <c r="C44" s="470"/>
      <c r="D44" s="470"/>
      <c r="E44" s="470"/>
      <c r="F44" s="711"/>
      <c r="G44" s="712"/>
      <c r="H44" s="638"/>
      <c r="I44" s="707"/>
      <c r="J44" s="707"/>
      <c r="K44" s="707"/>
      <c r="L44" s="708"/>
      <c r="M44" s="707"/>
      <c r="N44" s="707"/>
      <c r="O44" s="707"/>
      <c r="P44" s="707"/>
      <c r="Q44" s="707"/>
      <c r="R44" s="707"/>
      <c r="S44" s="707"/>
      <c r="T44" s="707"/>
      <c r="U44" s="705"/>
    </row>
    <row r="45" spans="2:21" s="469" customFormat="1" ht="12.75" x14ac:dyDescent="0.2">
      <c r="B45" s="727"/>
      <c r="C45" s="470"/>
      <c r="D45" s="470"/>
      <c r="E45" s="470"/>
      <c r="F45" s="711"/>
      <c r="G45" s="712"/>
      <c r="H45" s="638"/>
      <c r="I45" s="707"/>
      <c r="J45" s="707"/>
      <c r="K45" s="707"/>
      <c r="L45" s="708"/>
      <c r="M45" s="707"/>
      <c r="N45" s="707"/>
      <c r="O45" s="707"/>
      <c r="P45" s="707"/>
      <c r="Q45" s="707"/>
      <c r="R45" s="707"/>
      <c r="S45" s="707"/>
      <c r="T45" s="707"/>
      <c r="U45" s="705"/>
    </row>
    <row r="46" spans="2:21" s="469" customFormat="1" ht="12.75" x14ac:dyDescent="0.2">
      <c r="B46" s="727"/>
      <c r="C46" s="470"/>
      <c r="D46" s="470"/>
      <c r="E46" s="470"/>
      <c r="F46" s="711"/>
      <c r="G46" s="712"/>
      <c r="H46" s="638"/>
      <c r="I46" s="707"/>
      <c r="J46" s="707"/>
      <c r="K46" s="707"/>
      <c r="L46" s="717"/>
      <c r="M46" s="707"/>
      <c r="N46" s="707"/>
      <c r="O46" s="707"/>
      <c r="P46" s="707"/>
      <c r="Q46" s="707"/>
      <c r="R46" s="707"/>
      <c r="S46" s="707"/>
      <c r="T46" s="707"/>
      <c r="U46" s="705"/>
    </row>
    <row r="47" spans="2:21" s="469" customFormat="1" ht="11.25" customHeight="1" x14ac:dyDescent="0.2">
      <c r="B47" s="727"/>
      <c r="C47" s="470"/>
      <c r="D47" s="470"/>
      <c r="E47" s="470"/>
      <c r="F47" s="728"/>
      <c r="G47" s="728"/>
      <c r="H47" s="715"/>
      <c r="I47" s="716"/>
      <c r="J47" s="716"/>
      <c r="K47" s="716"/>
      <c r="L47" s="717"/>
      <c r="M47" s="716"/>
      <c r="N47" s="716"/>
      <c r="O47" s="716"/>
      <c r="P47" s="716"/>
      <c r="Q47" s="716"/>
      <c r="R47" s="716"/>
      <c r="S47" s="716"/>
      <c r="T47" s="716"/>
      <c r="U47" s="705"/>
    </row>
    <row r="48" spans="2:21" s="469" customFormat="1" ht="11.25" customHeight="1" x14ac:dyDescent="0.2">
      <c r="B48" s="727"/>
      <c r="C48" s="470"/>
      <c r="D48" s="470"/>
      <c r="E48" s="470"/>
      <c r="F48" s="728"/>
      <c r="G48" s="728"/>
      <c r="H48" s="715"/>
      <c r="I48" s="716"/>
      <c r="J48" s="716"/>
      <c r="K48" s="716"/>
      <c r="L48" s="717"/>
      <c r="M48" s="716"/>
      <c r="N48" s="716"/>
      <c r="O48" s="716"/>
      <c r="P48" s="716"/>
      <c r="Q48" s="716"/>
      <c r="R48" s="716"/>
      <c r="S48" s="716"/>
      <c r="T48" s="716"/>
      <c r="U48" s="705"/>
    </row>
    <row r="49" spans="2:21" s="469" customFormat="1" ht="23.25" customHeight="1" x14ac:dyDescent="0.2">
      <c r="B49" s="727"/>
      <c r="C49" s="1538"/>
      <c r="D49" s="1523"/>
      <c r="E49" s="1523"/>
      <c r="F49" s="1523"/>
      <c r="G49" s="1523"/>
      <c r="H49" s="1523"/>
      <c r="I49" s="1523"/>
      <c r="J49" s="1523"/>
      <c r="K49" s="1523"/>
      <c r="L49" s="1523"/>
      <c r="M49" s="1523"/>
      <c r="N49" s="1523"/>
      <c r="O49" s="1523"/>
      <c r="P49" s="1523"/>
      <c r="Q49" s="1523"/>
      <c r="R49" s="1523"/>
      <c r="S49" s="1523"/>
      <c r="T49" s="1523"/>
      <c r="U49" s="705"/>
    </row>
    <row r="50" spans="2:21" s="469" customFormat="1" ht="11.25" customHeight="1" x14ac:dyDescent="0.2">
      <c r="B50" s="727"/>
      <c r="C50" s="517"/>
      <c r="D50" s="517"/>
      <c r="E50" s="706"/>
      <c r="F50" s="728"/>
      <c r="G50" s="728"/>
      <c r="H50" s="715"/>
      <c r="I50" s="716"/>
      <c r="J50" s="716"/>
      <c r="K50" s="716"/>
      <c r="L50" s="717"/>
      <c r="M50" s="716"/>
      <c r="N50" s="716"/>
      <c r="O50" s="716"/>
      <c r="P50" s="716"/>
      <c r="Q50" s="716"/>
      <c r="R50" s="716"/>
      <c r="S50" s="716"/>
      <c r="T50" s="716"/>
      <c r="U50" s="705"/>
    </row>
    <row r="51" spans="2:21" ht="11.25" customHeight="1" x14ac:dyDescent="0.2">
      <c r="C51" s="710"/>
      <c r="L51" s="717"/>
      <c r="P51" s="638"/>
      <c r="Q51" s="638"/>
      <c r="R51" s="638"/>
      <c r="S51" s="638"/>
      <c r="T51" s="638"/>
    </row>
    <row r="52" spans="2:21" s="469" customFormat="1" ht="11.25" customHeight="1" x14ac:dyDescent="0.2">
      <c r="B52" s="727"/>
      <c r="C52" s="470"/>
      <c r="D52" s="470"/>
      <c r="E52" s="470"/>
      <c r="F52" s="728"/>
      <c r="G52" s="728"/>
      <c r="H52" s="715"/>
      <c r="I52" s="716"/>
      <c r="J52" s="716"/>
      <c r="K52" s="716"/>
      <c r="L52" s="708"/>
      <c r="M52" s="716"/>
      <c r="N52" s="716"/>
      <c r="O52" s="716"/>
      <c r="P52" s="716"/>
      <c r="Q52" s="716"/>
      <c r="R52" s="716"/>
      <c r="S52" s="716"/>
      <c r="T52" s="716"/>
      <c r="U52" s="705"/>
    </row>
    <row r="53" spans="2:21" s="469" customFormat="1" ht="12.75" x14ac:dyDescent="0.2">
      <c r="B53" s="727"/>
      <c r="C53" s="470"/>
      <c r="D53" s="470"/>
      <c r="E53" s="470"/>
      <c r="F53" s="711"/>
      <c r="G53" s="712"/>
      <c r="H53" s="638"/>
      <c r="I53" s="707"/>
      <c r="J53" s="707"/>
      <c r="K53" s="707"/>
      <c r="L53" s="639"/>
      <c r="M53" s="707"/>
      <c r="N53" s="707"/>
      <c r="O53" s="707"/>
      <c r="P53" s="707"/>
      <c r="Q53" s="707"/>
      <c r="R53" s="707"/>
      <c r="S53" s="707"/>
      <c r="T53" s="707"/>
      <c r="U53" s="705"/>
    </row>
    <row r="54" spans="2:21" s="469" customFormat="1" ht="12.75" x14ac:dyDescent="0.2">
      <c r="B54" s="727"/>
      <c r="C54" s="470"/>
      <c r="D54" s="470"/>
      <c r="E54" s="470"/>
      <c r="F54" s="711"/>
      <c r="G54" s="712"/>
      <c r="H54" s="638"/>
      <c r="I54" s="707"/>
      <c r="J54" s="707"/>
      <c r="K54" s="707"/>
      <c r="L54" s="639"/>
      <c r="M54" s="707"/>
      <c r="N54" s="707"/>
      <c r="O54" s="707"/>
      <c r="P54" s="707"/>
      <c r="Q54" s="707"/>
      <c r="R54" s="707"/>
      <c r="S54" s="707"/>
      <c r="T54" s="707"/>
      <c r="U54" s="705"/>
    </row>
    <row r="69" spans="2:21" s="469" customFormat="1" ht="12.75" x14ac:dyDescent="0.2">
      <c r="B69" s="727"/>
      <c r="F69" s="728"/>
      <c r="G69" s="730"/>
      <c r="H69" s="715"/>
      <c r="I69" s="716"/>
      <c r="J69" s="716"/>
      <c r="K69" s="716"/>
      <c r="L69" s="717"/>
      <c r="M69" s="716"/>
      <c r="N69" s="716"/>
      <c r="O69" s="716"/>
      <c r="P69" s="717"/>
      <c r="Q69" s="717"/>
      <c r="R69" s="717"/>
      <c r="S69" s="717"/>
      <c r="T69" s="717"/>
      <c r="U69" s="705"/>
    </row>
    <row r="70" spans="2:21" s="469" customFormat="1" ht="12.75" x14ac:dyDescent="0.2">
      <c r="B70" s="727"/>
      <c r="F70" s="728"/>
      <c r="G70" s="730"/>
      <c r="H70" s="715"/>
      <c r="I70" s="716"/>
      <c r="J70" s="716"/>
      <c r="K70" s="716"/>
      <c r="L70" s="717"/>
      <c r="M70" s="716"/>
      <c r="N70" s="716"/>
      <c r="O70" s="716"/>
      <c r="P70" s="717"/>
      <c r="Q70" s="717"/>
      <c r="R70" s="717"/>
      <c r="S70" s="717"/>
      <c r="T70" s="717"/>
      <c r="U70" s="705"/>
    </row>
    <row r="71" spans="2:21" s="469" customFormat="1" ht="12.75" x14ac:dyDescent="0.2">
      <c r="B71" s="727"/>
      <c r="F71" s="728"/>
      <c r="G71" s="730"/>
      <c r="H71" s="715"/>
      <c r="I71" s="716"/>
      <c r="J71" s="716"/>
      <c r="K71" s="716"/>
      <c r="L71" s="717"/>
      <c r="M71" s="716"/>
      <c r="N71" s="716"/>
      <c r="O71" s="716"/>
      <c r="P71" s="717"/>
      <c r="Q71" s="717"/>
      <c r="R71" s="717"/>
      <c r="S71" s="717"/>
      <c r="T71" s="717"/>
      <c r="U71" s="705"/>
    </row>
    <row r="72" spans="2:21" s="469" customFormat="1" ht="12.75" x14ac:dyDescent="0.2">
      <c r="B72" s="727"/>
      <c r="F72" s="728"/>
      <c r="G72" s="730"/>
      <c r="H72" s="715"/>
      <c r="I72" s="716"/>
      <c r="J72" s="716"/>
      <c r="K72" s="716"/>
      <c r="L72" s="717"/>
      <c r="M72" s="716"/>
      <c r="N72" s="716"/>
      <c r="O72" s="716"/>
      <c r="P72" s="717"/>
      <c r="Q72" s="717"/>
      <c r="R72" s="717"/>
      <c r="S72" s="717"/>
      <c r="T72" s="717"/>
      <c r="U72" s="705"/>
    </row>
    <row r="73" spans="2:21" s="469" customFormat="1" ht="12.75" x14ac:dyDescent="0.2">
      <c r="B73" s="727"/>
      <c r="F73" s="728"/>
      <c r="G73" s="730"/>
      <c r="H73" s="715"/>
      <c r="I73" s="716"/>
      <c r="J73" s="716"/>
      <c r="K73" s="716"/>
      <c r="L73" s="717"/>
      <c r="M73" s="716"/>
      <c r="N73" s="716"/>
      <c r="O73" s="716"/>
      <c r="P73" s="717"/>
      <c r="Q73" s="717"/>
      <c r="R73" s="717"/>
      <c r="S73" s="717"/>
      <c r="T73" s="717"/>
      <c r="U73" s="705"/>
    </row>
    <row r="74" spans="2:21" s="469" customFormat="1" ht="12.75" x14ac:dyDescent="0.2">
      <c r="B74" s="727"/>
      <c r="F74" s="728"/>
      <c r="G74" s="730"/>
      <c r="H74" s="715"/>
      <c r="I74" s="716"/>
      <c r="J74" s="716"/>
      <c r="K74" s="716"/>
      <c r="L74" s="717"/>
      <c r="M74" s="716"/>
      <c r="N74" s="716"/>
      <c r="O74" s="716"/>
      <c r="P74" s="717"/>
      <c r="Q74" s="717"/>
      <c r="R74" s="717"/>
      <c r="S74" s="717"/>
      <c r="T74" s="717"/>
      <c r="U74" s="705"/>
    </row>
    <row r="75" spans="2:21" s="469" customFormat="1" ht="12.75" x14ac:dyDescent="0.2">
      <c r="B75" s="727"/>
      <c r="F75" s="728"/>
      <c r="G75" s="730"/>
      <c r="H75" s="715"/>
      <c r="I75" s="716"/>
      <c r="J75" s="716"/>
      <c r="K75" s="716"/>
      <c r="L75" s="717"/>
      <c r="M75" s="716"/>
      <c r="N75" s="716"/>
      <c r="O75" s="716"/>
      <c r="P75" s="717"/>
      <c r="Q75" s="717"/>
      <c r="R75" s="717"/>
      <c r="S75" s="717"/>
      <c r="T75" s="717"/>
      <c r="U75" s="705"/>
    </row>
    <row r="76" spans="2:21" s="469" customFormat="1" ht="12.75" x14ac:dyDescent="0.2">
      <c r="B76" s="727"/>
      <c r="F76" s="728"/>
      <c r="G76" s="730"/>
      <c r="H76" s="715"/>
      <c r="I76" s="716"/>
      <c r="J76" s="716"/>
      <c r="K76" s="716"/>
      <c r="L76" s="717"/>
      <c r="M76" s="716"/>
      <c r="N76" s="716"/>
      <c r="O76" s="716"/>
      <c r="P76" s="717"/>
      <c r="Q76" s="717"/>
      <c r="R76" s="717"/>
      <c r="S76" s="717"/>
      <c r="T76" s="717"/>
      <c r="U76" s="705"/>
    </row>
    <row r="77" spans="2:21" s="469" customFormat="1" ht="12.75" x14ac:dyDescent="0.2">
      <c r="B77" s="727"/>
      <c r="F77" s="728"/>
      <c r="G77" s="730"/>
      <c r="H77" s="715"/>
      <c r="I77" s="716"/>
      <c r="J77" s="716"/>
      <c r="K77" s="716"/>
      <c r="L77" s="717"/>
      <c r="M77" s="716"/>
      <c r="N77" s="716"/>
      <c r="O77" s="716"/>
      <c r="P77" s="717"/>
      <c r="Q77" s="717"/>
      <c r="R77" s="717"/>
      <c r="S77" s="717"/>
      <c r="T77" s="717"/>
      <c r="U77" s="705"/>
    </row>
    <row r="78" spans="2:21" s="469" customFormat="1" ht="12.75" x14ac:dyDescent="0.2">
      <c r="B78" s="727"/>
      <c r="F78" s="728"/>
      <c r="G78" s="730"/>
      <c r="H78" s="715"/>
      <c r="I78" s="716"/>
      <c r="J78" s="716"/>
      <c r="K78" s="716"/>
      <c r="L78" s="717"/>
      <c r="M78" s="716"/>
      <c r="N78" s="716"/>
      <c r="O78" s="716"/>
      <c r="P78" s="717"/>
      <c r="Q78" s="717"/>
      <c r="R78" s="717"/>
      <c r="S78" s="717"/>
      <c r="T78" s="717"/>
      <c r="U78" s="705"/>
    </row>
    <row r="79" spans="2:21" s="469" customFormat="1" ht="12.75" x14ac:dyDescent="0.2">
      <c r="B79" s="727"/>
      <c r="F79" s="728"/>
      <c r="G79" s="730"/>
      <c r="H79" s="715"/>
      <c r="I79" s="716"/>
      <c r="J79" s="716"/>
      <c r="K79" s="716"/>
      <c r="L79" s="717"/>
      <c r="M79" s="716"/>
      <c r="N79" s="716"/>
      <c r="O79" s="716"/>
      <c r="P79" s="717"/>
      <c r="Q79" s="717"/>
      <c r="R79" s="717"/>
      <c r="S79" s="717"/>
      <c r="T79" s="717"/>
      <c r="U79" s="705"/>
    </row>
    <row r="80" spans="2:21" s="469" customFormat="1" ht="12.75" x14ac:dyDescent="0.2">
      <c r="B80" s="727"/>
      <c r="F80" s="728"/>
      <c r="G80" s="730"/>
      <c r="H80" s="715"/>
      <c r="I80" s="716"/>
      <c r="J80" s="716"/>
      <c r="K80" s="716"/>
      <c r="L80" s="717"/>
      <c r="M80" s="716"/>
      <c r="N80" s="716"/>
      <c r="O80" s="716"/>
      <c r="P80" s="717"/>
      <c r="Q80" s="717"/>
      <c r="R80" s="717"/>
      <c r="S80" s="717"/>
      <c r="T80" s="717"/>
      <c r="U80" s="705"/>
    </row>
    <row r="81" spans="2:21" s="469" customFormat="1" ht="12.75" x14ac:dyDescent="0.2">
      <c r="B81" s="727"/>
      <c r="F81" s="728"/>
      <c r="G81" s="730"/>
      <c r="H81" s="715"/>
      <c r="I81" s="716"/>
      <c r="J81" s="716"/>
      <c r="K81" s="716"/>
      <c r="L81" s="717"/>
      <c r="M81" s="716"/>
      <c r="N81" s="716"/>
      <c r="O81" s="716"/>
      <c r="P81" s="717"/>
      <c r="Q81" s="717"/>
      <c r="R81" s="717"/>
      <c r="S81" s="717"/>
      <c r="T81" s="717"/>
      <c r="U81" s="705"/>
    </row>
    <row r="82" spans="2:21" s="469" customFormat="1" ht="12.75" x14ac:dyDescent="0.2">
      <c r="B82" s="727"/>
      <c r="F82" s="728"/>
      <c r="G82" s="730"/>
      <c r="H82" s="715"/>
      <c r="I82" s="716"/>
      <c r="J82" s="716"/>
      <c r="K82" s="716"/>
      <c r="L82" s="717"/>
      <c r="M82" s="716"/>
      <c r="N82" s="716"/>
      <c r="O82" s="716"/>
      <c r="P82" s="717"/>
      <c r="Q82" s="717"/>
      <c r="R82" s="717"/>
      <c r="S82" s="717"/>
      <c r="T82" s="717"/>
      <c r="U82" s="705"/>
    </row>
    <row r="83" spans="2:21" s="469" customFormat="1" ht="12.75" x14ac:dyDescent="0.2">
      <c r="B83" s="727"/>
      <c r="F83" s="728"/>
      <c r="G83" s="730"/>
      <c r="H83" s="715"/>
      <c r="I83" s="716"/>
      <c r="J83" s="716"/>
      <c r="K83" s="716"/>
      <c r="L83" s="717"/>
      <c r="M83" s="716"/>
      <c r="N83" s="716"/>
      <c r="O83" s="716"/>
      <c r="P83" s="717"/>
      <c r="Q83" s="717"/>
      <c r="R83" s="717"/>
      <c r="S83" s="717"/>
      <c r="T83" s="717"/>
      <c r="U83" s="705"/>
    </row>
    <row r="84" spans="2:21" s="469" customFormat="1" ht="12.75" x14ac:dyDescent="0.2">
      <c r="B84" s="727"/>
      <c r="F84" s="728"/>
      <c r="G84" s="730"/>
      <c r="H84" s="715"/>
      <c r="I84" s="716"/>
      <c r="J84" s="716"/>
      <c r="K84" s="716"/>
      <c r="L84" s="717"/>
      <c r="M84" s="716"/>
      <c r="N84" s="716"/>
      <c r="O84" s="716"/>
      <c r="P84" s="717"/>
      <c r="Q84" s="717"/>
      <c r="R84" s="717"/>
      <c r="S84" s="717"/>
      <c r="T84" s="717"/>
      <c r="U84" s="705"/>
    </row>
    <row r="85" spans="2:21" s="469" customFormat="1" ht="12.75" x14ac:dyDescent="0.2">
      <c r="B85" s="727"/>
      <c r="F85" s="728"/>
      <c r="G85" s="730"/>
      <c r="H85" s="715"/>
      <c r="I85" s="716"/>
      <c r="J85" s="716"/>
      <c r="K85" s="716"/>
      <c r="L85" s="717"/>
      <c r="M85" s="716"/>
      <c r="N85" s="716"/>
      <c r="O85" s="716"/>
      <c r="P85" s="717"/>
      <c r="Q85" s="717"/>
      <c r="R85" s="717"/>
      <c r="S85" s="717"/>
      <c r="T85" s="717"/>
      <c r="U85" s="705"/>
    </row>
    <row r="86" spans="2:21" s="469" customFormat="1" ht="12.75" x14ac:dyDescent="0.2">
      <c r="B86" s="727"/>
      <c r="F86" s="728"/>
      <c r="G86" s="730"/>
      <c r="H86" s="715"/>
      <c r="I86" s="716"/>
      <c r="J86" s="716"/>
      <c r="K86" s="716"/>
      <c r="L86" s="717"/>
      <c r="M86" s="716"/>
      <c r="N86" s="716"/>
      <c r="O86" s="716"/>
      <c r="P86" s="717"/>
      <c r="Q86" s="717"/>
      <c r="R86" s="717"/>
      <c r="S86" s="717"/>
      <c r="T86" s="717"/>
      <c r="U86" s="705"/>
    </row>
    <row r="87" spans="2:21" s="469" customFormat="1" ht="12.75" x14ac:dyDescent="0.2">
      <c r="B87" s="727"/>
      <c r="F87" s="728"/>
      <c r="G87" s="730"/>
      <c r="H87" s="715"/>
      <c r="I87" s="716"/>
      <c r="J87" s="716"/>
      <c r="K87" s="716"/>
      <c r="L87" s="717"/>
      <c r="M87" s="716"/>
      <c r="N87" s="716"/>
      <c r="O87" s="716"/>
      <c r="P87" s="717"/>
      <c r="Q87" s="717"/>
      <c r="R87" s="717"/>
      <c r="S87" s="717"/>
      <c r="T87" s="717"/>
      <c r="U87" s="705"/>
    </row>
    <row r="88" spans="2:21" s="469" customFormat="1" ht="12.75" x14ac:dyDescent="0.2">
      <c r="B88" s="727"/>
      <c r="F88" s="728"/>
      <c r="G88" s="730"/>
      <c r="H88" s="715"/>
      <c r="I88" s="716"/>
      <c r="J88" s="716"/>
      <c r="K88" s="716"/>
      <c r="L88" s="717"/>
      <c r="M88" s="716"/>
      <c r="N88" s="716"/>
      <c r="O88" s="716"/>
      <c r="P88" s="717"/>
      <c r="Q88" s="717"/>
      <c r="R88" s="717"/>
      <c r="S88" s="717"/>
      <c r="T88" s="717"/>
      <c r="U88" s="705"/>
    </row>
    <row r="89" spans="2:21" s="469" customFormat="1" ht="12.75" x14ac:dyDescent="0.2">
      <c r="B89" s="727"/>
      <c r="F89" s="728"/>
      <c r="G89" s="730"/>
      <c r="H89" s="715"/>
      <c r="I89" s="716"/>
      <c r="J89" s="716"/>
      <c r="K89" s="716"/>
      <c r="L89" s="717"/>
      <c r="M89" s="716"/>
      <c r="N89" s="716"/>
      <c r="O89" s="716"/>
      <c r="P89" s="717"/>
      <c r="Q89" s="717"/>
      <c r="R89" s="717"/>
      <c r="S89" s="717"/>
      <c r="T89" s="717"/>
      <c r="U89" s="705"/>
    </row>
    <row r="90" spans="2:21" s="469" customFormat="1" ht="12.75" x14ac:dyDescent="0.2">
      <c r="B90" s="727"/>
      <c r="F90" s="728"/>
      <c r="G90" s="730"/>
      <c r="H90" s="715"/>
      <c r="I90" s="716"/>
      <c r="J90" s="716"/>
      <c r="K90" s="716"/>
      <c r="L90" s="717"/>
      <c r="M90" s="716"/>
      <c r="N90" s="716"/>
      <c r="O90" s="716"/>
      <c r="P90" s="717"/>
      <c r="Q90" s="717"/>
      <c r="R90" s="717"/>
      <c r="S90" s="717"/>
      <c r="T90" s="717"/>
      <c r="U90" s="705"/>
    </row>
    <row r="91" spans="2:21" s="469" customFormat="1" ht="12.75" x14ac:dyDescent="0.2">
      <c r="B91" s="727"/>
      <c r="F91" s="728"/>
      <c r="G91" s="730"/>
      <c r="H91" s="715"/>
      <c r="I91" s="716"/>
      <c r="J91" s="716"/>
      <c r="K91" s="716"/>
      <c r="L91" s="717"/>
      <c r="M91" s="716"/>
      <c r="N91" s="716"/>
      <c r="O91" s="716"/>
      <c r="P91" s="717"/>
      <c r="Q91" s="717"/>
      <c r="R91" s="717"/>
      <c r="S91" s="717"/>
      <c r="T91" s="717"/>
      <c r="U91" s="705"/>
    </row>
    <row r="92" spans="2:21" s="469" customFormat="1" ht="12.75" x14ac:dyDescent="0.2">
      <c r="B92" s="727"/>
      <c r="F92" s="728"/>
      <c r="G92" s="730"/>
      <c r="H92" s="715"/>
      <c r="I92" s="716"/>
      <c r="J92" s="716"/>
      <c r="K92" s="716"/>
      <c r="L92" s="717"/>
      <c r="M92" s="716"/>
      <c r="N92" s="716"/>
      <c r="O92" s="716"/>
      <c r="P92" s="717"/>
      <c r="Q92" s="717"/>
      <c r="R92" s="717"/>
      <c r="S92" s="717"/>
      <c r="T92" s="717"/>
      <c r="U92" s="705"/>
    </row>
    <row r="93" spans="2:21" s="469" customFormat="1" ht="12.75" x14ac:dyDescent="0.2">
      <c r="B93" s="727"/>
      <c r="F93" s="728"/>
      <c r="G93" s="730"/>
      <c r="H93" s="715"/>
      <c r="I93" s="716"/>
      <c r="J93" s="716"/>
      <c r="K93" s="716"/>
      <c r="L93" s="717"/>
      <c r="M93" s="716"/>
      <c r="N93" s="716"/>
      <c r="O93" s="716"/>
      <c r="P93" s="717"/>
      <c r="Q93" s="717"/>
      <c r="R93" s="717"/>
      <c r="S93" s="717"/>
      <c r="T93" s="717"/>
      <c r="U93" s="705"/>
    </row>
    <row r="94" spans="2:21" s="469" customFormat="1" ht="12.75" x14ac:dyDescent="0.2">
      <c r="B94" s="727"/>
      <c r="F94" s="728"/>
      <c r="G94" s="730"/>
      <c r="H94" s="715"/>
      <c r="I94" s="716"/>
      <c r="J94" s="716"/>
      <c r="K94" s="716"/>
      <c r="L94" s="717"/>
      <c r="M94" s="716"/>
      <c r="N94" s="716"/>
      <c r="O94" s="716"/>
      <c r="P94" s="717"/>
      <c r="Q94" s="717"/>
      <c r="R94" s="717"/>
      <c r="S94" s="717"/>
      <c r="T94" s="717"/>
      <c r="U94" s="705"/>
    </row>
    <row r="95" spans="2:21" s="469" customFormat="1" ht="12.75" x14ac:dyDescent="0.2">
      <c r="B95" s="727"/>
      <c r="F95" s="728"/>
      <c r="G95" s="730"/>
      <c r="H95" s="715"/>
      <c r="I95" s="716"/>
      <c r="J95" s="716"/>
      <c r="K95" s="716"/>
      <c r="L95" s="717"/>
      <c r="M95" s="716"/>
      <c r="N95" s="716"/>
      <c r="O95" s="716"/>
      <c r="P95" s="717"/>
      <c r="Q95" s="717"/>
      <c r="R95" s="717"/>
      <c r="S95" s="717"/>
      <c r="T95" s="717"/>
      <c r="U95" s="705"/>
    </row>
    <row r="96" spans="2:21" s="469" customFormat="1" ht="12.75" x14ac:dyDescent="0.2">
      <c r="B96" s="727"/>
      <c r="F96" s="728"/>
      <c r="G96" s="730"/>
      <c r="H96" s="715"/>
      <c r="I96" s="716"/>
      <c r="J96" s="716"/>
      <c r="K96" s="716"/>
      <c r="L96" s="717"/>
      <c r="M96" s="716"/>
      <c r="N96" s="716"/>
      <c r="O96" s="716"/>
      <c r="P96" s="717"/>
      <c r="Q96" s="717"/>
      <c r="R96" s="717"/>
      <c r="S96" s="717"/>
      <c r="T96" s="717"/>
      <c r="U96" s="705"/>
    </row>
    <row r="97" spans="2:21" s="469" customFormat="1" ht="12.75" x14ac:dyDescent="0.2">
      <c r="B97" s="727"/>
      <c r="F97" s="728"/>
      <c r="G97" s="730"/>
      <c r="H97" s="715"/>
      <c r="I97" s="716"/>
      <c r="J97" s="716"/>
      <c r="K97" s="716"/>
      <c r="L97" s="717"/>
      <c r="M97" s="716"/>
      <c r="N97" s="716"/>
      <c r="O97" s="716"/>
      <c r="P97" s="717"/>
      <c r="Q97" s="717"/>
      <c r="R97" s="717"/>
      <c r="S97" s="717"/>
      <c r="T97" s="717"/>
      <c r="U97" s="705"/>
    </row>
    <row r="98" spans="2:21" s="469" customFormat="1" ht="12.75" x14ac:dyDescent="0.2">
      <c r="B98" s="727"/>
      <c r="F98" s="728"/>
      <c r="G98" s="730"/>
      <c r="H98" s="715"/>
      <c r="I98" s="716"/>
      <c r="J98" s="716"/>
      <c r="K98" s="716"/>
      <c r="L98" s="717"/>
      <c r="M98" s="716"/>
      <c r="N98" s="716"/>
      <c r="O98" s="716"/>
      <c r="P98" s="717"/>
      <c r="Q98" s="717"/>
      <c r="R98" s="717"/>
      <c r="S98" s="717"/>
      <c r="T98" s="717"/>
      <c r="U98" s="705"/>
    </row>
    <row r="99" spans="2:21" s="469" customFormat="1" ht="12.75" x14ac:dyDescent="0.2">
      <c r="B99" s="727"/>
      <c r="F99" s="728"/>
      <c r="G99" s="730"/>
      <c r="H99" s="715"/>
      <c r="I99" s="716"/>
      <c r="J99" s="716"/>
      <c r="K99" s="716"/>
      <c r="L99" s="717"/>
      <c r="M99" s="716"/>
      <c r="N99" s="716"/>
      <c r="O99" s="716"/>
      <c r="P99" s="717"/>
      <c r="Q99" s="717"/>
      <c r="R99" s="717"/>
      <c r="S99" s="717"/>
      <c r="T99" s="717"/>
      <c r="U99" s="705"/>
    </row>
    <row r="100" spans="2:21" s="469" customFormat="1" ht="12.75" x14ac:dyDescent="0.2">
      <c r="B100" s="727"/>
      <c r="F100" s="728"/>
      <c r="G100" s="730"/>
      <c r="H100" s="715"/>
      <c r="I100" s="716"/>
      <c r="J100" s="716"/>
      <c r="K100" s="716"/>
      <c r="L100" s="717"/>
      <c r="M100" s="716"/>
      <c r="N100" s="716"/>
      <c r="O100" s="716"/>
      <c r="P100" s="717"/>
      <c r="Q100" s="717"/>
      <c r="R100" s="717"/>
      <c r="S100" s="717"/>
      <c r="T100" s="717"/>
      <c r="U100" s="705"/>
    </row>
    <row r="101" spans="2:21" s="469" customFormat="1" ht="12.75" x14ac:dyDescent="0.2">
      <c r="B101" s="727"/>
      <c r="F101" s="728"/>
      <c r="G101" s="730"/>
      <c r="H101" s="715"/>
      <c r="I101" s="716"/>
      <c r="J101" s="716"/>
      <c r="K101" s="716"/>
      <c r="L101" s="717"/>
      <c r="M101" s="716"/>
      <c r="N101" s="716"/>
      <c r="O101" s="716"/>
      <c r="P101" s="717"/>
      <c r="Q101" s="717"/>
      <c r="R101" s="717"/>
      <c r="S101" s="717"/>
      <c r="T101" s="717"/>
      <c r="U101" s="705"/>
    </row>
    <row r="102" spans="2:21" s="469" customFormat="1" ht="12.75" x14ac:dyDescent="0.2">
      <c r="B102" s="727"/>
      <c r="F102" s="728"/>
      <c r="G102" s="730"/>
      <c r="H102" s="715"/>
      <c r="I102" s="716"/>
      <c r="J102" s="716"/>
      <c r="K102" s="716"/>
      <c r="L102" s="717"/>
      <c r="M102" s="716"/>
      <c r="N102" s="716"/>
      <c r="O102" s="716"/>
      <c r="P102" s="717"/>
      <c r="Q102" s="717"/>
      <c r="R102" s="717"/>
      <c r="S102" s="717"/>
      <c r="T102" s="717"/>
      <c r="U102" s="705"/>
    </row>
    <row r="103" spans="2:21" s="469" customFormat="1" ht="12.75" x14ac:dyDescent="0.2">
      <c r="B103" s="727"/>
      <c r="F103" s="728"/>
      <c r="G103" s="730"/>
      <c r="H103" s="715"/>
      <c r="I103" s="716"/>
      <c r="J103" s="716"/>
      <c r="K103" s="716"/>
      <c r="L103" s="717"/>
      <c r="M103" s="716"/>
      <c r="N103" s="716"/>
      <c r="O103" s="716"/>
      <c r="P103" s="717"/>
      <c r="Q103" s="717"/>
      <c r="R103" s="717"/>
      <c r="S103" s="717"/>
      <c r="T103" s="717"/>
      <c r="U103" s="705"/>
    </row>
    <row r="104" spans="2:21" s="469" customFormat="1" ht="12.75" x14ac:dyDescent="0.2">
      <c r="B104" s="727"/>
      <c r="F104" s="728"/>
      <c r="G104" s="730"/>
      <c r="H104" s="715"/>
      <c r="I104" s="716"/>
      <c r="J104" s="716"/>
      <c r="K104" s="716"/>
      <c r="L104" s="717"/>
      <c r="M104" s="716"/>
      <c r="N104" s="716"/>
      <c r="O104" s="716"/>
      <c r="P104" s="717"/>
      <c r="Q104" s="717"/>
      <c r="R104" s="717"/>
      <c r="S104" s="717"/>
      <c r="T104" s="717"/>
      <c r="U104" s="705"/>
    </row>
    <row r="105" spans="2:21" s="469" customFormat="1" ht="12.75" x14ac:dyDescent="0.2">
      <c r="B105" s="727"/>
      <c r="F105" s="728"/>
      <c r="G105" s="730"/>
      <c r="H105" s="715"/>
      <c r="I105" s="716"/>
      <c r="J105" s="716"/>
      <c r="K105" s="716"/>
      <c r="L105" s="717"/>
      <c r="M105" s="716"/>
      <c r="N105" s="716"/>
      <c r="O105" s="716"/>
      <c r="P105" s="717"/>
      <c r="Q105" s="717"/>
      <c r="R105" s="717"/>
      <c r="S105" s="717"/>
      <c r="T105" s="717"/>
      <c r="U105" s="705"/>
    </row>
    <row r="106" spans="2:21" s="469" customFormat="1" ht="12.75" x14ac:dyDescent="0.2">
      <c r="B106" s="727"/>
      <c r="F106" s="728"/>
      <c r="G106" s="730"/>
      <c r="H106" s="715"/>
      <c r="I106" s="716"/>
      <c r="J106" s="716"/>
      <c r="K106" s="716"/>
      <c r="L106" s="717"/>
      <c r="M106" s="716"/>
      <c r="N106" s="716"/>
      <c r="O106" s="716"/>
      <c r="P106" s="717"/>
      <c r="Q106" s="717"/>
      <c r="R106" s="717"/>
      <c r="S106" s="717"/>
      <c r="T106" s="717"/>
      <c r="U106" s="705"/>
    </row>
    <row r="107" spans="2:21" s="469" customFormat="1" ht="12.75" x14ac:dyDescent="0.2">
      <c r="B107" s="727"/>
      <c r="F107" s="728"/>
      <c r="G107" s="730"/>
      <c r="H107" s="715"/>
      <c r="I107" s="716"/>
      <c r="J107" s="716"/>
      <c r="K107" s="716"/>
      <c r="L107" s="717"/>
      <c r="M107" s="716"/>
      <c r="N107" s="716"/>
      <c r="O107" s="716"/>
      <c r="P107" s="717"/>
      <c r="Q107" s="717"/>
      <c r="R107" s="717"/>
      <c r="S107" s="717"/>
      <c r="T107" s="717"/>
      <c r="U107" s="705"/>
    </row>
    <row r="108" spans="2:21" s="469" customFormat="1" ht="12.75" x14ac:dyDescent="0.2">
      <c r="B108" s="727"/>
      <c r="F108" s="728"/>
      <c r="G108" s="730"/>
      <c r="H108" s="715"/>
      <c r="I108" s="716"/>
      <c r="J108" s="716"/>
      <c r="K108" s="716"/>
      <c r="L108" s="717"/>
      <c r="M108" s="716"/>
      <c r="N108" s="716"/>
      <c r="O108" s="716"/>
      <c r="P108" s="717"/>
      <c r="Q108" s="717"/>
      <c r="R108" s="717"/>
      <c r="S108" s="717"/>
      <c r="T108" s="717"/>
      <c r="U108" s="705"/>
    </row>
    <row r="109" spans="2:21" s="469" customFormat="1" ht="12.75" x14ac:dyDescent="0.2">
      <c r="B109" s="727"/>
      <c r="F109" s="728"/>
      <c r="G109" s="730"/>
      <c r="H109" s="715"/>
      <c r="I109" s="716"/>
      <c r="J109" s="716"/>
      <c r="K109" s="716"/>
      <c r="L109" s="717"/>
      <c r="M109" s="716"/>
      <c r="N109" s="716"/>
      <c r="O109" s="716"/>
      <c r="P109" s="717"/>
      <c r="Q109" s="717"/>
      <c r="R109" s="717"/>
      <c r="S109" s="717"/>
      <c r="T109" s="717"/>
      <c r="U109" s="705"/>
    </row>
    <row r="110" spans="2:21" s="469" customFormat="1" ht="12.75" x14ac:dyDescent="0.2">
      <c r="B110" s="727"/>
      <c r="F110" s="728"/>
      <c r="G110" s="730"/>
      <c r="H110" s="715"/>
      <c r="I110" s="716"/>
      <c r="J110" s="716"/>
      <c r="K110" s="716"/>
      <c r="L110" s="717"/>
      <c r="M110" s="716"/>
      <c r="N110" s="716"/>
      <c r="O110" s="716"/>
      <c r="P110" s="717"/>
      <c r="Q110" s="717"/>
      <c r="R110" s="717"/>
      <c r="S110" s="717"/>
      <c r="T110" s="717"/>
      <c r="U110" s="705"/>
    </row>
    <row r="111" spans="2:21" s="469" customFormat="1" ht="12.75" x14ac:dyDescent="0.2">
      <c r="B111" s="727"/>
      <c r="F111" s="728"/>
      <c r="G111" s="730"/>
      <c r="H111" s="715"/>
      <c r="I111" s="716"/>
      <c r="J111" s="716"/>
      <c r="K111" s="716"/>
      <c r="L111" s="717"/>
      <c r="M111" s="716"/>
      <c r="N111" s="716"/>
      <c r="O111" s="716"/>
      <c r="P111" s="717"/>
      <c r="Q111" s="717"/>
      <c r="R111" s="717"/>
      <c r="S111" s="717"/>
      <c r="T111" s="717"/>
      <c r="U111" s="705"/>
    </row>
    <row r="112" spans="2:21" s="469" customFormat="1" ht="12.75" x14ac:dyDescent="0.2">
      <c r="B112" s="727"/>
      <c r="F112" s="728"/>
      <c r="G112" s="730"/>
      <c r="H112" s="715"/>
      <c r="I112" s="716"/>
      <c r="J112" s="716"/>
      <c r="K112" s="716"/>
      <c r="L112" s="717"/>
      <c r="M112" s="716"/>
      <c r="N112" s="716"/>
      <c r="O112" s="716"/>
      <c r="P112" s="717"/>
      <c r="Q112" s="717"/>
      <c r="R112" s="717"/>
      <c r="S112" s="717"/>
      <c r="T112" s="717"/>
      <c r="U112" s="705"/>
    </row>
    <row r="113" spans="2:21" s="469" customFormat="1" ht="12.75" x14ac:dyDescent="0.2">
      <c r="B113" s="727"/>
      <c r="F113" s="728"/>
      <c r="G113" s="730"/>
      <c r="H113" s="715"/>
      <c r="I113" s="716"/>
      <c r="J113" s="716"/>
      <c r="K113" s="716"/>
      <c r="L113" s="717"/>
      <c r="M113" s="716"/>
      <c r="N113" s="716"/>
      <c r="O113" s="716"/>
      <c r="P113" s="717"/>
      <c r="Q113" s="717"/>
      <c r="R113" s="717"/>
      <c r="S113" s="717"/>
      <c r="T113" s="717"/>
      <c r="U113" s="705"/>
    </row>
    <row r="114" spans="2:21" s="469" customFormat="1" ht="12.75" x14ac:dyDescent="0.2">
      <c r="B114" s="727"/>
      <c r="F114" s="728"/>
      <c r="G114" s="730"/>
      <c r="H114" s="715"/>
      <c r="I114" s="716"/>
      <c r="J114" s="716"/>
      <c r="K114" s="716"/>
      <c r="L114" s="717"/>
      <c r="M114" s="716"/>
      <c r="N114" s="716"/>
      <c r="O114" s="716"/>
      <c r="P114" s="717"/>
      <c r="Q114" s="717"/>
      <c r="R114" s="717"/>
      <c r="S114" s="717"/>
      <c r="T114" s="717"/>
      <c r="U114" s="705"/>
    </row>
    <row r="115" spans="2:21" s="469" customFormat="1" ht="12.75" x14ac:dyDescent="0.2">
      <c r="B115" s="727"/>
      <c r="F115" s="728"/>
      <c r="G115" s="730"/>
      <c r="H115" s="715"/>
      <c r="I115" s="716"/>
      <c r="J115" s="716"/>
      <c r="K115" s="716"/>
      <c r="L115" s="717"/>
      <c r="M115" s="716"/>
      <c r="N115" s="716"/>
      <c r="O115" s="716"/>
      <c r="P115" s="717"/>
      <c r="Q115" s="717"/>
      <c r="R115" s="717"/>
      <c r="S115" s="717"/>
      <c r="T115" s="717"/>
      <c r="U115" s="705"/>
    </row>
    <row r="116" spans="2:21" s="469" customFormat="1" ht="12.75" x14ac:dyDescent="0.2">
      <c r="B116" s="727"/>
      <c r="F116" s="728"/>
      <c r="G116" s="730"/>
      <c r="H116" s="715"/>
      <c r="I116" s="716"/>
      <c r="J116" s="716"/>
      <c r="K116" s="716"/>
      <c r="L116" s="717"/>
      <c r="M116" s="716"/>
      <c r="N116" s="716"/>
      <c r="O116" s="716"/>
      <c r="P116" s="717"/>
      <c r="Q116" s="717"/>
      <c r="R116" s="717"/>
      <c r="S116" s="717"/>
      <c r="T116" s="717"/>
      <c r="U116" s="705"/>
    </row>
    <row r="117" spans="2:21" s="469" customFormat="1" ht="12.75" x14ac:dyDescent="0.2">
      <c r="B117" s="727"/>
      <c r="F117" s="728"/>
      <c r="G117" s="730"/>
      <c r="H117" s="715"/>
      <c r="I117" s="716"/>
      <c r="J117" s="716"/>
      <c r="K117" s="716"/>
      <c r="L117" s="717"/>
      <c r="M117" s="716"/>
      <c r="N117" s="716"/>
      <c r="O117" s="716"/>
      <c r="P117" s="717"/>
      <c r="Q117" s="717"/>
      <c r="R117" s="717"/>
      <c r="S117" s="717"/>
      <c r="T117" s="717"/>
      <c r="U117" s="705"/>
    </row>
    <row r="118" spans="2:21" s="469" customFormat="1" ht="12.75" x14ac:dyDescent="0.2">
      <c r="B118" s="727"/>
      <c r="F118" s="728"/>
      <c r="G118" s="730"/>
      <c r="H118" s="715"/>
      <c r="I118" s="716"/>
      <c r="J118" s="716"/>
      <c r="K118" s="716"/>
      <c r="L118" s="717"/>
      <c r="M118" s="716"/>
      <c r="N118" s="716"/>
      <c r="O118" s="716"/>
      <c r="P118" s="717"/>
      <c r="Q118" s="717"/>
      <c r="R118" s="717"/>
      <c r="S118" s="717"/>
      <c r="T118" s="717"/>
      <c r="U118" s="705"/>
    </row>
    <row r="119" spans="2:21" s="469" customFormat="1" ht="12.75" x14ac:dyDescent="0.2">
      <c r="B119" s="727"/>
      <c r="F119" s="728"/>
      <c r="G119" s="730"/>
      <c r="H119" s="715"/>
      <c r="I119" s="716"/>
      <c r="J119" s="716"/>
      <c r="K119" s="716"/>
      <c r="L119" s="717"/>
      <c r="M119" s="716"/>
      <c r="N119" s="716"/>
      <c r="O119" s="716"/>
      <c r="P119" s="717"/>
      <c r="Q119" s="717"/>
      <c r="R119" s="717"/>
      <c r="S119" s="717"/>
      <c r="T119" s="717"/>
      <c r="U119" s="705"/>
    </row>
    <row r="120" spans="2:21" s="469" customFormat="1" ht="12.75" x14ac:dyDescent="0.2">
      <c r="B120" s="727"/>
      <c r="F120" s="728"/>
      <c r="G120" s="730"/>
      <c r="H120" s="715"/>
      <c r="I120" s="716"/>
      <c r="J120" s="716"/>
      <c r="K120" s="716"/>
      <c r="L120" s="717"/>
      <c r="M120" s="716"/>
      <c r="N120" s="716"/>
      <c r="O120" s="716"/>
      <c r="P120" s="717"/>
      <c r="Q120" s="717"/>
      <c r="R120" s="717"/>
      <c r="S120" s="717"/>
      <c r="T120" s="717"/>
      <c r="U120" s="705"/>
    </row>
    <row r="121" spans="2:21" ht="12.75" x14ac:dyDescent="0.2">
      <c r="F121" s="728"/>
      <c r="G121" s="730"/>
      <c r="R121" s="708"/>
      <c r="S121" s="708"/>
      <c r="T121" s="708"/>
    </row>
    <row r="122" spans="2:21" ht="12.75" x14ac:dyDescent="0.2">
      <c r="F122" s="728"/>
      <c r="G122" s="730"/>
      <c r="R122" s="708"/>
      <c r="S122" s="708"/>
      <c r="T122" s="708"/>
    </row>
    <row r="123" spans="2:21" ht="12.75" x14ac:dyDescent="0.2">
      <c r="F123" s="728"/>
      <c r="G123" s="730"/>
      <c r="R123" s="708"/>
      <c r="S123" s="708"/>
      <c r="T123" s="708"/>
    </row>
    <row r="124" spans="2:21" ht="12.75" x14ac:dyDescent="0.2">
      <c r="F124" s="728"/>
      <c r="G124" s="730"/>
      <c r="R124" s="708"/>
      <c r="S124" s="708"/>
      <c r="T124" s="708"/>
    </row>
    <row r="125" spans="2:21" ht="12.75" x14ac:dyDescent="0.2">
      <c r="F125" s="728"/>
      <c r="G125" s="730"/>
      <c r="R125" s="708"/>
      <c r="S125" s="708"/>
      <c r="T125" s="708"/>
    </row>
    <row r="126" spans="2:21" ht="12.75" x14ac:dyDescent="0.2">
      <c r="F126" s="728"/>
      <c r="G126" s="730"/>
      <c r="R126" s="708"/>
      <c r="S126" s="708"/>
      <c r="T126" s="708"/>
    </row>
    <row r="127" spans="2:21" x14ac:dyDescent="0.2">
      <c r="R127" s="708"/>
      <c r="S127" s="708"/>
      <c r="T127" s="708"/>
    </row>
    <row r="128" spans="2:21" x14ac:dyDescent="0.2">
      <c r="R128" s="708"/>
      <c r="S128" s="708"/>
      <c r="T128" s="708"/>
    </row>
    <row r="129" spans="18:20" x14ac:dyDescent="0.2">
      <c r="R129" s="708"/>
      <c r="S129" s="708"/>
      <c r="T129" s="708"/>
    </row>
    <row r="130" spans="18:20" x14ac:dyDescent="0.2">
      <c r="R130" s="708"/>
      <c r="S130" s="708"/>
      <c r="T130" s="708"/>
    </row>
    <row r="131" spans="18:20" x14ac:dyDescent="0.2">
      <c r="R131" s="708"/>
      <c r="S131" s="708"/>
      <c r="T131" s="708"/>
    </row>
    <row r="132" spans="18:20" x14ac:dyDescent="0.2">
      <c r="R132" s="708"/>
      <c r="S132" s="708"/>
      <c r="T132" s="708"/>
    </row>
    <row r="133" spans="18:20" x14ac:dyDescent="0.2">
      <c r="R133" s="708"/>
      <c r="S133" s="708"/>
      <c r="T133" s="708"/>
    </row>
    <row r="134" spans="18:20" x14ac:dyDescent="0.2">
      <c r="R134" s="708"/>
      <c r="S134" s="708"/>
      <c r="T134" s="708"/>
    </row>
    <row r="135" spans="18:20" x14ac:dyDescent="0.2">
      <c r="R135" s="708"/>
      <c r="S135" s="708"/>
      <c r="T135" s="708"/>
    </row>
    <row r="136" spans="18:20" x14ac:dyDescent="0.2">
      <c r="R136" s="708"/>
      <c r="S136" s="708"/>
      <c r="T136" s="708"/>
    </row>
    <row r="137" spans="18:20" x14ac:dyDescent="0.2">
      <c r="R137" s="708"/>
      <c r="S137" s="708"/>
      <c r="T137" s="708"/>
    </row>
    <row r="138" spans="18:20" x14ac:dyDescent="0.2">
      <c r="R138" s="708"/>
      <c r="S138" s="708"/>
      <c r="T138" s="708"/>
    </row>
    <row r="139" spans="18:20" x14ac:dyDescent="0.2">
      <c r="R139" s="708"/>
      <c r="S139" s="708"/>
      <c r="T139" s="708"/>
    </row>
    <row r="140" spans="18:20" x14ac:dyDescent="0.2">
      <c r="R140" s="708"/>
      <c r="S140" s="708"/>
      <c r="T140" s="708"/>
    </row>
    <row r="141" spans="18:20" x14ac:dyDescent="0.2">
      <c r="R141" s="708"/>
      <c r="S141" s="708"/>
      <c r="T141" s="708"/>
    </row>
    <row r="142" spans="18:20" x14ac:dyDescent="0.2">
      <c r="R142" s="708"/>
      <c r="S142" s="708"/>
      <c r="T142" s="708"/>
    </row>
    <row r="143" spans="18:20" x14ac:dyDescent="0.2">
      <c r="R143" s="708"/>
      <c r="S143" s="708"/>
      <c r="T143" s="708"/>
    </row>
    <row r="144" spans="18:20" x14ac:dyDescent="0.2">
      <c r="R144" s="708"/>
      <c r="S144" s="708"/>
      <c r="T144" s="708"/>
    </row>
    <row r="145" spans="18:20" x14ac:dyDescent="0.2">
      <c r="R145" s="708"/>
      <c r="S145" s="708"/>
      <c r="T145" s="708"/>
    </row>
    <row r="146" spans="18:20" x14ac:dyDescent="0.2">
      <c r="R146" s="708"/>
      <c r="S146" s="708"/>
      <c r="T146" s="708"/>
    </row>
    <row r="147" spans="18:20" x14ac:dyDescent="0.2">
      <c r="R147" s="708"/>
      <c r="S147" s="708"/>
      <c r="T147" s="708"/>
    </row>
    <row r="148" spans="18:20" x14ac:dyDescent="0.2">
      <c r="R148" s="708"/>
      <c r="S148" s="708"/>
      <c r="T148" s="708"/>
    </row>
    <row r="149" spans="18:20" x14ac:dyDescent="0.2">
      <c r="R149" s="708"/>
      <c r="S149" s="708"/>
      <c r="T149" s="708"/>
    </row>
    <row r="150" spans="18:20" x14ac:dyDescent="0.2">
      <c r="R150" s="708"/>
      <c r="S150" s="708"/>
      <c r="T150" s="708"/>
    </row>
    <row r="151" spans="18:20" x14ac:dyDescent="0.2">
      <c r="R151" s="708"/>
      <c r="S151" s="708"/>
      <c r="T151" s="708"/>
    </row>
    <row r="152" spans="18:20" x14ac:dyDescent="0.2">
      <c r="R152" s="708"/>
      <c r="S152" s="708"/>
      <c r="T152" s="708"/>
    </row>
    <row r="153" spans="18:20" x14ac:dyDescent="0.2">
      <c r="R153" s="708"/>
      <c r="S153" s="708"/>
      <c r="T153" s="708"/>
    </row>
    <row r="154" spans="18:20" x14ac:dyDescent="0.2">
      <c r="R154" s="708"/>
      <c r="S154" s="708"/>
      <c r="T154" s="708"/>
    </row>
    <row r="155" spans="18:20" x14ac:dyDescent="0.2">
      <c r="R155" s="708"/>
      <c r="S155" s="708"/>
      <c r="T155" s="708"/>
    </row>
    <row r="156" spans="18:20" x14ac:dyDescent="0.2">
      <c r="R156" s="708"/>
      <c r="S156" s="708"/>
      <c r="T156" s="708"/>
    </row>
    <row r="157" spans="18:20" x14ac:dyDescent="0.2">
      <c r="R157" s="708"/>
      <c r="S157" s="708"/>
      <c r="T157" s="708"/>
    </row>
    <row r="158" spans="18:20" x14ac:dyDescent="0.2">
      <c r="R158" s="708"/>
      <c r="S158" s="708"/>
      <c r="T158" s="708"/>
    </row>
    <row r="159" spans="18:20" x14ac:dyDescent="0.2">
      <c r="R159" s="708"/>
      <c r="S159" s="708"/>
      <c r="T159" s="708"/>
    </row>
    <row r="160" spans="18:20" x14ac:dyDescent="0.2">
      <c r="R160" s="708"/>
      <c r="S160" s="708"/>
      <c r="T160" s="708"/>
    </row>
    <row r="161" spans="18:20" x14ac:dyDescent="0.2">
      <c r="R161" s="708"/>
      <c r="S161" s="708"/>
      <c r="T161" s="708"/>
    </row>
    <row r="162" spans="18:20" x14ac:dyDescent="0.2">
      <c r="R162" s="708"/>
      <c r="S162" s="708"/>
      <c r="T162" s="708"/>
    </row>
    <row r="163" spans="18:20" x14ac:dyDescent="0.2">
      <c r="R163" s="708"/>
      <c r="S163" s="708"/>
      <c r="T163" s="708"/>
    </row>
    <row r="164" spans="18:20" x14ac:dyDescent="0.2">
      <c r="R164" s="708"/>
      <c r="S164" s="708"/>
      <c r="T164" s="708"/>
    </row>
    <row r="165" spans="18:20" x14ac:dyDescent="0.2">
      <c r="R165" s="708"/>
      <c r="S165" s="708"/>
      <c r="T165" s="708"/>
    </row>
    <row r="166" spans="18:20" x14ac:dyDescent="0.2">
      <c r="R166" s="708"/>
      <c r="S166" s="708"/>
      <c r="T166" s="708"/>
    </row>
    <row r="167" spans="18:20" x14ac:dyDescent="0.2">
      <c r="R167" s="708"/>
      <c r="S167" s="708"/>
      <c r="T167" s="708"/>
    </row>
    <row r="168" spans="18:20" x14ac:dyDescent="0.2">
      <c r="R168" s="708"/>
      <c r="S168" s="708"/>
      <c r="T168" s="708"/>
    </row>
    <row r="169" spans="18:20" x14ac:dyDescent="0.2">
      <c r="R169" s="708"/>
      <c r="S169" s="708"/>
      <c r="T169" s="708"/>
    </row>
    <row r="170" spans="18:20" x14ac:dyDescent="0.2">
      <c r="R170" s="708"/>
      <c r="S170" s="708"/>
      <c r="T170" s="708"/>
    </row>
    <row r="171" spans="18:20" x14ac:dyDescent="0.2">
      <c r="R171" s="708"/>
      <c r="S171" s="708"/>
      <c r="T171" s="708"/>
    </row>
    <row r="172" spans="18:20" x14ac:dyDescent="0.2">
      <c r="R172" s="708"/>
      <c r="S172" s="708"/>
      <c r="T172" s="708"/>
    </row>
    <row r="173" spans="18:20" x14ac:dyDescent="0.2">
      <c r="R173" s="708"/>
      <c r="S173" s="708"/>
      <c r="T173" s="708"/>
    </row>
    <row r="174" spans="18:20" x14ac:dyDescent="0.2">
      <c r="R174" s="708"/>
      <c r="S174" s="708"/>
      <c r="T174" s="708"/>
    </row>
    <row r="175" spans="18:20" x14ac:dyDescent="0.2">
      <c r="R175" s="708"/>
      <c r="S175" s="708"/>
      <c r="T175" s="708"/>
    </row>
    <row r="176" spans="18:20" x14ac:dyDescent="0.2">
      <c r="R176" s="708"/>
      <c r="S176" s="708"/>
      <c r="T176" s="708"/>
    </row>
    <row r="177" spans="18:20" x14ac:dyDescent="0.2">
      <c r="R177" s="708"/>
      <c r="S177" s="708"/>
      <c r="T177" s="708"/>
    </row>
    <row r="178" spans="18:20" x14ac:dyDescent="0.2">
      <c r="R178" s="708"/>
      <c r="S178" s="708"/>
      <c r="T178" s="708"/>
    </row>
    <row r="179" spans="18:20" x14ac:dyDescent="0.2">
      <c r="R179" s="708"/>
      <c r="S179" s="708"/>
      <c r="T179" s="708"/>
    </row>
    <row r="180" spans="18:20" x14ac:dyDescent="0.2">
      <c r="R180" s="708"/>
      <c r="S180" s="708"/>
      <c r="T180" s="708"/>
    </row>
    <row r="181" spans="18:20" x14ac:dyDescent="0.2">
      <c r="R181" s="708"/>
      <c r="S181" s="708"/>
      <c r="T181" s="708"/>
    </row>
    <row r="182" spans="18:20" x14ac:dyDescent="0.2">
      <c r="R182" s="708"/>
      <c r="S182" s="708"/>
      <c r="T182" s="708"/>
    </row>
    <row r="183" spans="18:20" x14ac:dyDescent="0.2">
      <c r="R183" s="708"/>
      <c r="S183" s="708"/>
      <c r="T183" s="708"/>
    </row>
    <row r="184" spans="18:20" x14ac:dyDescent="0.2">
      <c r="R184" s="708"/>
      <c r="S184" s="708"/>
      <c r="T184" s="708"/>
    </row>
    <row r="185" spans="18:20" x14ac:dyDescent="0.2">
      <c r="R185" s="708"/>
      <c r="S185" s="708"/>
      <c r="T185" s="708"/>
    </row>
    <row r="186" spans="18:20" x14ac:dyDescent="0.2">
      <c r="R186" s="708"/>
      <c r="S186" s="708"/>
      <c r="T186" s="708"/>
    </row>
    <row r="187" spans="18:20" x14ac:dyDescent="0.2">
      <c r="R187" s="708"/>
      <c r="S187" s="708"/>
      <c r="T187" s="708"/>
    </row>
    <row r="188" spans="18:20" x14ac:dyDescent="0.2">
      <c r="R188" s="708"/>
      <c r="S188" s="708"/>
      <c r="T188" s="708"/>
    </row>
    <row r="189" spans="18:20" x14ac:dyDescent="0.2">
      <c r="R189" s="708"/>
      <c r="S189" s="708"/>
      <c r="T189" s="708"/>
    </row>
    <row r="190" spans="18:20" x14ac:dyDescent="0.2">
      <c r="R190" s="708"/>
      <c r="S190" s="708"/>
      <c r="T190" s="708"/>
    </row>
    <row r="191" spans="18:20" x14ac:dyDescent="0.2">
      <c r="R191" s="708"/>
      <c r="S191" s="708"/>
      <c r="T191" s="708"/>
    </row>
    <row r="192" spans="18:20" x14ac:dyDescent="0.2">
      <c r="R192" s="708"/>
      <c r="S192" s="708"/>
      <c r="T192" s="708"/>
    </row>
    <row r="193" spans="18:20" x14ac:dyDescent="0.2">
      <c r="R193" s="708"/>
      <c r="S193" s="708"/>
      <c r="T193" s="708"/>
    </row>
    <row r="194" spans="18:20" x14ac:dyDescent="0.2">
      <c r="R194" s="708"/>
      <c r="S194" s="708"/>
      <c r="T194" s="708"/>
    </row>
    <row r="195" spans="18:20" x14ac:dyDescent="0.2">
      <c r="R195" s="708"/>
      <c r="S195" s="708"/>
      <c r="T195" s="708"/>
    </row>
    <row r="196" spans="18:20" x14ac:dyDescent="0.2">
      <c r="R196" s="708"/>
      <c r="S196" s="708"/>
      <c r="T196" s="708"/>
    </row>
    <row r="197" spans="18:20" x14ac:dyDescent="0.2">
      <c r="R197" s="708"/>
      <c r="S197" s="708"/>
      <c r="T197" s="708"/>
    </row>
    <row r="198" spans="18:20" x14ac:dyDescent="0.2">
      <c r="R198" s="708"/>
      <c r="S198" s="708"/>
      <c r="T198" s="708"/>
    </row>
    <row r="199" spans="18:20" x14ac:dyDescent="0.2">
      <c r="R199" s="708"/>
      <c r="S199" s="708"/>
      <c r="T199" s="708"/>
    </row>
    <row r="200" spans="18:20" x14ac:dyDescent="0.2">
      <c r="R200" s="708"/>
      <c r="S200" s="708"/>
      <c r="T200" s="708"/>
    </row>
    <row r="201" spans="18:20" x14ac:dyDescent="0.2">
      <c r="R201" s="708"/>
      <c r="S201" s="708"/>
      <c r="T201" s="708"/>
    </row>
    <row r="202" spans="18:20" x14ac:dyDescent="0.2">
      <c r="R202" s="708"/>
      <c r="S202" s="708"/>
      <c r="T202" s="708"/>
    </row>
    <row r="203" spans="18:20" x14ac:dyDescent="0.2">
      <c r="R203" s="708"/>
      <c r="S203" s="708"/>
      <c r="T203" s="708"/>
    </row>
    <row r="204" spans="18:20" x14ac:dyDescent="0.2">
      <c r="R204" s="708"/>
      <c r="S204" s="708"/>
      <c r="T204" s="708"/>
    </row>
    <row r="205" spans="18:20" x14ac:dyDescent="0.2">
      <c r="R205" s="708"/>
      <c r="S205" s="708"/>
      <c r="T205" s="708"/>
    </row>
    <row r="206" spans="18:20" x14ac:dyDescent="0.2">
      <c r="R206" s="708"/>
      <c r="S206" s="708"/>
      <c r="T206" s="708"/>
    </row>
    <row r="207" spans="18:20" x14ac:dyDescent="0.2">
      <c r="R207" s="708"/>
      <c r="S207" s="708"/>
      <c r="T207" s="708"/>
    </row>
    <row r="208" spans="18:20" x14ac:dyDescent="0.2">
      <c r="R208" s="708"/>
      <c r="S208" s="708"/>
      <c r="T208" s="708"/>
    </row>
    <row r="209" spans="18:20" x14ac:dyDescent="0.2">
      <c r="R209" s="708"/>
      <c r="S209" s="708"/>
      <c r="T209" s="708"/>
    </row>
    <row r="210" spans="18:20" x14ac:dyDescent="0.2">
      <c r="R210" s="708"/>
      <c r="S210" s="708"/>
      <c r="T210" s="708"/>
    </row>
    <row r="211" spans="18:20" x14ac:dyDescent="0.2">
      <c r="R211" s="708"/>
      <c r="S211" s="708"/>
      <c r="T211" s="708"/>
    </row>
    <row r="212" spans="18:20" x14ac:dyDescent="0.2">
      <c r="R212" s="708"/>
      <c r="S212" s="708"/>
      <c r="T212" s="708"/>
    </row>
    <row r="213" spans="18:20" x14ac:dyDescent="0.2">
      <c r="R213" s="708"/>
      <c r="S213" s="708"/>
      <c r="T213" s="708"/>
    </row>
    <row r="214" spans="18:20" x14ac:dyDescent="0.2">
      <c r="R214" s="708"/>
      <c r="S214" s="708"/>
      <c r="T214" s="708"/>
    </row>
    <row r="215" spans="18:20" x14ac:dyDescent="0.2">
      <c r="R215" s="708"/>
      <c r="S215" s="708"/>
      <c r="T215" s="708"/>
    </row>
    <row r="216" spans="18:20" x14ac:dyDescent="0.2">
      <c r="R216" s="708"/>
      <c r="S216" s="708"/>
      <c r="T216" s="708"/>
    </row>
    <row r="217" spans="18:20" x14ac:dyDescent="0.2">
      <c r="R217" s="708"/>
      <c r="S217" s="708"/>
      <c r="T217" s="708"/>
    </row>
    <row r="218" spans="18:20" x14ac:dyDescent="0.2">
      <c r="R218" s="708"/>
      <c r="S218" s="708"/>
      <c r="T218" s="708"/>
    </row>
    <row r="219" spans="18:20" x14ac:dyDescent="0.2">
      <c r="R219" s="708"/>
      <c r="S219" s="708"/>
      <c r="T219" s="708"/>
    </row>
    <row r="220" spans="18:20" x14ac:dyDescent="0.2">
      <c r="R220" s="708"/>
      <c r="S220" s="708"/>
      <c r="T220" s="708"/>
    </row>
    <row r="221" spans="18:20" x14ac:dyDescent="0.2">
      <c r="R221" s="708"/>
      <c r="S221" s="708"/>
      <c r="T221" s="708"/>
    </row>
    <row r="222" spans="18:20" x14ac:dyDescent="0.2">
      <c r="R222" s="708"/>
      <c r="S222" s="708"/>
      <c r="T222" s="708"/>
    </row>
    <row r="223" spans="18:20" x14ac:dyDescent="0.2">
      <c r="R223" s="708"/>
      <c r="S223" s="708"/>
      <c r="T223" s="708"/>
    </row>
    <row r="224" spans="18:20" x14ac:dyDescent="0.2">
      <c r="R224" s="708"/>
      <c r="S224" s="708"/>
      <c r="T224" s="708"/>
    </row>
    <row r="225" spans="18:20" x14ac:dyDescent="0.2">
      <c r="R225" s="708"/>
      <c r="S225" s="708"/>
      <c r="T225" s="708"/>
    </row>
    <row r="226" spans="18:20" x14ac:dyDescent="0.2">
      <c r="R226" s="708"/>
      <c r="S226" s="708"/>
      <c r="T226" s="708"/>
    </row>
    <row r="227" spans="18:20" x14ac:dyDescent="0.2">
      <c r="R227" s="708"/>
      <c r="S227" s="708"/>
      <c r="T227" s="708"/>
    </row>
    <row r="228" spans="18:20" x14ac:dyDescent="0.2">
      <c r="R228" s="708"/>
      <c r="S228" s="708"/>
      <c r="T228" s="708"/>
    </row>
    <row r="229" spans="18:20" x14ac:dyDescent="0.2">
      <c r="R229" s="708"/>
      <c r="S229" s="708"/>
      <c r="T229" s="708"/>
    </row>
    <row r="230" spans="18:20" x14ac:dyDescent="0.2">
      <c r="R230" s="708"/>
      <c r="S230" s="708"/>
      <c r="T230" s="708"/>
    </row>
    <row r="231" spans="18:20" x14ac:dyDescent="0.2">
      <c r="R231" s="708"/>
      <c r="S231" s="708"/>
      <c r="T231" s="708"/>
    </row>
    <row r="232" spans="18:20" x14ac:dyDescent="0.2">
      <c r="R232" s="708"/>
      <c r="S232" s="708"/>
      <c r="T232" s="708"/>
    </row>
    <row r="233" spans="18:20" x14ac:dyDescent="0.2">
      <c r="R233" s="708"/>
      <c r="S233" s="708"/>
      <c r="T233" s="708"/>
    </row>
    <row r="234" spans="18:20" x14ac:dyDescent="0.2">
      <c r="R234" s="708"/>
      <c r="S234" s="708"/>
      <c r="T234" s="708"/>
    </row>
    <row r="235" spans="18:20" x14ac:dyDescent="0.2">
      <c r="R235" s="708"/>
      <c r="S235" s="708"/>
      <c r="T235" s="708"/>
    </row>
    <row r="236" spans="18:20" x14ac:dyDescent="0.2">
      <c r="R236" s="708"/>
      <c r="S236" s="708"/>
      <c r="T236" s="708"/>
    </row>
    <row r="237" spans="18:20" x14ac:dyDescent="0.2">
      <c r="R237" s="708"/>
      <c r="S237" s="708"/>
      <c r="T237" s="708"/>
    </row>
    <row r="238" spans="18:20" x14ac:dyDescent="0.2">
      <c r="R238" s="708"/>
      <c r="S238" s="708"/>
      <c r="T238" s="708"/>
    </row>
    <row r="239" spans="18:20" x14ac:dyDescent="0.2">
      <c r="R239" s="708"/>
      <c r="S239" s="708"/>
      <c r="T239" s="708"/>
    </row>
    <row r="240" spans="18:20" x14ac:dyDescent="0.2">
      <c r="R240" s="708"/>
      <c r="S240" s="708"/>
      <c r="T240" s="708"/>
    </row>
    <row r="241" spans="18:20" x14ac:dyDescent="0.2">
      <c r="R241" s="708"/>
      <c r="S241" s="708"/>
      <c r="T241" s="708"/>
    </row>
    <row r="242" spans="18:20" x14ac:dyDescent="0.2">
      <c r="R242" s="708"/>
      <c r="S242" s="708"/>
      <c r="T242" s="708"/>
    </row>
    <row r="243" spans="18:20" x14ac:dyDescent="0.2">
      <c r="R243" s="708"/>
      <c r="S243" s="708"/>
      <c r="T243" s="708"/>
    </row>
    <row r="244" spans="18:20" x14ac:dyDescent="0.2">
      <c r="R244" s="708"/>
      <c r="S244" s="708"/>
      <c r="T244" s="708"/>
    </row>
    <row r="245" spans="18:20" x14ac:dyDescent="0.2">
      <c r="R245" s="708"/>
      <c r="S245" s="708"/>
      <c r="T245" s="708"/>
    </row>
    <row r="246" spans="18:20" x14ac:dyDescent="0.2">
      <c r="R246" s="708"/>
      <c r="S246" s="708"/>
      <c r="T246" s="708"/>
    </row>
    <row r="247" spans="18:20" x14ac:dyDescent="0.2">
      <c r="R247" s="708"/>
      <c r="S247" s="708"/>
      <c r="T247" s="708"/>
    </row>
    <row r="248" spans="18:20" x14ac:dyDescent="0.2">
      <c r="R248" s="708"/>
      <c r="S248" s="708"/>
      <c r="T248" s="708"/>
    </row>
    <row r="249" spans="18:20" x14ac:dyDescent="0.2">
      <c r="R249" s="708"/>
      <c r="S249" s="708"/>
      <c r="T249" s="708"/>
    </row>
    <row r="250" spans="18:20" x14ac:dyDescent="0.2">
      <c r="R250" s="708"/>
      <c r="S250" s="708"/>
      <c r="T250" s="708"/>
    </row>
    <row r="251" spans="18:20" x14ac:dyDescent="0.2">
      <c r="R251" s="708"/>
      <c r="S251" s="708"/>
      <c r="T251" s="708"/>
    </row>
    <row r="252" spans="18:20" x14ac:dyDescent="0.2">
      <c r="R252" s="708"/>
      <c r="S252" s="708"/>
      <c r="T252" s="708"/>
    </row>
    <row r="253" spans="18:20" x14ac:dyDescent="0.2">
      <c r="R253" s="708"/>
      <c r="S253" s="708"/>
      <c r="T253" s="708"/>
    </row>
    <row r="254" spans="18:20" x14ac:dyDescent="0.2">
      <c r="R254" s="708"/>
      <c r="S254" s="708"/>
      <c r="T254" s="708"/>
    </row>
    <row r="255" spans="18:20" x14ac:dyDescent="0.2">
      <c r="R255" s="708"/>
      <c r="S255" s="708"/>
      <c r="T255" s="708"/>
    </row>
    <row r="256" spans="18:20" x14ac:dyDescent="0.2">
      <c r="R256" s="708"/>
      <c r="S256" s="708"/>
      <c r="T256" s="708"/>
    </row>
    <row r="257" spans="18:20" x14ac:dyDescent="0.2">
      <c r="R257" s="708"/>
      <c r="S257" s="708"/>
      <c r="T257" s="708"/>
    </row>
    <row r="258" spans="18:20" x14ac:dyDescent="0.2">
      <c r="R258" s="708"/>
      <c r="S258" s="708"/>
      <c r="T258" s="708"/>
    </row>
    <row r="259" spans="18:20" x14ac:dyDescent="0.2">
      <c r="R259" s="708"/>
      <c r="S259" s="708"/>
      <c r="T259" s="708"/>
    </row>
    <row r="260" spans="18:20" x14ac:dyDescent="0.2">
      <c r="R260" s="708"/>
      <c r="S260" s="708"/>
      <c r="T260" s="708"/>
    </row>
    <row r="261" spans="18:20" x14ac:dyDescent="0.2">
      <c r="R261" s="708"/>
      <c r="S261" s="708"/>
      <c r="T261" s="708"/>
    </row>
    <row r="262" spans="18:20" x14ac:dyDescent="0.2">
      <c r="R262" s="708"/>
      <c r="S262" s="708"/>
      <c r="T262" s="708"/>
    </row>
    <row r="263" spans="18:20" x14ac:dyDescent="0.2">
      <c r="R263" s="708"/>
      <c r="S263" s="708"/>
      <c r="T263" s="708"/>
    </row>
    <row r="264" spans="18:20" x14ac:dyDescent="0.2">
      <c r="R264" s="708"/>
      <c r="S264" s="708"/>
      <c r="T264" s="708"/>
    </row>
    <row r="265" spans="18:20" x14ac:dyDescent="0.2">
      <c r="R265" s="708"/>
      <c r="S265" s="708"/>
      <c r="T265" s="708"/>
    </row>
    <row r="266" spans="18:20" x14ac:dyDescent="0.2">
      <c r="R266" s="708"/>
      <c r="S266" s="708"/>
      <c r="T266" s="708"/>
    </row>
    <row r="267" spans="18:20" x14ac:dyDescent="0.2">
      <c r="R267" s="708"/>
      <c r="S267" s="708"/>
      <c r="T267" s="708"/>
    </row>
    <row r="268" spans="18:20" x14ac:dyDescent="0.2">
      <c r="R268" s="708"/>
      <c r="S268" s="708"/>
      <c r="T268" s="708"/>
    </row>
    <row r="269" spans="18:20" x14ac:dyDescent="0.2">
      <c r="R269" s="708"/>
      <c r="S269" s="708"/>
      <c r="T269" s="708"/>
    </row>
    <row r="270" spans="18:20" x14ac:dyDescent="0.2">
      <c r="R270" s="708"/>
      <c r="S270" s="708"/>
      <c r="T270" s="708"/>
    </row>
    <row r="271" spans="18:20" x14ac:dyDescent="0.2">
      <c r="R271" s="708"/>
      <c r="S271" s="708"/>
      <c r="T271" s="708"/>
    </row>
    <row r="272" spans="18:20" x14ac:dyDescent="0.2">
      <c r="R272" s="708"/>
      <c r="S272" s="708"/>
      <c r="T272" s="708"/>
    </row>
    <row r="273" spans="18:20" x14ac:dyDescent="0.2">
      <c r="R273" s="708"/>
      <c r="S273" s="708"/>
      <c r="T273" s="708"/>
    </row>
    <row r="274" spans="18:20" x14ac:dyDescent="0.2">
      <c r="R274" s="708"/>
      <c r="S274" s="708"/>
      <c r="T274" s="708"/>
    </row>
    <row r="275" spans="18:20" x14ac:dyDescent="0.2">
      <c r="R275" s="708"/>
      <c r="S275" s="708"/>
      <c r="T275" s="708"/>
    </row>
    <row r="276" spans="18:20" x14ac:dyDescent="0.2">
      <c r="R276" s="708"/>
      <c r="S276" s="708"/>
      <c r="T276" s="708"/>
    </row>
    <row r="277" spans="18:20" x14ac:dyDescent="0.2">
      <c r="R277" s="708"/>
      <c r="S277" s="708"/>
      <c r="T277" s="708"/>
    </row>
    <row r="278" spans="18:20" x14ac:dyDescent="0.2">
      <c r="R278" s="708"/>
      <c r="S278" s="708"/>
      <c r="T278" s="708"/>
    </row>
    <row r="279" spans="18:20" x14ac:dyDescent="0.2">
      <c r="R279" s="708"/>
      <c r="S279" s="708"/>
      <c r="T279" s="708"/>
    </row>
    <row r="280" spans="18:20" x14ac:dyDescent="0.2">
      <c r="R280" s="708"/>
      <c r="S280" s="708"/>
      <c r="T280" s="708"/>
    </row>
    <row r="281" spans="18:20" x14ac:dyDescent="0.2">
      <c r="R281" s="708"/>
      <c r="S281" s="708"/>
      <c r="T281" s="708"/>
    </row>
    <row r="282" spans="18:20" x14ac:dyDescent="0.2">
      <c r="R282" s="708"/>
      <c r="S282" s="708"/>
      <c r="T282" s="708"/>
    </row>
    <row r="283" spans="18:20" x14ac:dyDescent="0.2">
      <c r="R283" s="708"/>
      <c r="S283" s="708"/>
      <c r="T283" s="708"/>
    </row>
    <row r="284" spans="18:20" x14ac:dyDescent="0.2">
      <c r="R284" s="708"/>
      <c r="S284" s="708"/>
      <c r="T284" s="708"/>
    </row>
    <row r="285" spans="18:20" x14ac:dyDescent="0.2">
      <c r="R285" s="708"/>
      <c r="S285" s="708"/>
      <c r="T285" s="708"/>
    </row>
    <row r="286" spans="18:20" x14ac:dyDescent="0.2">
      <c r="R286" s="708"/>
      <c r="S286" s="708"/>
      <c r="T286" s="708"/>
    </row>
    <row r="287" spans="18:20" x14ac:dyDescent="0.2">
      <c r="R287" s="708"/>
      <c r="S287" s="708"/>
      <c r="T287" s="708"/>
    </row>
    <row r="288" spans="18:20" x14ac:dyDescent="0.2">
      <c r="R288" s="708"/>
      <c r="S288" s="708"/>
      <c r="T288" s="708"/>
    </row>
    <row r="289" spans="18:20" x14ac:dyDescent="0.2">
      <c r="R289" s="708"/>
      <c r="S289" s="708"/>
      <c r="T289" s="708"/>
    </row>
    <row r="290" spans="18:20" x14ac:dyDescent="0.2">
      <c r="R290" s="708"/>
      <c r="S290" s="708"/>
      <c r="T290" s="708"/>
    </row>
    <row r="291" spans="18:20" x14ac:dyDescent="0.2">
      <c r="R291" s="708"/>
      <c r="S291" s="708"/>
      <c r="T291" s="708"/>
    </row>
    <row r="292" spans="18:20" x14ac:dyDescent="0.2">
      <c r="R292" s="708"/>
      <c r="S292" s="708"/>
      <c r="T292" s="708"/>
    </row>
  </sheetData>
  <sheetProtection algorithmName="SHA-512" hashValue="AktATfj3cxfim5FasqdkswJcLdVp2nE3RiAFWC+JidMu3vI+J9HrLIDhOTc46qXBf77TMKf+TZlFj11JSV6e+w==" saltValue="z4nYf7CJQjSfjvZjHdnVxw==" spinCount="100000" sheet="1" objects="1" scenarios="1"/>
  <mergeCells count="7">
    <mergeCell ref="C49:T49"/>
    <mergeCell ref="B3:B5"/>
    <mergeCell ref="C3:C5"/>
    <mergeCell ref="D3:E5"/>
    <mergeCell ref="F3:F4"/>
    <mergeCell ref="G3:G4"/>
    <mergeCell ref="B34:T34"/>
  </mergeCells>
  <phoneticPr fontId="0" type="noConversion"/>
  <printOptions horizontalCentered="1"/>
  <pageMargins left="0.15748031496063" right="0.15748031496063" top="0.511811023622047" bottom="0.78740157480314998" header="0.511811023622047" footer="0.511811023622047"/>
  <pageSetup scale="67" orientation="landscape" r:id="rId1"/>
  <headerFooter alignWithMargins="0">
    <oddFooter>&amp;LHawai'i DOH
PFASs November 2024&amp;C&amp;8Page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5"/>
    <pageSetUpPr autoPageBreaks="0" fitToPage="1"/>
  </sheetPr>
  <dimension ref="B1:V37"/>
  <sheetViews>
    <sheetView showGridLines="0" showRowColHeaders="0" workbookViewId="0">
      <selection activeCell="B3" sqref="B3:P3"/>
    </sheetView>
  </sheetViews>
  <sheetFormatPr defaultColWidth="9.140625" defaultRowHeight="15.75" x14ac:dyDescent="0.25"/>
  <cols>
    <col min="1" max="1" width="1.28515625" style="7" customWidth="1"/>
    <col min="2" max="2" width="1.140625" style="7" customWidth="1"/>
    <col min="3" max="3" width="1.5703125" style="7" customWidth="1"/>
    <col min="4" max="4" width="15.85546875" style="7" customWidth="1"/>
    <col min="5" max="5" width="1.42578125" style="7" customWidth="1"/>
    <col min="6" max="6" width="14.42578125" style="52" customWidth="1"/>
    <col min="7" max="7" width="2.42578125" style="52" customWidth="1"/>
    <col min="8" max="8" width="2.5703125" style="7" customWidth="1"/>
    <col min="9" max="9" width="0.7109375" style="7" customWidth="1"/>
    <col min="10" max="10" width="15.5703125" style="52" customWidth="1"/>
    <col min="11" max="11" width="9.85546875" style="7" customWidth="1"/>
    <col min="12" max="12" width="13.7109375" style="7" customWidth="1"/>
    <col min="13" max="13" width="0.7109375" style="7" customWidth="1"/>
    <col min="14" max="14" width="2.85546875" style="7" customWidth="1"/>
    <col min="15" max="15" width="19.7109375" style="7" customWidth="1"/>
    <col min="16" max="16" width="0.85546875" style="7" customWidth="1"/>
    <col min="17" max="17" width="8.85546875" style="7" customWidth="1"/>
    <col min="18" max="20" width="9"/>
    <col min="21" max="21" width="25.140625" style="11" customWidth="1"/>
    <col min="22" max="22" width="20.7109375" style="11" customWidth="1"/>
    <col min="23" max="16384" width="9.140625" style="7"/>
  </cols>
  <sheetData>
    <row r="1" spans="2:21" ht="47.25" customHeight="1" x14ac:dyDescent="0.25">
      <c r="D1" s="1404" t="s">
        <v>252</v>
      </c>
      <c r="E1" s="1404"/>
      <c r="F1" s="1327"/>
      <c r="G1" s="1327"/>
      <c r="H1" s="1327"/>
      <c r="I1" s="1327"/>
      <c r="J1" s="1327"/>
      <c r="K1" s="1327"/>
      <c r="L1" s="1327"/>
      <c r="M1" s="1327"/>
      <c r="N1" s="1327"/>
      <c r="O1" s="1327"/>
      <c r="R1" s="447"/>
      <c r="S1" s="447"/>
      <c r="T1" s="447"/>
      <c r="U1" s="313"/>
    </row>
    <row r="2" spans="2:21" ht="41.25" customHeight="1" x14ac:dyDescent="0.25">
      <c r="D2" s="1323" t="s">
        <v>253</v>
      </c>
      <c r="E2" s="1323"/>
      <c r="F2" s="1403"/>
      <c r="G2" s="1403"/>
      <c r="H2" s="1403"/>
      <c r="I2" s="1403"/>
      <c r="J2" s="1403"/>
      <c r="K2" s="1403"/>
      <c r="L2" s="1403"/>
      <c r="M2" s="1403"/>
      <c r="N2" s="1403"/>
      <c r="O2" s="1403"/>
      <c r="R2" s="447"/>
      <c r="S2" s="447"/>
      <c r="T2" s="447"/>
      <c r="U2" s="313"/>
    </row>
    <row r="3" spans="2:21" ht="18.75" x14ac:dyDescent="0.3">
      <c r="B3" s="1425" t="str">
        <f>'2. EAL Surfer - Summary EALs'!H3</f>
        <v>Perfluoro ethanoate (PFEtA-) (Trifluoroacetate)</v>
      </c>
      <c r="C3" s="1426"/>
      <c r="D3" s="1426"/>
      <c r="E3" s="1426"/>
      <c r="F3" s="1426"/>
      <c r="G3" s="1426"/>
      <c r="H3" s="1426"/>
      <c r="I3" s="1426"/>
      <c r="J3" s="1426"/>
      <c r="K3" s="1426"/>
      <c r="L3" s="1426"/>
      <c r="M3" s="1426"/>
      <c r="N3" s="1426"/>
      <c r="O3" s="1426"/>
      <c r="P3" s="1426"/>
      <c r="R3" s="447"/>
      <c r="S3" s="447"/>
      <c r="T3" s="447"/>
      <c r="U3" s="313"/>
    </row>
    <row r="4" spans="2:21" ht="6" customHeight="1" thickBot="1" x14ac:dyDescent="0.3">
      <c r="R4" s="447"/>
      <c r="S4" s="447"/>
      <c r="T4" s="447"/>
      <c r="U4" s="313"/>
    </row>
    <row r="5" spans="2:21" ht="5.25" customHeight="1" thickTop="1" thickBot="1" x14ac:dyDescent="0.3">
      <c r="B5" s="83"/>
      <c r="C5" s="84"/>
      <c r="D5" s="85"/>
      <c r="E5" s="85"/>
      <c r="F5" s="86"/>
      <c r="G5" s="86"/>
      <c r="H5" s="84"/>
      <c r="I5" s="84"/>
      <c r="J5" s="87"/>
      <c r="K5" s="87"/>
      <c r="L5" s="87"/>
      <c r="M5" s="87"/>
      <c r="N5" s="84"/>
      <c r="O5" s="84"/>
      <c r="P5" s="88"/>
      <c r="R5" s="447"/>
      <c r="S5" s="447"/>
      <c r="T5" s="447"/>
      <c r="U5" s="313"/>
    </row>
    <row r="6" spans="2:21" ht="43.5" customHeight="1" thickTop="1" x14ac:dyDescent="0.3">
      <c r="B6" s="25"/>
      <c r="C6" s="1417" t="str">
        <f>IF(AND('2. EAL Surfer - Summary EALs'!D22=0,'2. EAL Surfer - Summary EALs'!D24=0),"",IF(OR(K14&lt;'2. EAL Surfer - Summary EALs'!D22,K21&lt;'2. EAL Surfer - Summary EALs'!D24),"EALs Exceeded ('X').
Further evaluation of identified hazards recommended.","No EALs exceeded."))</f>
        <v/>
      </c>
      <c r="D6" s="1418"/>
      <c r="E6" s="1418"/>
      <c r="F6" s="1418"/>
      <c r="G6" s="1418"/>
      <c r="H6" s="111" t="str">
        <f>IF('2. EAL Surfer - Summary EALs'!D22&gt;J7,"X","")</f>
        <v/>
      </c>
      <c r="I6" s="89"/>
      <c r="J6" s="108" t="s">
        <v>254</v>
      </c>
      <c r="K6" s="90"/>
      <c r="L6" s="100" t="s">
        <v>255</v>
      </c>
      <c r="M6" s="91"/>
      <c r="N6" s="92" t="str">
        <f>IF('2. EAL Surfer - Summary EALs'!D22&gt;O7,"X","")</f>
        <v/>
      </c>
      <c r="O6" s="108" t="s">
        <v>256</v>
      </c>
      <c r="P6" s="93"/>
      <c r="R6" s="447"/>
      <c r="S6" s="447"/>
      <c r="T6" s="447"/>
      <c r="U6" s="313"/>
    </row>
    <row r="7" spans="2:21" ht="13.5" customHeight="1" thickBot="1" x14ac:dyDescent="0.3">
      <c r="B7" s="25"/>
      <c r="C7" s="1418"/>
      <c r="D7" s="1418"/>
      <c r="E7" s="1418"/>
      <c r="F7" s="1418"/>
      <c r="G7" s="1418"/>
      <c r="H7" s="110"/>
      <c r="I7" s="89"/>
      <c r="J7" s="109" t="str">
        <f>'Surfer Compiler HDOH'!C22</f>
        <v>-</v>
      </c>
      <c r="K7" s="89"/>
      <c r="L7" s="101">
        <f>'Surfer Compiler HDOH'!C95</f>
        <v>65.7</v>
      </c>
      <c r="M7" s="94"/>
      <c r="N7" s="89"/>
      <c r="O7" s="109" t="str">
        <f>'Surfer Compiler HDOH'!C50</f>
        <v>NA</v>
      </c>
      <c r="P7" s="93"/>
      <c r="R7" s="447"/>
      <c r="S7" s="447"/>
      <c r="T7" s="447"/>
      <c r="U7" s="313"/>
    </row>
    <row r="8" spans="2:21" ht="8.25" customHeight="1" thickTop="1" thickBot="1" x14ac:dyDescent="0.3">
      <c r="B8" s="25"/>
      <c r="D8" s="82"/>
      <c r="E8" s="82"/>
      <c r="F8" s="89"/>
      <c r="G8" s="89"/>
      <c r="H8" s="89"/>
      <c r="I8" s="89"/>
      <c r="J8" s="95"/>
      <c r="K8" s="89"/>
      <c r="L8" s="89"/>
      <c r="M8" s="89"/>
      <c r="N8" s="89"/>
      <c r="O8" s="95"/>
      <c r="P8" s="93"/>
      <c r="R8" s="447"/>
      <c r="S8" s="447"/>
      <c r="T8" s="447"/>
      <c r="U8" s="313"/>
    </row>
    <row r="9" spans="2:21" ht="28.5" customHeight="1" thickTop="1" x14ac:dyDescent="0.25">
      <c r="B9" s="25"/>
      <c r="D9" s="97"/>
      <c r="E9" s="96" t="str">
        <f>IF('2. EAL Surfer - Summary EALs'!D22&gt;F10,"X","")</f>
        <v/>
      </c>
      <c r="F9" s="108" t="s">
        <v>257</v>
      </c>
      <c r="G9" s="97"/>
      <c r="H9" s="89"/>
      <c r="I9" s="89"/>
      <c r="J9" s="89"/>
      <c r="K9" s="89"/>
      <c r="L9" s="1405" t="s">
        <v>258</v>
      </c>
      <c r="M9" s="98"/>
      <c r="N9" s="92" t="str">
        <f>IF('2. EAL Surfer - Summary EALs'!D22&gt;O10,"X","")</f>
        <v/>
      </c>
      <c r="O9" s="108" t="s">
        <v>259</v>
      </c>
      <c r="P9" s="93"/>
      <c r="R9" s="447"/>
      <c r="S9" s="447"/>
      <c r="T9" s="447"/>
      <c r="U9" s="313"/>
    </row>
    <row r="10" spans="2:21" ht="13.5" customHeight="1" thickBot="1" x14ac:dyDescent="0.3">
      <c r="B10" s="25"/>
      <c r="D10" s="183"/>
      <c r="E10" s="82"/>
      <c r="F10" s="109">
        <f>'Surfer Compiler HDOH'!C23</f>
        <v>1000</v>
      </c>
      <c r="G10" s="94"/>
      <c r="H10" s="89"/>
      <c r="I10" s="89"/>
      <c r="J10" s="89"/>
      <c r="K10" s="89"/>
      <c r="L10" s="1406"/>
      <c r="M10" s="99"/>
      <c r="N10" s="89"/>
      <c r="O10" s="109">
        <f>'Surfer Compiler HDOH'!C46</f>
        <v>29.086715505210876</v>
      </c>
      <c r="P10" s="93"/>
      <c r="R10" s="447"/>
      <c r="S10" s="447"/>
      <c r="T10" s="447"/>
      <c r="U10" s="313"/>
    </row>
    <row r="11" spans="2:21" ht="4.5" customHeight="1" thickTop="1" thickBot="1" x14ac:dyDescent="0.3">
      <c r="B11" s="25"/>
      <c r="D11" s="95"/>
      <c r="E11" s="95"/>
      <c r="F11" s="89"/>
      <c r="G11" s="89"/>
      <c r="H11" s="89"/>
      <c r="I11" s="89"/>
      <c r="J11" s="89"/>
      <c r="K11" s="89"/>
      <c r="L11" s="89"/>
      <c r="M11" s="89"/>
      <c r="N11" s="89"/>
      <c r="O11" s="95"/>
      <c r="P11" s="93"/>
      <c r="R11" s="447"/>
      <c r="S11" s="447"/>
      <c r="T11" s="447"/>
      <c r="U11" s="313"/>
    </row>
    <row r="12" spans="2:21" ht="11.25" customHeight="1" thickTop="1" x14ac:dyDescent="0.25">
      <c r="B12" s="1422" t="str">
        <f>IF('2. EAL Surfer - Summary EALs'!D22="-","",IF('2. EAL Surfer - Summary EALs'!D22&gt;'Surfer Compiler HDOH'!C70,"X",""))</f>
        <v/>
      </c>
      <c r="C12" s="1423"/>
      <c r="D12" s="1420" t="str">
        <f>IF(VLOOKUP('2. EAL Surfer - Summary EALs'!C16,'2. EAL Surfer - Summary EALs'!P34:AA54,10,FALSE)=2,"Soil Background:","")</f>
        <v/>
      </c>
      <c r="E12" s="1421"/>
      <c r="F12" s="1419" t="str">
        <f>IF(VLOOKUP('2. EAL Surfer - Summary EALs'!C16,'2. EAL Surfer - Summary EALs'!P34:AA54,10,FALSE)=2,IF('Surfer Compiler HDOH'!C24="-","?",'Surfer Compiler HDOH'!C24),"")</f>
        <v/>
      </c>
      <c r="G12" s="105"/>
      <c r="H12" s="1407" t="s">
        <v>260</v>
      </c>
      <c r="I12" s="1408"/>
      <c r="J12" s="1408"/>
      <c r="K12" s="1409"/>
      <c r="L12" s="104"/>
      <c r="M12" s="128"/>
      <c r="N12" s="1413" t="s">
        <v>261</v>
      </c>
      <c r="O12" s="1414"/>
      <c r="P12" s="106"/>
      <c r="R12" s="447"/>
      <c r="S12" s="447"/>
      <c r="T12" s="447"/>
      <c r="U12" s="313"/>
    </row>
    <row r="13" spans="2:21" ht="8.25" customHeight="1" x14ac:dyDescent="0.25">
      <c r="B13" s="1424"/>
      <c r="C13" s="1423"/>
      <c r="D13" s="1421"/>
      <c r="E13" s="1421"/>
      <c r="F13" s="1419"/>
      <c r="G13" s="105"/>
      <c r="H13" s="1410"/>
      <c r="I13" s="1411"/>
      <c r="J13" s="1411"/>
      <c r="K13" s="1412"/>
      <c r="L13" s="1459" t="str">
        <f>IF('2. EAL Surfer - Summary EALs'!D26&gt;N14,"X","")</f>
        <v/>
      </c>
      <c r="M13" s="104"/>
      <c r="N13" s="1415"/>
      <c r="O13" s="1416"/>
      <c r="P13" s="106"/>
      <c r="R13" s="447"/>
      <c r="S13" s="447"/>
      <c r="T13" s="447"/>
      <c r="U13" s="313"/>
    </row>
    <row r="14" spans="2:21" ht="15.75" customHeight="1" thickBot="1" x14ac:dyDescent="0.3">
      <c r="B14" s="102"/>
      <c r="C14" s="103"/>
      <c r="D14" s="1449" t="str">
        <f>IF(OR('2. EAL Surfer - Summary EALs'!D22&gt;0,'2. EAL Surfer - Summary EALs'!D24&gt;0),"Input Site Concentrations","")</f>
        <v/>
      </c>
      <c r="E14" s="1449"/>
      <c r="F14" s="1450"/>
      <c r="G14" s="105"/>
      <c r="H14" s="1429" t="s">
        <v>262</v>
      </c>
      <c r="I14" s="1430"/>
      <c r="J14" s="1430"/>
      <c r="K14" s="310">
        <f>'Surfer Compiler HDOH'!C71</f>
        <v>0.39205565102639289</v>
      </c>
      <c r="L14" s="1460"/>
      <c r="M14" s="33"/>
      <c r="N14" s="1447">
        <f>'Surfer Compiler HDOH'!C99</f>
        <v>131400</v>
      </c>
      <c r="O14" s="1448"/>
      <c r="P14" s="106"/>
      <c r="R14" s="447"/>
      <c r="S14" s="447"/>
      <c r="T14" s="447"/>
      <c r="U14" s="313"/>
    </row>
    <row r="15" spans="2:21" ht="6" customHeight="1" thickTop="1" thickBot="1" x14ac:dyDescent="0.3">
      <c r="B15" s="102"/>
      <c r="C15" s="103"/>
      <c r="D15" s="1450"/>
      <c r="E15" s="1450"/>
      <c r="F15" s="1450"/>
      <c r="G15" s="105"/>
      <c r="H15" s="104"/>
      <c r="I15" s="104"/>
      <c r="J15" s="105"/>
      <c r="K15" s="104"/>
      <c r="L15" s="1460"/>
      <c r="M15" s="104"/>
      <c r="N15" s="104"/>
      <c r="O15" s="104"/>
      <c r="P15" s="106"/>
      <c r="R15" s="447"/>
      <c r="S15" s="447"/>
      <c r="T15" s="447"/>
      <c r="U15" s="313"/>
    </row>
    <row r="16" spans="2:21" ht="14.25" customHeight="1" thickTop="1" x14ac:dyDescent="0.25">
      <c r="B16" s="102"/>
      <c r="C16" s="103"/>
      <c r="D16" s="128" t="str">
        <f>IF('2. EAL Surfer - Summary EALs'!D22&gt;0,"Soil (mg/kg):","")</f>
        <v/>
      </c>
      <c r="E16" s="129"/>
      <c r="F16" s="130" t="str">
        <f>IF('2. EAL Surfer - Summary EALs'!D22&gt;0,'2. EAL Surfer - Summary EALs'!D22,"")</f>
        <v/>
      </c>
      <c r="G16" s="1461" t="str">
        <f>IF('2. EAL Surfer - Summary EALs'!D22&gt;H17,"X","")</f>
        <v/>
      </c>
      <c r="H16" s="1451" t="s">
        <v>263</v>
      </c>
      <c r="I16" s="1452"/>
      <c r="J16" s="1453"/>
      <c r="K16" s="1454"/>
      <c r="L16" s="104"/>
      <c r="M16" s="104"/>
      <c r="N16" s="104"/>
      <c r="O16" s="104"/>
      <c r="P16" s="106"/>
      <c r="R16" s="447"/>
      <c r="S16" s="447"/>
      <c r="T16" s="447"/>
      <c r="U16" s="36"/>
    </row>
    <row r="17" spans="2:21" ht="13.5" customHeight="1" thickBot="1" x14ac:dyDescent="0.3">
      <c r="B17" s="102"/>
      <c r="C17" s="103"/>
      <c r="D17" s="128" t="str">
        <f>IF('2. EAL Surfer - Summary EALs'!D24&gt;0,"Groundwater (ug/L):","")</f>
        <v/>
      </c>
      <c r="E17" s="129"/>
      <c r="F17" s="130" t="str">
        <f>IF('2. EAL Surfer - Summary EALs'!D24&gt;0,'2. EAL Surfer - Summary EALs'!D24,"")</f>
        <v/>
      </c>
      <c r="G17" s="1462"/>
      <c r="H17" s="1431">
        <f>'Surfer Compiler HDOH'!C21</f>
        <v>0.39205565102639289</v>
      </c>
      <c r="I17" s="1432"/>
      <c r="J17" s="1433"/>
      <c r="K17" s="1434"/>
      <c r="L17" s="104"/>
      <c r="M17" s="104"/>
      <c r="N17" s="104"/>
      <c r="O17" s="104"/>
      <c r="P17" s="106"/>
      <c r="R17" s="447"/>
      <c r="S17" s="447"/>
      <c r="T17" s="447"/>
      <c r="U17" s="37"/>
    </row>
    <row r="18" spans="2:21" ht="12.75" customHeight="1" thickTop="1" thickBot="1" x14ac:dyDescent="0.3">
      <c r="B18" s="102"/>
      <c r="C18" s="103"/>
      <c r="D18" s="128" t="str">
        <f>IF('2. EAL Surfer - Summary EALs'!D26&gt;0,"Soil Gas (ug/m3):","")</f>
        <v/>
      </c>
      <c r="E18" s="129"/>
      <c r="F18" s="130" t="str">
        <f>IF('2. EAL Surfer - Summary EALs'!D26&gt;0,'2. EAL Surfer - Summary EALs'!D26,"")</f>
        <v/>
      </c>
      <c r="G18" s="105"/>
      <c r="H18" s="104"/>
      <c r="I18" s="104"/>
      <c r="J18" s="105"/>
      <c r="K18" s="104"/>
      <c r="L18" s="104"/>
      <c r="M18" s="104"/>
      <c r="N18" s="104"/>
      <c r="O18" s="104"/>
      <c r="P18" s="106"/>
      <c r="R18" s="447"/>
      <c r="S18" s="447"/>
      <c r="T18" s="447"/>
      <c r="U18" s="308"/>
    </row>
    <row r="19" spans="2:21" ht="5.25" customHeight="1" thickTop="1" thickBot="1" x14ac:dyDescent="0.3">
      <c r="B19" s="38"/>
      <c r="C19" s="39"/>
      <c r="D19" s="40"/>
      <c r="E19" s="40"/>
      <c r="F19" s="41"/>
      <c r="G19" s="41"/>
      <c r="H19" s="1407" t="s">
        <v>264</v>
      </c>
      <c r="I19" s="1435"/>
      <c r="J19" s="1435"/>
      <c r="K19" s="1436"/>
      <c r="L19" s="40"/>
      <c r="M19" s="40"/>
      <c r="N19" s="40"/>
      <c r="O19" s="40"/>
      <c r="P19" s="42"/>
      <c r="R19" s="447"/>
      <c r="S19" s="447"/>
      <c r="T19" s="447"/>
      <c r="U19" s="313"/>
    </row>
    <row r="20" spans="2:21" ht="45" customHeight="1" thickTop="1" x14ac:dyDescent="0.25">
      <c r="B20" s="1455" t="str">
        <f>IF('2. EAL Surfer - Summary EALs'!D24&gt;D21,"X","")</f>
        <v/>
      </c>
      <c r="C20" s="1456"/>
      <c r="D20" s="457" t="s">
        <v>265</v>
      </c>
      <c r="E20" s="180"/>
      <c r="F20" s="1457"/>
      <c r="G20" s="1457"/>
      <c r="H20" s="1437"/>
      <c r="I20" s="1438"/>
      <c r="J20" s="1438"/>
      <c r="K20" s="1439"/>
      <c r="L20" s="40"/>
      <c r="M20" s="40"/>
      <c r="N20" s="43" t="str">
        <f>IF('2. EAL Surfer - Summary EALs'!D24&gt;O21,"X","")</f>
        <v/>
      </c>
      <c r="O20" s="457" t="s">
        <v>256</v>
      </c>
      <c r="P20" s="42"/>
      <c r="R20" s="447"/>
      <c r="S20" s="447"/>
      <c r="T20" s="447"/>
      <c r="U20" s="313"/>
    </row>
    <row r="21" spans="2:21" ht="13.5" customHeight="1" thickBot="1" x14ac:dyDescent="0.3">
      <c r="B21" s="1455"/>
      <c r="C21" s="1456"/>
      <c r="D21" s="44">
        <f>'Surfer Compiler HDOH'!C83</f>
        <v>100</v>
      </c>
      <c r="E21" s="181"/>
      <c r="F21" s="1457"/>
      <c r="G21" s="1457"/>
      <c r="H21" s="1429" t="s">
        <v>266</v>
      </c>
      <c r="I21" s="1458"/>
      <c r="J21" s="1458"/>
      <c r="K21" s="310">
        <f>'Surfer Compiler HDOH'!C38</f>
        <v>18.475073313782989</v>
      </c>
      <c r="L21" s="40"/>
      <c r="M21" s="40"/>
      <c r="N21" s="40"/>
      <c r="O21" s="44" t="str">
        <f>'Surfer Compiler HDOH'!C35</f>
        <v>NA</v>
      </c>
      <c r="P21" s="42"/>
      <c r="R21" s="447"/>
      <c r="S21" s="447"/>
      <c r="T21" s="447"/>
      <c r="U21" s="313"/>
    </row>
    <row r="22" spans="2:21" ht="8.25" customHeight="1" thickTop="1" thickBot="1" x14ac:dyDescent="0.3">
      <c r="B22" s="38"/>
      <c r="C22" s="39"/>
      <c r="D22" s="40"/>
      <c r="E22" s="40"/>
      <c r="F22" s="41"/>
      <c r="G22" s="41"/>
      <c r="H22" s="40"/>
      <c r="I22" s="40"/>
      <c r="J22" s="41"/>
      <c r="K22" s="40"/>
      <c r="L22" s="40"/>
      <c r="M22" s="40"/>
      <c r="N22" s="40"/>
      <c r="O22" s="40"/>
      <c r="P22" s="42"/>
      <c r="R22" s="447"/>
      <c r="S22" s="447"/>
      <c r="T22" s="447"/>
      <c r="U22" s="313"/>
    </row>
    <row r="23" spans="2:21" ht="35.25" customHeight="1" thickTop="1" x14ac:dyDescent="0.25">
      <c r="B23" s="38"/>
      <c r="C23" s="39"/>
      <c r="D23" s="40"/>
      <c r="E23" s="40"/>
      <c r="F23" s="457" t="str">
        <f>IF('2. EAL Surfer - Summary EALs'!D5='2. EAL Surfer - Summary EALs'!AI13,"Taste &amp;   Odors","Gross Contamination")</f>
        <v>Gross Contamination</v>
      </c>
      <c r="G23" s="41"/>
      <c r="H23" s="40"/>
      <c r="I23" s="40"/>
      <c r="J23" s="41"/>
      <c r="K23" s="40"/>
      <c r="L23" s="1427" t="s">
        <v>258</v>
      </c>
      <c r="M23" s="40"/>
      <c r="N23" s="40"/>
      <c r="O23" s="457" t="s">
        <v>267</v>
      </c>
      <c r="P23" s="42"/>
      <c r="R23" s="447"/>
      <c r="S23" s="447"/>
      <c r="T23" s="447"/>
      <c r="U23" s="313"/>
    </row>
    <row r="24" spans="2:21" ht="16.5" customHeight="1" thickBot="1" x14ac:dyDescent="0.3">
      <c r="B24" s="38"/>
      <c r="C24" s="39"/>
      <c r="D24" s="43" t="str">
        <f>IF('2. EAL Surfer - Summary EALs'!D24&gt;F24,"X","")</f>
        <v/>
      </c>
      <c r="E24" s="43"/>
      <c r="F24" s="44">
        <f>'Surfer Compiler HDOH'!C87</f>
        <v>50000</v>
      </c>
      <c r="G24" s="45"/>
      <c r="H24" s="46"/>
      <c r="I24" s="46"/>
      <c r="J24" s="46"/>
      <c r="K24" s="46"/>
      <c r="L24" s="1428"/>
      <c r="M24" s="47"/>
      <c r="N24" s="43" t="str">
        <f>IF('2. EAL Surfer - Summary EALs'!D24&gt;O24,"X","")</f>
        <v/>
      </c>
      <c r="O24" s="44">
        <f>'Surfer Compiler HDOH'!C34</f>
        <v>18.475073313782989</v>
      </c>
      <c r="P24" s="42"/>
      <c r="R24" s="447"/>
      <c r="S24" s="447"/>
      <c r="T24" s="447"/>
      <c r="U24" s="313"/>
    </row>
    <row r="25" spans="2:21" ht="6" customHeight="1" thickTop="1" thickBot="1" x14ac:dyDescent="0.3">
      <c r="B25" s="48"/>
      <c r="C25" s="49"/>
      <c r="D25" s="49"/>
      <c r="E25" s="49"/>
      <c r="F25" s="50"/>
      <c r="G25" s="50"/>
      <c r="H25" s="49"/>
      <c r="I25" s="49"/>
      <c r="J25" s="50"/>
      <c r="K25" s="49"/>
      <c r="L25" s="49"/>
      <c r="M25" s="49"/>
      <c r="N25" s="49"/>
      <c r="O25" s="49"/>
      <c r="P25" s="51"/>
      <c r="R25" s="447"/>
      <c r="S25" s="447"/>
      <c r="T25" s="447"/>
      <c r="U25" s="313"/>
    </row>
    <row r="26" spans="2:21" ht="9.75" customHeight="1" thickTop="1" thickBot="1" x14ac:dyDescent="0.3">
      <c r="R26" s="447"/>
      <c r="S26" s="447"/>
      <c r="T26" s="447"/>
      <c r="U26" s="313"/>
    </row>
    <row r="27" spans="2:21" ht="15.75" customHeight="1" thickTop="1" thickBot="1" x14ac:dyDescent="0.3">
      <c r="C27" s="456"/>
      <c r="D27" s="456"/>
      <c r="E27" s="449"/>
      <c r="F27" s="1395" t="s">
        <v>268</v>
      </c>
      <c r="G27" s="1396"/>
      <c r="H27" s="1396"/>
      <c r="I27" s="1396"/>
      <c r="J27" s="1396"/>
      <c r="K27" s="1396"/>
      <c r="L27" s="1396"/>
      <c r="M27" s="1396"/>
      <c r="N27" s="1397"/>
      <c r="R27" s="447"/>
      <c r="S27" s="447"/>
      <c r="T27" s="447"/>
      <c r="U27" s="313"/>
    </row>
    <row r="28" spans="2:21" ht="40.35" customHeight="1" thickTop="1" x14ac:dyDescent="0.25">
      <c r="E28" s="93"/>
      <c r="F28" s="295"/>
      <c r="H28" s="296"/>
      <c r="I28" s="296"/>
      <c r="J28" s="261" t="s">
        <v>269</v>
      </c>
      <c r="K28" s="1444" t="str">
        <f>'2. EAL Surfer - Summary EALs'!D5</f>
        <v>Unrestricted</v>
      </c>
      <c r="L28" s="1366"/>
      <c r="M28" s="1366"/>
      <c r="N28" s="1384"/>
      <c r="O28" s="269" t="str">
        <f>IF('2. EAL Surfer - Summary EALs'!D5='2. EAL Surfer - Summary EALs'!P14,"Note: Land use restrictions
may apply.","")</f>
        <v/>
      </c>
      <c r="R28" s="447"/>
      <c r="S28" s="447"/>
      <c r="T28" s="447"/>
      <c r="U28" s="313"/>
    </row>
    <row r="29" spans="2:21" ht="40.35" customHeight="1" x14ac:dyDescent="0.25">
      <c r="E29" s="93"/>
      <c r="F29" s="1445" t="s">
        <v>191</v>
      </c>
      <c r="G29" s="1442"/>
      <c r="H29" s="1442"/>
      <c r="I29" s="1442"/>
      <c r="J29" s="1446"/>
      <c r="K29" s="1440" t="str">
        <f>'2. EAL Surfer - Summary EALs'!D7</f>
        <v>Drinking Water Resource</v>
      </c>
      <c r="L29" s="1441"/>
      <c r="M29" s="1442"/>
      <c r="N29" s="1443"/>
      <c r="R29" s="447"/>
      <c r="S29" s="447"/>
      <c r="T29" s="447"/>
      <c r="U29" s="313"/>
    </row>
    <row r="30" spans="2:21" ht="25.35" customHeight="1" thickBot="1" x14ac:dyDescent="0.3">
      <c r="E30" s="93"/>
      <c r="F30" s="1399" t="s">
        <v>270</v>
      </c>
      <c r="G30" s="1400"/>
      <c r="H30" s="1400"/>
      <c r="I30" s="1400"/>
      <c r="J30" s="1400"/>
      <c r="K30" s="1401" t="str">
        <f>'2. EAL Surfer - Summary EALs'!D10</f>
        <v>&lt; 150m</v>
      </c>
      <c r="L30" s="1400"/>
      <c r="M30" s="1400"/>
      <c r="N30" s="1402"/>
      <c r="R30" s="447"/>
      <c r="S30" s="447"/>
      <c r="T30" s="447"/>
      <c r="U30" s="313"/>
    </row>
    <row r="31" spans="2:21" ht="12.75" customHeight="1" thickTop="1" x14ac:dyDescent="0.25">
      <c r="R31" s="447"/>
      <c r="S31" s="447"/>
      <c r="T31" s="447"/>
      <c r="U31" s="313"/>
    </row>
    <row r="32" spans="2:21" ht="45.75" customHeight="1" x14ac:dyDescent="0.25">
      <c r="D32" s="1392" t="s">
        <v>162</v>
      </c>
      <c r="E32" s="1392"/>
      <c r="F32" s="1393"/>
      <c r="G32" s="1393"/>
      <c r="H32" s="1393"/>
      <c r="I32" s="1393"/>
      <c r="J32" s="1393"/>
      <c r="K32" s="1393"/>
      <c r="L32" s="1393"/>
      <c r="M32" s="1393"/>
      <c r="N32" s="1393"/>
      <c r="O32" s="1393"/>
      <c r="P32" s="1393"/>
      <c r="R32" s="447"/>
      <c r="S32" s="447"/>
      <c r="T32" s="447"/>
      <c r="U32" s="313"/>
    </row>
    <row r="33" spans="3:17" s="262" customFormat="1" ht="47.85" customHeight="1" x14ac:dyDescent="0.25">
      <c r="C33" s="127"/>
      <c r="D33" s="1319" t="s">
        <v>161</v>
      </c>
      <c r="E33" s="1327"/>
      <c r="F33" s="1327"/>
      <c r="G33" s="1327"/>
      <c r="H33" s="1327"/>
      <c r="I33" s="1327"/>
      <c r="J33" s="1327"/>
      <c r="K33" s="1327"/>
      <c r="L33" s="1327"/>
      <c r="M33" s="1327"/>
      <c r="N33" s="1327"/>
      <c r="O33" s="1327"/>
      <c r="P33" s="1327"/>
    </row>
    <row r="34" spans="3:17" ht="15.75" customHeight="1" x14ac:dyDescent="0.25">
      <c r="D34" s="1398" t="s">
        <v>271</v>
      </c>
      <c r="E34" s="1398"/>
      <c r="F34" s="1394"/>
      <c r="G34" s="1394"/>
      <c r="H34" s="1394"/>
      <c r="I34" s="1394"/>
      <c r="J34" s="1394"/>
      <c r="K34" s="1394"/>
      <c r="L34" s="1394"/>
      <c r="M34" s="1394"/>
      <c r="N34" s="1394"/>
      <c r="O34" s="1394"/>
      <c r="P34" s="1394"/>
      <c r="Q34" s="14"/>
    </row>
    <row r="35" spans="3:17" ht="30.75" customHeight="1" x14ac:dyDescent="0.25">
      <c r="D35" s="1392" t="s">
        <v>272</v>
      </c>
      <c r="E35" s="1392"/>
      <c r="F35" s="1394"/>
      <c r="G35" s="1394"/>
      <c r="H35" s="1394"/>
      <c r="I35" s="1394"/>
      <c r="J35" s="1394"/>
      <c r="K35" s="1394"/>
      <c r="L35" s="1394"/>
      <c r="M35" s="1394"/>
      <c r="N35" s="1394"/>
      <c r="O35" s="1394"/>
      <c r="P35" s="1394"/>
    </row>
    <row r="36" spans="3:17" x14ac:dyDescent="0.25">
      <c r="D36" s="1319" t="s">
        <v>273</v>
      </c>
      <c r="E36" s="1327"/>
      <c r="F36" s="1327"/>
      <c r="G36" s="1327"/>
      <c r="H36" s="1327"/>
      <c r="I36" s="1327"/>
      <c r="J36" s="1327"/>
      <c r="K36" s="1327"/>
      <c r="L36" s="1327"/>
      <c r="M36" s="1327"/>
      <c r="N36" s="1327"/>
      <c r="O36" s="1327"/>
      <c r="P36" s="1327"/>
    </row>
    <row r="37" spans="3:17" ht="32.25" customHeight="1" x14ac:dyDescent="0.25">
      <c r="D37" s="1319" t="s">
        <v>274</v>
      </c>
      <c r="E37" s="1327"/>
      <c r="F37" s="1327"/>
      <c r="G37" s="1327"/>
      <c r="H37" s="1327"/>
      <c r="I37" s="1327"/>
      <c r="J37" s="1327"/>
      <c r="K37" s="1327"/>
      <c r="L37" s="1327"/>
      <c r="M37" s="1327"/>
      <c r="N37" s="1327"/>
      <c r="O37" s="1327"/>
      <c r="P37" s="1327"/>
    </row>
  </sheetData>
  <sheetProtection algorithmName="SHA-512" hashValue="R+06KdKwnADbHkIVyIDoIpIX0rlouY9ADohc4dxp37O6wOcTIGzkBOqGXNgyqvVGf5IGjgBOBel3sGCt+RfTVQ==" saltValue="4jiRDjB/IRC/GFE2Xmu4Tg==" spinCount="100000" sheet="1" objects="1" scenarios="1"/>
  <mergeCells count="34">
    <mergeCell ref="B20:C21"/>
    <mergeCell ref="F20:G21"/>
    <mergeCell ref="H21:J21"/>
    <mergeCell ref="L13:L15"/>
    <mergeCell ref="G16:G17"/>
    <mergeCell ref="L23:L24"/>
    <mergeCell ref="H14:J14"/>
    <mergeCell ref="H17:K17"/>
    <mergeCell ref="H19:K20"/>
    <mergeCell ref="K29:N29"/>
    <mergeCell ref="K28:N28"/>
    <mergeCell ref="F29:J29"/>
    <mergeCell ref="N14:O14"/>
    <mergeCell ref="D14:F15"/>
    <mergeCell ref="H16:K16"/>
    <mergeCell ref="D2:O2"/>
    <mergeCell ref="D1:O1"/>
    <mergeCell ref="L9:L10"/>
    <mergeCell ref="H12:K13"/>
    <mergeCell ref="N12:O13"/>
    <mergeCell ref="C6:G7"/>
    <mergeCell ref="F12:F13"/>
    <mergeCell ref="D12:E13"/>
    <mergeCell ref="B12:C13"/>
    <mergeCell ref="B3:P3"/>
    <mergeCell ref="D37:P37"/>
    <mergeCell ref="D36:P36"/>
    <mergeCell ref="D32:P32"/>
    <mergeCell ref="D35:P35"/>
    <mergeCell ref="F27:N27"/>
    <mergeCell ref="D34:P34"/>
    <mergeCell ref="F30:J30"/>
    <mergeCell ref="K30:N30"/>
    <mergeCell ref="D33:P33"/>
  </mergeCells>
  <phoneticPr fontId="16" type="noConversion"/>
  <dataValidations disablePrompts="1" count="1">
    <dataValidation type="list" allowBlank="1" showInputMessage="1" showErrorMessage="1" sqref="F5:G5" xr:uid="{00000000-0002-0000-0800-000000000000}">
      <formula1>$U$17:$U$18</formula1>
    </dataValidation>
  </dataValidations>
  <printOptions horizontalCentered="1"/>
  <pageMargins left="0.4" right="0.42" top="0.56999999999999995" bottom="0.53" header="0.5" footer="0.31"/>
  <pageSetup scale="74" orientation="landscape" horizontalDpi="4294967293" r:id="rId1"/>
  <headerFooter alignWithMargins="0">
    <oddFooter>&amp;R&amp;A</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indexed="29"/>
    <pageSetUpPr fitToPage="1"/>
  </sheetPr>
  <dimension ref="A1:L46"/>
  <sheetViews>
    <sheetView zoomScaleNormal="100" workbookViewId="0">
      <selection activeCell="C10" sqref="C10"/>
    </sheetView>
  </sheetViews>
  <sheetFormatPr defaultColWidth="9.140625" defaultRowHeight="12.75" x14ac:dyDescent="0.2"/>
  <cols>
    <col min="1" max="1" width="50.5703125" style="627" customWidth="1"/>
    <col min="2" max="2" width="13.7109375" style="979" customWidth="1"/>
    <col min="3" max="3" width="25.28515625" style="627" customWidth="1"/>
    <col min="4" max="8" width="13.7109375" style="627" customWidth="1"/>
    <col min="9" max="12" width="9" style="519" customWidth="1"/>
    <col min="13" max="16384" width="9.140625" style="627"/>
  </cols>
  <sheetData>
    <row r="1" spans="1:10" ht="34.5" x14ac:dyDescent="0.25">
      <c r="A1" s="471" t="s">
        <v>932</v>
      </c>
      <c r="B1" s="972"/>
      <c r="C1" s="780"/>
      <c r="D1" s="942"/>
      <c r="E1" s="942"/>
      <c r="F1" s="942"/>
      <c r="G1" s="942"/>
      <c r="H1" s="942"/>
    </row>
    <row r="2" spans="1:10" ht="13.5" thickBot="1" x14ac:dyDescent="0.25">
      <c r="A2" s="504"/>
      <c r="B2" s="515"/>
      <c r="C2" s="470"/>
      <c r="D2" s="727"/>
      <c r="E2" s="727"/>
      <c r="F2" s="727"/>
      <c r="G2" s="727"/>
      <c r="H2" s="727"/>
    </row>
    <row r="3" spans="1:10" ht="13.5" thickTop="1" x14ac:dyDescent="0.2">
      <c r="A3" s="774"/>
      <c r="B3" s="973" t="s">
        <v>933</v>
      </c>
      <c r="C3" s="980"/>
      <c r="D3" s="974" t="s">
        <v>934</v>
      </c>
      <c r="E3" s="974" t="s">
        <v>935</v>
      </c>
      <c r="F3" s="946" t="s">
        <v>936</v>
      </c>
      <c r="G3" s="947" t="s">
        <v>936</v>
      </c>
      <c r="H3" s="981"/>
    </row>
    <row r="4" spans="1:10" x14ac:dyDescent="0.2">
      <c r="A4" s="794"/>
      <c r="B4" s="975" t="s">
        <v>937</v>
      </c>
      <c r="C4" s="982"/>
      <c r="D4" s="567"/>
      <c r="E4" s="567"/>
      <c r="F4" s="952" t="s">
        <v>938</v>
      </c>
      <c r="G4" s="953" t="s">
        <v>939</v>
      </c>
      <c r="H4" s="983" t="s">
        <v>940</v>
      </c>
    </row>
    <row r="5" spans="1:10" ht="13.5" thickBot="1" x14ac:dyDescent="0.25">
      <c r="A5" s="955" t="s">
        <v>799</v>
      </c>
      <c r="B5" s="976" t="s">
        <v>579</v>
      </c>
      <c r="C5" s="984" t="s">
        <v>405</v>
      </c>
      <c r="D5" s="977" t="s">
        <v>579</v>
      </c>
      <c r="E5" s="977" t="s">
        <v>579</v>
      </c>
      <c r="F5" s="959" t="s">
        <v>579</v>
      </c>
      <c r="G5" s="960" t="s">
        <v>579</v>
      </c>
      <c r="H5" s="985" t="s">
        <v>579</v>
      </c>
    </row>
    <row r="6" spans="1:10" ht="11.25" customHeight="1" x14ac:dyDescent="0.2">
      <c r="A6" s="490" t="s">
        <v>472</v>
      </c>
      <c r="B6" s="542">
        <v>3.7928104235024822</v>
      </c>
      <c r="C6" s="986" t="s">
        <v>1130</v>
      </c>
      <c r="D6" s="542" t="s">
        <v>240</v>
      </c>
      <c r="E6" s="494" t="s">
        <v>240</v>
      </c>
      <c r="F6" s="963">
        <v>3.7928104235024822</v>
      </c>
      <c r="G6" s="963">
        <v>3.7928104235024822</v>
      </c>
      <c r="H6" s="545" t="s">
        <v>551</v>
      </c>
      <c r="J6" s="978"/>
    </row>
    <row r="7" spans="1:10" ht="11.25" customHeight="1" x14ac:dyDescent="0.2">
      <c r="A7" s="497" t="s">
        <v>473</v>
      </c>
      <c r="B7" s="547">
        <v>1.9090531225825822</v>
      </c>
      <c r="C7" s="987" t="s">
        <v>1130</v>
      </c>
      <c r="D7" s="547" t="s">
        <v>240</v>
      </c>
      <c r="E7" s="501" t="s">
        <v>240</v>
      </c>
      <c r="F7" s="836">
        <v>1.9090531225825822</v>
      </c>
      <c r="G7" s="836">
        <v>1.9090531225825822</v>
      </c>
      <c r="H7" s="550" t="s">
        <v>551</v>
      </c>
      <c r="J7" s="978"/>
    </row>
    <row r="8" spans="1:10" ht="11.25" customHeight="1" x14ac:dyDescent="0.2">
      <c r="A8" s="497" t="s">
        <v>474</v>
      </c>
      <c r="B8" s="547">
        <v>2.5285298441059922E-2</v>
      </c>
      <c r="C8" s="987" t="s">
        <v>1130</v>
      </c>
      <c r="D8" s="547" t="s">
        <v>240</v>
      </c>
      <c r="E8" s="501" t="s">
        <v>240</v>
      </c>
      <c r="F8" s="836">
        <v>2.5285298441059922E-2</v>
      </c>
      <c r="G8" s="836">
        <v>2.5285298441059922E-2</v>
      </c>
      <c r="H8" s="550" t="s">
        <v>551</v>
      </c>
      <c r="J8" s="978"/>
    </row>
    <row r="9" spans="1:10" ht="11.25" customHeight="1" x14ac:dyDescent="0.2">
      <c r="A9" s="497" t="s">
        <v>475</v>
      </c>
      <c r="B9" s="547">
        <v>0.1264273591114293</v>
      </c>
      <c r="C9" s="987" t="s">
        <v>1130</v>
      </c>
      <c r="D9" s="547" t="s">
        <v>240</v>
      </c>
      <c r="E9" s="501" t="s">
        <v>240</v>
      </c>
      <c r="F9" s="836">
        <v>0.1264273591114293</v>
      </c>
      <c r="G9" s="836">
        <v>0.1264273591114293</v>
      </c>
      <c r="H9" s="550" t="s">
        <v>551</v>
      </c>
      <c r="J9" s="978"/>
    </row>
    <row r="10" spans="1:10" ht="11.25" customHeight="1" x14ac:dyDescent="0.2">
      <c r="A10" s="497" t="s">
        <v>476</v>
      </c>
      <c r="B10" s="547">
        <v>2.5285443995509162E-2</v>
      </c>
      <c r="C10" s="987" t="s">
        <v>1130</v>
      </c>
      <c r="D10" s="547" t="s">
        <v>240</v>
      </c>
      <c r="E10" s="501" t="s">
        <v>240</v>
      </c>
      <c r="F10" s="836">
        <v>2.5285443995509162E-2</v>
      </c>
      <c r="G10" s="836">
        <v>2.5285443995509162E-2</v>
      </c>
      <c r="H10" s="550" t="s">
        <v>551</v>
      </c>
      <c r="J10" s="978"/>
    </row>
    <row r="11" spans="1:10" ht="11.25" customHeight="1" x14ac:dyDescent="0.2">
      <c r="A11" s="497" t="s">
        <v>477</v>
      </c>
      <c r="B11" s="547">
        <v>0.1264273591114293</v>
      </c>
      <c r="C11" s="987" t="s">
        <v>1130</v>
      </c>
      <c r="D11" s="547" t="s">
        <v>240</v>
      </c>
      <c r="E11" s="501" t="s">
        <v>240</v>
      </c>
      <c r="F11" s="836">
        <v>0.1264273591114293</v>
      </c>
      <c r="G11" s="836">
        <v>0.1264273591114293</v>
      </c>
      <c r="H11" s="550" t="s">
        <v>551</v>
      </c>
      <c r="J11" s="978"/>
    </row>
    <row r="12" spans="1:10" ht="11.25" customHeight="1" x14ac:dyDescent="0.2">
      <c r="A12" s="497" t="s">
        <v>200</v>
      </c>
      <c r="B12" s="547">
        <v>29.086715505210876</v>
      </c>
      <c r="C12" s="987" t="s">
        <v>1130</v>
      </c>
      <c r="D12" s="547" t="s">
        <v>240</v>
      </c>
      <c r="E12" s="501" t="s">
        <v>240</v>
      </c>
      <c r="F12" s="836">
        <v>29.086715505210876</v>
      </c>
      <c r="G12" s="836">
        <v>29.086715505210876</v>
      </c>
      <c r="H12" s="550">
        <v>149004.4165629714</v>
      </c>
      <c r="J12" s="978"/>
    </row>
    <row r="13" spans="1:10" ht="11.25" customHeight="1" x14ac:dyDescent="0.2">
      <c r="A13" s="497" t="s">
        <v>478</v>
      </c>
      <c r="B13" s="547">
        <v>5.0376844612152221</v>
      </c>
      <c r="C13" s="987" t="s">
        <v>1130</v>
      </c>
      <c r="D13" s="547" t="s">
        <v>240</v>
      </c>
      <c r="E13" s="501" t="s">
        <v>240</v>
      </c>
      <c r="F13" s="836">
        <v>5.0376844612152221</v>
      </c>
      <c r="G13" s="836">
        <v>5.0376844612152221</v>
      </c>
      <c r="H13" s="550">
        <v>3307.8546432463559</v>
      </c>
      <c r="J13" s="978"/>
    </row>
    <row r="14" spans="1:10" ht="11.25" customHeight="1" x14ac:dyDescent="0.2">
      <c r="A14" s="497" t="s">
        <v>479</v>
      </c>
      <c r="B14" s="547">
        <v>48.041582792451379</v>
      </c>
      <c r="C14" s="987" t="s">
        <v>1130</v>
      </c>
      <c r="D14" s="547" t="s">
        <v>240</v>
      </c>
      <c r="E14" s="501" t="s">
        <v>240</v>
      </c>
      <c r="F14" s="836">
        <v>48.041582792451379</v>
      </c>
      <c r="G14" s="836">
        <v>48.041582792451379</v>
      </c>
      <c r="H14" s="550" t="s">
        <v>551</v>
      </c>
      <c r="J14" s="978"/>
    </row>
    <row r="15" spans="1:10" ht="11.25" customHeight="1" x14ac:dyDescent="0.2">
      <c r="A15" s="497" t="s">
        <v>480</v>
      </c>
      <c r="B15" s="547">
        <v>5.0570299660946043</v>
      </c>
      <c r="C15" s="987" t="s">
        <v>1130</v>
      </c>
      <c r="D15" s="547" t="s">
        <v>240</v>
      </c>
      <c r="E15" s="501" t="s">
        <v>240</v>
      </c>
      <c r="F15" s="836">
        <v>5.0570299660946043</v>
      </c>
      <c r="G15" s="836">
        <v>5.0570299660946043</v>
      </c>
      <c r="H15" s="550" t="s">
        <v>551</v>
      </c>
      <c r="J15" s="978"/>
    </row>
    <row r="16" spans="1:10" ht="11.25" customHeight="1" x14ac:dyDescent="0.2">
      <c r="A16" s="497" t="s">
        <v>481</v>
      </c>
      <c r="B16" s="547">
        <v>6.3212874576182552</v>
      </c>
      <c r="C16" s="987" t="s">
        <v>1130</v>
      </c>
      <c r="D16" s="547" t="s">
        <v>240</v>
      </c>
      <c r="E16" s="501" t="s">
        <v>240</v>
      </c>
      <c r="F16" s="836">
        <v>6.3212874576182552</v>
      </c>
      <c r="G16" s="836">
        <v>6.3212874576182552</v>
      </c>
      <c r="H16" s="550" t="s">
        <v>551</v>
      </c>
      <c r="J16" s="978"/>
    </row>
    <row r="17" spans="1:10" ht="11.25" customHeight="1" x14ac:dyDescent="0.2">
      <c r="A17" s="497" t="s">
        <v>482</v>
      </c>
      <c r="B17" s="547">
        <v>0.2528547182228586</v>
      </c>
      <c r="C17" s="987" t="s">
        <v>1130</v>
      </c>
      <c r="D17" s="547" t="s">
        <v>240</v>
      </c>
      <c r="E17" s="501" t="s">
        <v>240</v>
      </c>
      <c r="F17" s="836">
        <v>0.2528547182228586</v>
      </c>
      <c r="G17" s="836">
        <v>0.2528547182228586</v>
      </c>
      <c r="H17" s="550" t="s">
        <v>551</v>
      </c>
      <c r="J17" s="978"/>
    </row>
    <row r="18" spans="1:10" ht="11.25" customHeight="1" x14ac:dyDescent="0.2">
      <c r="A18" s="497" t="s">
        <v>483</v>
      </c>
      <c r="B18" s="547">
        <v>3.7926970838246823E-2</v>
      </c>
      <c r="C18" s="987" t="s">
        <v>1130</v>
      </c>
      <c r="D18" s="547" t="s">
        <v>240</v>
      </c>
      <c r="E18" s="501" t="s">
        <v>240</v>
      </c>
      <c r="F18" s="836">
        <v>3.7926970838246823E-2</v>
      </c>
      <c r="G18" s="836">
        <v>3.7926970838246823E-2</v>
      </c>
      <c r="H18" s="550" t="s">
        <v>551</v>
      </c>
      <c r="J18" s="978"/>
    </row>
    <row r="19" spans="1:10" ht="11.25" customHeight="1" x14ac:dyDescent="0.2">
      <c r="A19" s="497" t="s">
        <v>484</v>
      </c>
      <c r="B19" s="547">
        <v>3.792802661159253E-2</v>
      </c>
      <c r="C19" s="987" t="s">
        <v>1130</v>
      </c>
      <c r="D19" s="547" t="s">
        <v>240</v>
      </c>
      <c r="E19" s="501" t="s">
        <v>240</v>
      </c>
      <c r="F19" s="836">
        <v>3.792802661159253E-2</v>
      </c>
      <c r="G19" s="836">
        <v>3.792802661159253E-2</v>
      </c>
      <c r="H19" s="550" t="s">
        <v>551</v>
      </c>
      <c r="J19" s="978"/>
    </row>
    <row r="20" spans="1:10" ht="11.25" customHeight="1" x14ac:dyDescent="0.2">
      <c r="A20" s="497" t="s">
        <v>485</v>
      </c>
      <c r="B20" s="547">
        <v>2.5285429294595263E-2</v>
      </c>
      <c r="C20" s="987" t="s">
        <v>1130</v>
      </c>
      <c r="D20" s="547" t="s">
        <v>240</v>
      </c>
      <c r="E20" s="501" t="s">
        <v>240</v>
      </c>
      <c r="F20" s="836">
        <v>2.5285429294595263E-2</v>
      </c>
      <c r="G20" s="836">
        <v>2.5285429294595263E-2</v>
      </c>
      <c r="H20" s="550" t="s">
        <v>551</v>
      </c>
      <c r="J20" s="978"/>
    </row>
    <row r="21" spans="1:10" ht="11.25" customHeight="1" x14ac:dyDescent="0.2">
      <c r="A21" s="497" t="s">
        <v>486</v>
      </c>
      <c r="B21" s="547">
        <v>6.321367955571465E-2</v>
      </c>
      <c r="C21" s="987" t="s">
        <v>1130</v>
      </c>
      <c r="D21" s="547" t="s">
        <v>240</v>
      </c>
      <c r="E21" s="501" t="s">
        <v>240</v>
      </c>
      <c r="F21" s="836">
        <v>6.321367955571465E-2</v>
      </c>
      <c r="G21" s="836">
        <v>6.321367955571465E-2</v>
      </c>
      <c r="H21" s="550" t="s">
        <v>551</v>
      </c>
      <c r="J21" s="978"/>
    </row>
    <row r="22" spans="1:10" ht="11.25" customHeight="1" x14ac:dyDescent="0.2">
      <c r="A22" s="497" t="s">
        <v>487</v>
      </c>
      <c r="B22" s="547">
        <v>8.4705728342417075E-2</v>
      </c>
      <c r="C22" s="987" t="s">
        <v>1130</v>
      </c>
      <c r="D22" s="547" t="s">
        <v>240</v>
      </c>
      <c r="E22" s="501" t="s">
        <v>240</v>
      </c>
      <c r="F22" s="836">
        <v>8.4705728342417075E-2</v>
      </c>
      <c r="G22" s="836">
        <v>8.4705728342417075E-2</v>
      </c>
      <c r="H22" s="550" t="s">
        <v>551</v>
      </c>
      <c r="J22" s="978"/>
    </row>
    <row r="23" spans="1:10" ht="11.25" customHeight="1" x14ac:dyDescent="0.2">
      <c r="A23" s="497" t="s">
        <v>488</v>
      </c>
      <c r="B23" s="547">
        <v>8.4706330604657626E-2</v>
      </c>
      <c r="C23" s="987" t="s">
        <v>1130</v>
      </c>
      <c r="D23" s="547" t="s">
        <v>240</v>
      </c>
      <c r="E23" s="501" t="s">
        <v>240</v>
      </c>
      <c r="F23" s="836">
        <v>8.4706330604657626E-2</v>
      </c>
      <c r="G23" s="836">
        <v>8.4706330604657626E-2</v>
      </c>
      <c r="H23" s="550" t="s">
        <v>551</v>
      </c>
      <c r="J23" s="978"/>
    </row>
    <row r="24" spans="1:10" ht="12" customHeight="1" x14ac:dyDescent="0.2">
      <c r="A24" s="497" t="s">
        <v>489</v>
      </c>
      <c r="B24" s="547">
        <v>0.84706330604657598</v>
      </c>
      <c r="C24" s="987" t="s">
        <v>1130</v>
      </c>
      <c r="D24" s="547" t="s">
        <v>240</v>
      </c>
      <c r="E24" s="501" t="s">
        <v>240</v>
      </c>
      <c r="F24" s="836">
        <v>0.84706330604657598</v>
      </c>
      <c r="G24" s="836">
        <v>0.84706330604657598</v>
      </c>
      <c r="H24" s="550" t="s">
        <v>551</v>
      </c>
      <c r="J24" s="978"/>
    </row>
    <row r="25" spans="1:10" ht="12" customHeight="1" x14ac:dyDescent="0.2">
      <c r="A25" s="497" t="s">
        <v>490</v>
      </c>
      <c r="B25" s="547">
        <v>0.15171283093371513</v>
      </c>
      <c r="C25" s="987" t="s">
        <v>1130</v>
      </c>
      <c r="D25" s="547" t="s">
        <v>240</v>
      </c>
      <c r="E25" s="501" t="s">
        <v>240</v>
      </c>
      <c r="F25" s="836">
        <v>0.15171283093371513</v>
      </c>
      <c r="G25" s="836">
        <v>0.15171283093371513</v>
      </c>
      <c r="H25" s="550" t="s">
        <v>551</v>
      </c>
      <c r="J25" s="978"/>
    </row>
    <row r="26" spans="1:10" ht="12" customHeight="1" x14ac:dyDescent="0.2">
      <c r="A26" s="497" t="s">
        <v>491</v>
      </c>
      <c r="B26" s="547">
        <v>3.7928207733428781E-2</v>
      </c>
      <c r="C26" s="987" t="s">
        <v>1130</v>
      </c>
      <c r="D26" s="547" t="s">
        <v>240</v>
      </c>
      <c r="E26" s="501" t="s">
        <v>240</v>
      </c>
      <c r="F26" s="836">
        <v>3.7928207733428781E-2</v>
      </c>
      <c r="G26" s="836">
        <v>3.7928207733428781E-2</v>
      </c>
      <c r="H26" s="550" t="s">
        <v>551</v>
      </c>
      <c r="J26" s="978"/>
    </row>
    <row r="27" spans="1:10" ht="12" customHeight="1" x14ac:dyDescent="0.2">
      <c r="A27" s="497" t="s">
        <v>492</v>
      </c>
      <c r="B27" s="547">
        <v>4.9305812995733218</v>
      </c>
      <c r="C27" s="987" t="s">
        <v>1130</v>
      </c>
      <c r="D27" s="547" t="s">
        <v>240</v>
      </c>
      <c r="E27" s="501" t="s">
        <v>240</v>
      </c>
      <c r="F27" s="836">
        <v>4.9305812995733218</v>
      </c>
      <c r="G27" s="836">
        <v>4.9305812995733218</v>
      </c>
      <c r="H27" s="550" t="s">
        <v>551</v>
      </c>
      <c r="J27" s="978"/>
    </row>
    <row r="28" spans="1:10" ht="12" customHeight="1" x14ac:dyDescent="0.2">
      <c r="A28" s="497" t="s">
        <v>493</v>
      </c>
      <c r="B28" s="547">
        <v>3.7928207733428785</v>
      </c>
      <c r="C28" s="987" t="s">
        <v>1130</v>
      </c>
      <c r="D28" s="547" t="s">
        <v>240</v>
      </c>
      <c r="E28" s="501" t="s">
        <v>240</v>
      </c>
      <c r="F28" s="836">
        <v>3.7928207733428785</v>
      </c>
      <c r="G28" s="836">
        <v>3.7928207733428785</v>
      </c>
      <c r="H28" s="550" t="s">
        <v>551</v>
      </c>
      <c r="J28" s="978"/>
    </row>
    <row r="29" spans="1:10" ht="12" customHeight="1" x14ac:dyDescent="0.2">
      <c r="A29" s="497" t="s">
        <v>494</v>
      </c>
      <c r="B29" s="547">
        <v>16.435347389807468</v>
      </c>
      <c r="C29" s="987" t="s">
        <v>1130</v>
      </c>
      <c r="D29" s="547" t="s">
        <v>240</v>
      </c>
      <c r="E29" s="501" t="s">
        <v>240</v>
      </c>
      <c r="F29" s="836">
        <v>16.435347389807468</v>
      </c>
      <c r="G29" s="836">
        <v>16.435347389807468</v>
      </c>
      <c r="H29" s="550" t="s">
        <v>551</v>
      </c>
      <c r="J29" s="978"/>
    </row>
    <row r="30" spans="1:10" ht="12" customHeight="1" x14ac:dyDescent="0.2">
      <c r="A30" s="497" t="s">
        <v>495</v>
      </c>
      <c r="B30" s="547">
        <v>13.906832406760163</v>
      </c>
      <c r="C30" s="987" t="s">
        <v>1130</v>
      </c>
      <c r="D30" s="547" t="s">
        <v>240</v>
      </c>
      <c r="E30" s="501" t="s">
        <v>240</v>
      </c>
      <c r="F30" s="836">
        <v>13.906832406760163</v>
      </c>
      <c r="G30" s="836">
        <v>13.906832406760163</v>
      </c>
      <c r="H30" s="550" t="s">
        <v>551</v>
      </c>
      <c r="J30" s="978"/>
    </row>
    <row r="31" spans="1:10" ht="12" customHeight="1" thickBot="1" x14ac:dyDescent="0.25">
      <c r="A31" s="507" t="s">
        <v>496</v>
      </c>
      <c r="B31" s="553">
        <v>6.3213679555714641</v>
      </c>
      <c r="C31" s="988" t="s">
        <v>1130</v>
      </c>
      <c r="D31" s="553" t="s">
        <v>240</v>
      </c>
      <c r="E31" s="511" t="s">
        <v>240</v>
      </c>
      <c r="F31" s="966">
        <v>6.3213679555714641</v>
      </c>
      <c r="G31" s="966">
        <v>6.3213679555714641</v>
      </c>
      <c r="H31" s="556" t="s">
        <v>551</v>
      </c>
      <c r="J31" s="978"/>
    </row>
    <row r="32" spans="1:10" ht="13.5" thickTop="1" x14ac:dyDescent="0.2">
      <c r="A32" s="967" t="s">
        <v>941</v>
      </c>
      <c r="B32" s="515"/>
      <c r="C32" s="470"/>
      <c r="D32" s="727"/>
      <c r="E32" s="727"/>
      <c r="F32" s="727"/>
      <c r="G32" s="515"/>
      <c r="H32" s="969"/>
    </row>
    <row r="33" spans="1:8" x14ac:dyDescent="0.2">
      <c r="A33" s="514" t="s">
        <v>238</v>
      </c>
      <c r="B33" s="968"/>
      <c r="C33" s="565"/>
      <c r="D33" s="727"/>
      <c r="E33" s="727"/>
      <c r="F33" s="727"/>
      <c r="G33" s="727"/>
      <c r="H33" s="969"/>
    </row>
    <row r="34" spans="1:8" x14ac:dyDescent="0.2">
      <c r="A34" s="518" t="s">
        <v>942</v>
      </c>
      <c r="B34" s="968"/>
      <c r="C34" s="565"/>
      <c r="D34" s="727"/>
      <c r="E34" s="727"/>
      <c r="F34" s="727"/>
      <c r="G34" s="727"/>
      <c r="H34" s="969"/>
    </row>
    <row r="35" spans="1:8" ht="12" customHeight="1" x14ac:dyDescent="0.2">
      <c r="A35" s="1522" t="s">
        <v>943</v>
      </c>
      <c r="B35" s="1538"/>
      <c r="C35" s="1538"/>
      <c r="D35" s="1538"/>
      <c r="E35" s="1538"/>
      <c r="F35" s="1538"/>
      <c r="G35" s="1538"/>
      <c r="H35" s="1582"/>
    </row>
    <row r="36" spans="1:8" ht="12" customHeight="1" x14ac:dyDescent="0.2">
      <c r="A36" s="1522" t="s">
        <v>944</v>
      </c>
      <c r="B36" s="1538"/>
      <c r="C36" s="1538"/>
      <c r="D36" s="1538"/>
      <c r="E36" s="1538"/>
      <c r="F36" s="1538"/>
      <c r="G36" s="1538"/>
      <c r="H36" s="1582"/>
    </row>
    <row r="37" spans="1:8" x14ac:dyDescent="0.2">
      <c r="A37" s="521" t="s">
        <v>945</v>
      </c>
      <c r="B37" s="968"/>
      <c r="C37" s="565"/>
      <c r="D37" s="727"/>
      <c r="E37" s="727"/>
      <c r="F37" s="727"/>
      <c r="G37" s="727"/>
      <c r="H37" s="969"/>
    </row>
    <row r="38" spans="1:8" x14ac:dyDescent="0.2">
      <c r="A38" s="521" t="s">
        <v>946</v>
      </c>
      <c r="B38" s="505"/>
      <c r="C38" s="710"/>
      <c r="D38" s="727"/>
      <c r="E38" s="727"/>
      <c r="F38" s="727"/>
      <c r="G38" s="727"/>
      <c r="H38" s="969"/>
    </row>
    <row r="39" spans="1:8" ht="24.75" customHeight="1" x14ac:dyDescent="0.2">
      <c r="A39" s="1525" t="s">
        <v>947</v>
      </c>
      <c r="B39" s="1644"/>
      <c r="C39" s="1644"/>
      <c r="D39" s="1644"/>
      <c r="E39" s="1644"/>
      <c r="F39" s="1644"/>
      <c r="G39" s="1644"/>
      <c r="H39" s="1645"/>
    </row>
    <row r="40" spans="1:8" ht="13.5" thickBot="1" x14ac:dyDescent="0.25">
      <c r="A40" s="523" t="s">
        <v>948</v>
      </c>
      <c r="B40" s="786"/>
      <c r="C40" s="525"/>
      <c r="D40" s="970"/>
      <c r="E40" s="970"/>
      <c r="F40" s="970"/>
      <c r="G40" s="970"/>
      <c r="H40" s="971"/>
    </row>
    <row r="41" spans="1:8" ht="13.5" thickTop="1" x14ac:dyDescent="0.2">
      <c r="A41" s="469"/>
      <c r="B41" s="626"/>
      <c r="C41" s="470"/>
      <c r="D41" s="727"/>
      <c r="E41" s="727"/>
      <c r="F41" s="727"/>
      <c r="G41" s="727"/>
      <c r="H41" s="727"/>
    </row>
    <row r="42" spans="1:8" x14ac:dyDescent="0.2">
      <c r="A42" s="469"/>
      <c r="B42" s="626"/>
      <c r="C42" s="470"/>
      <c r="D42" s="727"/>
      <c r="E42" s="727"/>
      <c r="F42" s="727"/>
      <c r="G42" s="727"/>
      <c r="H42" s="727"/>
    </row>
    <row r="43" spans="1:8" x14ac:dyDescent="0.2">
      <c r="A43" s="469"/>
      <c r="B43" s="626"/>
      <c r="C43" s="470"/>
      <c r="D43" s="727"/>
      <c r="E43" s="727"/>
      <c r="F43" s="727"/>
      <c r="G43" s="727"/>
      <c r="H43" s="727"/>
    </row>
    <row r="44" spans="1:8" x14ac:dyDescent="0.2">
      <c r="A44" s="469"/>
      <c r="B44" s="626"/>
      <c r="C44" s="470"/>
      <c r="D44" s="727"/>
      <c r="E44" s="727"/>
      <c r="F44" s="727"/>
      <c r="G44" s="727"/>
      <c r="H44" s="727"/>
    </row>
    <row r="45" spans="1:8" x14ac:dyDescent="0.2">
      <c r="A45" s="469"/>
      <c r="B45" s="626"/>
      <c r="C45" s="470"/>
      <c r="D45" s="727"/>
      <c r="E45" s="727"/>
      <c r="F45" s="727"/>
      <c r="G45" s="727"/>
      <c r="H45" s="727"/>
    </row>
    <row r="46" spans="1:8" x14ac:dyDescent="0.2">
      <c r="A46" s="469"/>
      <c r="B46" s="626"/>
      <c r="C46" s="470"/>
      <c r="D46" s="727"/>
      <c r="E46" s="727"/>
      <c r="F46" s="727"/>
      <c r="G46" s="727"/>
      <c r="H46" s="727"/>
    </row>
  </sheetData>
  <sheetProtection algorithmName="SHA-512" hashValue="01U+KN9s8YejHlhtTBxAmdmCZZJpXtptISLdA7MK3aVAWpKfSA1pagrxHpejCIwMutQxjFVF6+e5N2LqxKVMVQ==" saltValue="3Q4lhRpA+FMPApyPO0Ag6g==" spinCount="100000" sheet="1" objects="1" scenarios="1"/>
  <mergeCells count="3">
    <mergeCell ref="A36:H36"/>
    <mergeCell ref="A35:H35"/>
    <mergeCell ref="A39:H39"/>
  </mergeCells>
  <phoneticPr fontId="0" type="noConversion"/>
  <printOptions horizontalCentered="1"/>
  <pageMargins left="0.15748031496063" right="0.15748031496063" top="0.511811023622047" bottom="0.98425196850393704" header="0.511811023622047" footer="0.511811023622047"/>
  <pageSetup scale="88" fitToHeight="4" orientation="landscape" r:id="rId1"/>
  <headerFooter alignWithMargins="0">
    <oddFooter>&amp;LHawai'i DOH
PFASs November 2024&amp;C&amp;8Page &amp;P of &amp;N&amp;R&amp;A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indexed="29"/>
    <pageSetUpPr fitToPage="1"/>
  </sheetPr>
  <dimension ref="A1:K41"/>
  <sheetViews>
    <sheetView zoomScaleNormal="100" workbookViewId="0">
      <selection activeCell="F24" sqref="F24"/>
    </sheetView>
  </sheetViews>
  <sheetFormatPr defaultColWidth="9.140625" defaultRowHeight="12.75" x14ac:dyDescent="0.2"/>
  <cols>
    <col min="1" max="1" width="50.5703125" style="627" customWidth="1"/>
    <col min="2" max="2" width="13.7109375" style="979" customWidth="1"/>
    <col min="3" max="3" width="25.28515625" style="627" customWidth="1"/>
    <col min="4" max="6" width="13.7109375" style="627" customWidth="1"/>
    <col min="7" max="7" width="16.7109375" style="627" customWidth="1"/>
    <col min="8" max="11" width="9" style="519" customWidth="1"/>
    <col min="12" max="16384" width="9.140625" style="627"/>
  </cols>
  <sheetData>
    <row r="1" spans="1:9" ht="31.5" x14ac:dyDescent="0.25">
      <c r="A1" s="471" t="s">
        <v>949</v>
      </c>
      <c r="B1" s="972"/>
      <c r="C1" s="780"/>
      <c r="D1" s="942"/>
      <c r="E1" s="942"/>
      <c r="F1" s="942"/>
      <c r="G1" s="942"/>
    </row>
    <row r="2" spans="1:9" ht="13.5" thickBot="1" x14ac:dyDescent="0.25">
      <c r="A2" s="504"/>
      <c r="B2" s="515"/>
      <c r="C2" s="710"/>
      <c r="D2" s="727"/>
      <c r="E2" s="727"/>
      <c r="F2" s="727"/>
      <c r="G2" s="727"/>
    </row>
    <row r="3" spans="1:9" ht="13.5" thickTop="1" x14ac:dyDescent="0.2">
      <c r="A3" s="774"/>
      <c r="B3" s="973" t="s">
        <v>933</v>
      </c>
      <c r="C3" s="944"/>
      <c r="D3" s="974" t="s">
        <v>950</v>
      </c>
      <c r="E3" s="946" t="s">
        <v>951</v>
      </c>
      <c r="F3" s="947" t="s">
        <v>951</v>
      </c>
      <c r="G3" s="948"/>
    </row>
    <row r="4" spans="1:9" x14ac:dyDescent="0.2">
      <c r="A4" s="794"/>
      <c r="B4" s="975" t="s">
        <v>937</v>
      </c>
      <c r="C4" s="950"/>
      <c r="D4" s="567" t="s">
        <v>952</v>
      </c>
      <c r="E4" s="952" t="s">
        <v>938</v>
      </c>
      <c r="F4" s="953" t="s">
        <v>939</v>
      </c>
      <c r="G4" s="954" t="s">
        <v>940</v>
      </c>
    </row>
    <row r="5" spans="1:9" ht="13.5" thickBot="1" x14ac:dyDescent="0.25">
      <c r="A5" s="955" t="s">
        <v>799</v>
      </c>
      <c r="B5" s="976" t="s">
        <v>579</v>
      </c>
      <c r="C5" s="957" t="s">
        <v>405</v>
      </c>
      <c r="D5" s="977" t="s">
        <v>579</v>
      </c>
      <c r="E5" s="959" t="s">
        <v>579</v>
      </c>
      <c r="F5" s="960" t="s">
        <v>579</v>
      </c>
      <c r="G5" s="961" t="s">
        <v>579</v>
      </c>
    </row>
    <row r="6" spans="1:9" ht="12" customHeight="1" x14ac:dyDescent="0.2">
      <c r="A6" s="490" t="s">
        <v>472</v>
      </c>
      <c r="B6" s="542">
        <v>33.852140614431271</v>
      </c>
      <c r="C6" s="962" t="s">
        <v>1130</v>
      </c>
      <c r="D6" s="542" t="s">
        <v>240</v>
      </c>
      <c r="E6" s="963">
        <v>33.852140614431271</v>
      </c>
      <c r="F6" s="963">
        <v>33.852140614431271</v>
      </c>
      <c r="G6" s="545" t="s">
        <v>551</v>
      </c>
      <c r="I6" s="978"/>
    </row>
    <row r="7" spans="1:9" ht="12" customHeight="1" x14ac:dyDescent="0.2">
      <c r="A7" s="497" t="s">
        <v>473</v>
      </c>
      <c r="B7" s="547">
        <v>17.039009583766614</v>
      </c>
      <c r="C7" s="964" t="s">
        <v>1130</v>
      </c>
      <c r="D7" s="547" t="s">
        <v>240</v>
      </c>
      <c r="E7" s="836">
        <v>17.039009583766614</v>
      </c>
      <c r="F7" s="836">
        <v>17.039009583766614</v>
      </c>
      <c r="G7" s="550" t="s">
        <v>551</v>
      </c>
      <c r="I7" s="978"/>
    </row>
    <row r="8" spans="1:9" ht="12" customHeight="1" x14ac:dyDescent="0.2">
      <c r="A8" s="497" t="s">
        <v>474</v>
      </c>
      <c r="B8" s="547">
        <v>0.22567895761042506</v>
      </c>
      <c r="C8" s="964" t="s">
        <v>1130</v>
      </c>
      <c r="D8" s="547" t="s">
        <v>240</v>
      </c>
      <c r="E8" s="836">
        <v>0.22567895761042506</v>
      </c>
      <c r="F8" s="836">
        <v>0.22567895761042506</v>
      </c>
      <c r="G8" s="550" t="s">
        <v>551</v>
      </c>
      <c r="I8" s="978"/>
    </row>
    <row r="9" spans="1:9" ht="12" customHeight="1" x14ac:dyDescent="0.2">
      <c r="A9" s="497" t="s">
        <v>475</v>
      </c>
      <c r="B9" s="547">
        <v>1.1284112307130212</v>
      </c>
      <c r="C9" s="964" t="s">
        <v>1130</v>
      </c>
      <c r="D9" s="547" t="s">
        <v>240</v>
      </c>
      <c r="E9" s="836">
        <v>1.1284112307130212</v>
      </c>
      <c r="F9" s="836">
        <v>1.1284112307130212</v>
      </c>
      <c r="G9" s="550" t="s">
        <v>551</v>
      </c>
      <c r="I9" s="978"/>
    </row>
    <row r="10" spans="1:9" ht="12" customHeight="1" x14ac:dyDescent="0.2">
      <c r="A10" s="497" t="s">
        <v>476</v>
      </c>
      <c r="B10" s="547">
        <v>0.22568171834703266</v>
      </c>
      <c r="C10" s="964" t="s">
        <v>1130</v>
      </c>
      <c r="D10" s="547" t="s">
        <v>240</v>
      </c>
      <c r="E10" s="836">
        <v>0.22568171834703266</v>
      </c>
      <c r="F10" s="836">
        <v>0.22568171834703266</v>
      </c>
      <c r="G10" s="550" t="s">
        <v>551</v>
      </c>
      <c r="I10" s="978"/>
    </row>
    <row r="11" spans="1:9" ht="12" customHeight="1" x14ac:dyDescent="0.2">
      <c r="A11" s="497" t="s">
        <v>477</v>
      </c>
      <c r="B11" s="547">
        <v>1.1284112307130212</v>
      </c>
      <c r="C11" s="964" t="s">
        <v>1130</v>
      </c>
      <c r="D11" s="547" t="s">
        <v>240</v>
      </c>
      <c r="E11" s="836">
        <v>1.1284112307130212</v>
      </c>
      <c r="F11" s="836">
        <v>1.1284112307130212</v>
      </c>
      <c r="G11" s="550" t="s">
        <v>551</v>
      </c>
      <c r="I11" s="978"/>
    </row>
    <row r="12" spans="1:9" ht="12" customHeight="1" x14ac:dyDescent="0.2">
      <c r="A12" s="497" t="s">
        <v>200</v>
      </c>
      <c r="B12" s="547">
        <v>131.03096035843424</v>
      </c>
      <c r="C12" s="964" t="s">
        <v>1130</v>
      </c>
      <c r="D12" s="547" t="s">
        <v>240</v>
      </c>
      <c r="E12" s="836">
        <v>131.03096035843424</v>
      </c>
      <c r="F12" s="836">
        <v>131.03096035843424</v>
      </c>
      <c r="G12" s="550">
        <v>149004.4165629714</v>
      </c>
      <c r="I12" s="978"/>
    </row>
    <row r="13" spans="1:9" ht="12" customHeight="1" x14ac:dyDescent="0.2">
      <c r="A13" s="497" t="s">
        <v>478</v>
      </c>
      <c r="B13" s="547">
        <v>36.600912741910484</v>
      </c>
      <c r="C13" s="964" t="s">
        <v>1130</v>
      </c>
      <c r="D13" s="547" t="s">
        <v>240</v>
      </c>
      <c r="E13" s="836">
        <v>36.600912741910484</v>
      </c>
      <c r="F13" s="836">
        <v>36.600912741910484</v>
      </c>
      <c r="G13" s="550">
        <v>3307.8546432463559</v>
      </c>
      <c r="I13" s="978"/>
    </row>
    <row r="14" spans="1:9" ht="12" customHeight="1" x14ac:dyDescent="0.2">
      <c r="A14" s="497" t="s">
        <v>479</v>
      </c>
      <c r="B14" s="547">
        <v>428.7808349200028</v>
      </c>
      <c r="C14" s="964" t="s">
        <v>1130</v>
      </c>
      <c r="D14" s="547" t="s">
        <v>240</v>
      </c>
      <c r="E14" s="836">
        <v>428.7808349200028</v>
      </c>
      <c r="F14" s="836">
        <v>428.7808349200028</v>
      </c>
      <c r="G14" s="550" t="s">
        <v>551</v>
      </c>
      <c r="I14" s="978"/>
    </row>
    <row r="15" spans="1:9" ht="12" customHeight="1" x14ac:dyDescent="0.2">
      <c r="A15" s="497" t="s">
        <v>480</v>
      </c>
      <c r="B15" s="547">
        <v>45.135227788967057</v>
      </c>
      <c r="C15" s="964" t="s">
        <v>1130</v>
      </c>
      <c r="D15" s="547" t="s">
        <v>240</v>
      </c>
      <c r="E15" s="836">
        <v>45.135227788967057</v>
      </c>
      <c r="F15" s="836">
        <v>45.135227788967057</v>
      </c>
      <c r="G15" s="550" t="s">
        <v>551</v>
      </c>
      <c r="I15" s="978"/>
    </row>
    <row r="16" spans="1:9" ht="12" customHeight="1" x14ac:dyDescent="0.2">
      <c r="A16" s="497" t="s">
        <v>481</v>
      </c>
      <c r="B16" s="547">
        <v>56.419034736208829</v>
      </c>
      <c r="C16" s="964" t="s">
        <v>1130</v>
      </c>
      <c r="D16" s="547" t="s">
        <v>240</v>
      </c>
      <c r="E16" s="836">
        <v>56.419034736208829</v>
      </c>
      <c r="F16" s="836">
        <v>56.419034736208829</v>
      </c>
      <c r="G16" s="550" t="s">
        <v>551</v>
      </c>
      <c r="I16" s="978"/>
    </row>
    <row r="17" spans="1:9" ht="12" customHeight="1" x14ac:dyDescent="0.2">
      <c r="A17" s="497" t="s">
        <v>482</v>
      </c>
      <c r="B17" s="547">
        <v>2.2568224614260424</v>
      </c>
      <c r="C17" s="964" t="s">
        <v>1130</v>
      </c>
      <c r="D17" s="547" t="s">
        <v>240</v>
      </c>
      <c r="E17" s="836">
        <v>2.2568224614260424</v>
      </c>
      <c r="F17" s="836">
        <v>2.2568224614260424</v>
      </c>
      <c r="G17" s="550" t="s">
        <v>551</v>
      </c>
      <c r="I17" s="978"/>
    </row>
    <row r="18" spans="1:9" ht="12" customHeight="1" x14ac:dyDescent="0.2">
      <c r="A18" s="497" t="s">
        <v>483</v>
      </c>
      <c r="B18" s="547">
        <v>0.3384999096280823</v>
      </c>
      <c r="C18" s="964" t="s">
        <v>1130</v>
      </c>
      <c r="D18" s="547" t="s">
        <v>240</v>
      </c>
      <c r="E18" s="836">
        <v>0.3384999096280823</v>
      </c>
      <c r="F18" s="836">
        <v>0.3384999096280823</v>
      </c>
      <c r="G18" s="550" t="s">
        <v>551</v>
      </c>
      <c r="I18" s="978"/>
    </row>
    <row r="19" spans="1:9" ht="12" customHeight="1" x14ac:dyDescent="0.2">
      <c r="A19" s="497" t="s">
        <v>484</v>
      </c>
      <c r="B19" s="547">
        <v>0.33851993385705859</v>
      </c>
      <c r="C19" s="964" t="s">
        <v>1130</v>
      </c>
      <c r="D19" s="547" t="s">
        <v>240</v>
      </c>
      <c r="E19" s="836">
        <v>0.33851993385705859</v>
      </c>
      <c r="F19" s="836">
        <v>0.33851993385705859</v>
      </c>
      <c r="G19" s="550" t="s">
        <v>551</v>
      </c>
      <c r="I19" s="978"/>
    </row>
    <row r="20" spans="1:9" ht="12" customHeight="1" x14ac:dyDescent="0.2">
      <c r="A20" s="497" t="s">
        <v>485</v>
      </c>
      <c r="B20" s="547">
        <v>0.22568143951263295</v>
      </c>
      <c r="C20" s="964" t="s">
        <v>1130</v>
      </c>
      <c r="D20" s="547" t="s">
        <v>240</v>
      </c>
      <c r="E20" s="836">
        <v>0.22568143951263295</v>
      </c>
      <c r="F20" s="836">
        <v>0.22568143951263295</v>
      </c>
      <c r="G20" s="550" t="s">
        <v>551</v>
      </c>
      <c r="I20" s="978"/>
    </row>
    <row r="21" spans="1:9" ht="12" customHeight="1" x14ac:dyDescent="0.2">
      <c r="A21" s="497" t="s">
        <v>486</v>
      </c>
      <c r="B21" s="547">
        <v>0.56420561535651059</v>
      </c>
      <c r="C21" s="964" t="s">
        <v>1130</v>
      </c>
      <c r="D21" s="547" t="s">
        <v>240</v>
      </c>
      <c r="E21" s="836">
        <v>0.56420561535651059</v>
      </c>
      <c r="F21" s="836">
        <v>0.56420561535651059</v>
      </c>
      <c r="G21" s="550" t="s">
        <v>551</v>
      </c>
      <c r="I21" s="978"/>
    </row>
    <row r="22" spans="1:9" ht="12" customHeight="1" x14ac:dyDescent="0.2">
      <c r="A22" s="497" t="s">
        <v>487</v>
      </c>
      <c r="B22" s="547">
        <v>0.75602410143670162</v>
      </c>
      <c r="C22" s="964" t="s">
        <v>1130</v>
      </c>
      <c r="D22" s="547" t="s">
        <v>240</v>
      </c>
      <c r="E22" s="836">
        <v>0.75602410143670162</v>
      </c>
      <c r="F22" s="836">
        <v>0.75602410143670162</v>
      </c>
      <c r="G22" s="550" t="s">
        <v>551</v>
      </c>
      <c r="I22" s="978"/>
    </row>
    <row r="23" spans="1:9" ht="12" customHeight="1" x14ac:dyDescent="0.2">
      <c r="A23" s="497" t="s">
        <v>488</v>
      </c>
      <c r="B23" s="547">
        <v>0.75603552457772427</v>
      </c>
      <c r="C23" s="964" t="s">
        <v>1130</v>
      </c>
      <c r="D23" s="547" t="s">
        <v>240</v>
      </c>
      <c r="E23" s="836">
        <v>0.75603552457772427</v>
      </c>
      <c r="F23" s="836">
        <v>0.75603552457772427</v>
      </c>
      <c r="G23" s="550" t="s">
        <v>551</v>
      </c>
      <c r="I23" s="978"/>
    </row>
    <row r="24" spans="1:9" ht="12" customHeight="1" x14ac:dyDescent="0.2">
      <c r="A24" s="497" t="s">
        <v>489</v>
      </c>
      <c r="B24" s="547">
        <v>7.5603552457772416</v>
      </c>
      <c r="C24" s="964" t="s">
        <v>1130</v>
      </c>
      <c r="D24" s="547" t="s">
        <v>240</v>
      </c>
      <c r="E24" s="836">
        <v>7.5603552457772416</v>
      </c>
      <c r="F24" s="836">
        <v>7.5603552457772416</v>
      </c>
      <c r="G24" s="550" t="s">
        <v>551</v>
      </c>
      <c r="I24" s="978"/>
    </row>
    <row r="25" spans="1:9" ht="12" customHeight="1" x14ac:dyDescent="0.2">
      <c r="A25" s="497" t="s">
        <v>490</v>
      </c>
      <c r="B25" s="547">
        <v>1.3540934768556252</v>
      </c>
      <c r="C25" s="964" t="s">
        <v>1130</v>
      </c>
      <c r="D25" s="547" t="s">
        <v>240</v>
      </c>
      <c r="E25" s="836">
        <v>1.3540934768556252</v>
      </c>
      <c r="F25" s="836">
        <v>1.3540934768556252</v>
      </c>
      <c r="G25" s="550" t="s">
        <v>551</v>
      </c>
      <c r="I25" s="978"/>
    </row>
    <row r="26" spans="1:9" ht="12" customHeight="1" x14ac:dyDescent="0.2">
      <c r="A26" s="497" t="s">
        <v>491</v>
      </c>
      <c r="B26" s="547">
        <v>0.3385233692139063</v>
      </c>
      <c r="C26" s="964" t="s">
        <v>1130</v>
      </c>
      <c r="D26" s="547" t="s">
        <v>240</v>
      </c>
      <c r="E26" s="836">
        <v>0.3385233692139063</v>
      </c>
      <c r="F26" s="836">
        <v>0.3385233692139063</v>
      </c>
      <c r="G26" s="550" t="s">
        <v>551</v>
      </c>
      <c r="I26" s="978"/>
    </row>
    <row r="27" spans="1:9" ht="12" customHeight="1" x14ac:dyDescent="0.2">
      <c r="A27" s="497" t="s">
        <v>492</v>
      </c>
      <c r="B27" s="547">
        <v>44.006412430497868</v>
      </c>
      <c r="C27" s="964" t="s">
        <v>1130</v>
      </c>
      <c r="D27" s="547" t="s">
        <v>240</v>
      </c>
      <c r="E27" s="836">
        <v>44.006412430497868</v>
      </c>
      <c r="F27" s="836">
        <v>44.006412430497868</v>
      </c>
      <c r="G27" s="550" t="s">
        <v>551</v>
      </c>
      <c r="I27" s="978"/>
    </row>
    <row r="28" spans="1:9" ht="12" customHeight="1" x14ac:dyDescent="0.2">
      <c r="A28" s="497" t="s">
        <v>493</v>
      </c>
      <c r="B28" s="547">
        <v>33.852336921390631</v>
      </c>
      <c r="C28" s="964" t="s">
        <v>1130</v>
      </c>
      <c r="D28" s="547" t="s">
        <v>240</v>
      </c>
      <c r="E28" s="836">
        <v>33.852336921390631</v>
      </c>
      <c r="F28" s="836">
        <v>33.852336921390631</v>
      </c>
      <c r="G28" s="550" t="s">
        <v>551</v>
      </c>
      <c r="I28" s="978"/>
    </row>
    <row r="29" spans="1:9" ht="12" customHeight="1" x14ac:dyDescent="0.2">
      <c r="A29" s="497" t="s">
        <v>494</v>
      </c>
      <c r="B29" s="547">
        <v>146.68949031414294</v>
      </c>
      <c r="C29" s="964" t="s">
        <v>1130</v>
      </c>
      <c r="D29" s="547" t="s">
        <v>240</v>
      </c>
      <c r="E29" s="836">
        <v>146.68949031414294</v>
      </c>
      <c r="F29" s="836">
        <v>146.68949031414294</v>
      </c>
      <c r="G29" s="550" t="s">
        <v>551</v>
      </c>
      <c r="I29" s="978"/>
    </row>
    <row r="30" spans="1:9" ht="12" customHeight="1" x14ac:dyDescent="0.2">
      <c r="A30" s="497" t="s">
        <v>495</v>
      </c>
      <c r="B30" s="547">
        <v>124.12187641965939</v>
      </c>
      <c r="C30" s="964" t="s">
        <v>1130</v>
      </c>
      <c r="D30" s="547" t="s">
        <v>240</v>
      </c>
      <c r="E30" s="836">
        <v>124.12187641965939</v>
      </c>
      <c r="F30" s="836">
        <v>124.12187641965939</v>
      </c>
      <c r="G30" s="550" t="s">
        <v>551</v>
      </c>
      <c r="I30" s="978"/>
    </row>
    <row r="31" spans="1:9" ht="12" customHeight="1" thickBot="1" x14ac:dyDescent="0.25">
      <c r="A31" s="507" t="s">
        <v>496</v>
      </c>
      <c r="B31" s="553">
        <v>56.420561535651053</v>
      </c>
      <c r="C31" s="965" t="s">
        <v>1130</v>
      </c>
      <c r="D31" s="553" t="s">
        <v>240</v>
      </c>
      <c r="E31" s="966">
        <v>56.420561535651053</v>
      </c>
      <c r="F31" s="966">
        <v>56.420561535651053</v>
      </c>
      <c r="G31" s="556" t="s">
        <v>551</v>
      </c>
      <c r="I31" s="978"/>
    </row>
    <row r="32" spans="1:9" ht="13.5" thickTop="1" x14ac:dyDescent="0.2">
      <c r="A32" s="967" t="s">
        <v>941</v>
      </c>
      <c r="B32" s="515"/>
      <c r="C32" s="470"/>
      <c r="D32" s="727"/>
      <c r="E32" s="727"/>
      <c r="F32" s="727"/>
      <c r="G32" s="522"/>
      <c r="H32" s="727"/>
    </row>
    <row r="33" spans="1:8" x14ac:dyDescent="0.2">
      <c r="A33" s="514" t="s">
        <v>238</v>
      </c>
      <c r="B33" s="968"/>
      <c r="C33" s="565"/>
      <c r="D33" s="727"/>
      <c r="E33" s="727"/>
      <c r="F33" s="727"/>
      <c r="G33" s="969"/>
      <c r="H33" s="727"/>
    </row>
    <row r="34" spans="1:8" ht="12" customHeight="1" x14ac:dyDescent="0.2">
      <c r="A34" s="518" t="s">
        <v>942</v>
      </c>
      <c r="B34" s="968"/>
      <c r="C34" s="565"/>
      <c r="D34" s="727"/>
      <c r="E34" s="727"/>
      <c r="F34" s="727"/>
      <c r="G34" s="969"/>
      <c r="H34" s="727"/>
    </row>
    <row r="35" spans="1:8" ht="12" customHeight="1" x14ac:dyDescent="0.2">
      <c r="A35" s="518" t="s">
        <v>943</v>
      </c>
      <c r="B35" s="470"/>
      <c r="C35" s="470"/>
      <c r="D35" s="470"/>
      <c r="E35" s="470"/>
      <c r="F35" s="470"/>
      <c r="G35" s="624"/>
      <c r="H35" s="470"/>
    </row>
    <row r="36" spans="1:8" ht="12" customHeight="1" x14ac:dyDescent="0.2">
      <c r="A36" s="518" t="s">
        <v>944</v>
      </c>
      <c r="B36" s="734"/>
      <c r="C36" s="734"/>
      <c r="D36" s="734"/>
      <c r="E36" s="734"/>
      <c r="F36" s="734"/>
      <c r="G36" s="735"/>
      <c r="H36" s="734"/>
    </row>
    <row r="37" spans="1:8" x14ac:dyDescent="0.2">
      <c r="A37" s="521" t="s">
        <v>945</v>
      </c>
      <c r="B37" s="968"/>
      <c r="C37" s="634"/>
      <c r="D37" s="727"/>
      <c r="E37" s="727"/>
      <c r="F37" s="515"/>
      <c r="G37" s="969"/>
    </row>
    <row r="38" spans="1:8" x14ac:dyDescent="0.2">
      <c r="A38" s="521" t="s">
        <v>946</v>
      </c>
      <c r="B38" s="505"/>
      <c r="C38" s="710"/>
      <c r="D38" s="727"/>
      <c r="E38" s="727"/>
      <c r="F38" s="727"/>
      <c r="G38" s="969"/>
    </row>
    <row r="39" spans="1:8" ht="24.75" customHeight="1" x14ac:dyDescent="0.2">
      <c r="A39" s="1525" t="s">
        <v>947</v>
      </c>
      <c r="B39" s="1523"/>
      <c r="C39" s="1523"/>
      <c r="D39" s="1523"/>
      <c r="E39" s="1523"/>
      <c r="F39" s="1523"/>
      <c r="G39" s="1524"/>
    </row>
    <row r="40" spans="1:8" ht="13.5" thickBot="1" x14ac:dyDescent="0.25">
      <c r="A40" s="523" t="s">
        <v>948</v>
      </c>
      <c r="B40" s="786"/>
      <c r="C40" s="525"/>
      <c r="D40" s="970"/>
      <c r="E40" s="970"/>
      <c r="F40" s="970"/>
      <c r="G40" s="971"/>
    </row>
    <row r="41" spans="1:8" ht="13.5" thickTop="1" x14ac:dyDescent="0.2">
      <c r="A41" s="469"/>
      <c r="B41" s="626"/>
      <c r="C41" s="469"/>
      <c r="D41" s="469"/>
      <c r="E41" s="469"/>
      <c r="F41" s="469"/>
      <c r="G41" s="469"/>
    </row>
  </sheetData>
  <sheetProtection algorithmName="SHA-512" hashValue="n9yKJi0nN9BEKSdn03xQE8njvLdaFHBqvPD+98nUrKtQ5iJhBG48o+SzKXvU9JxF8W6tlDNJNKs9vzu2+Nt+Fg==" saltValue="D5wvCIcXPPNQcuWGAHLD8A==" spinCount="100000" sheet="1" objects="1" scenarios="1"/>
  <mergeCells count="1">
    <mergeCell ref="A39:G39"/>
  </mergeCells>
  <phoneticPr fontId="0" type="noConversion"/>
  <printOptions horizontalCentered="1"/>
  <pageMargins left="0.15748031496063" right="0.15748031496063" top="0.511811023622047" bottom="0.98425196850393704" header="0.511811023622047" footer="0.511811023622047"/>
  <pageSetup scale="94" fitToHeight="4" orientation="landscape" r:id="rId1"/>
  <headerFooter alignWithMargins="0">
    <oddFooter>&amp;LHawai'i DOH
PFASs November 2024&amp;C&amp;8Page &amp;P of &amp;N&amp;R&amp;A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indexed="29"/>
    <pageSetUpPr fitToPage="1"/>
  </sheetPr>
  <dimension ref="A1:K115"/>
  <sheetViews>
    <sheetView showRuler="0" zoomScaleNormal="100" workbookViewId="0">
      <selection activeCell="F24" sqref="F24"/>
    </sheetView>
  </sheetViews>
  <sheetFormatPr defaultColWidth="9.140625" defaultRowHeight="12.75" x14ac:dyDescent="0.2"/>
  <cols>
    <col min="1" max="1" width="50.5703125" style="627" customWidth="1"/>
    <col min="2" max="2" width="13.7109375" style="627" customWidth="1"/>
    <col min="3" max="3" width="25.28515625" style="627" customWidth="1"/>
    <col min="4" max="6" width="13.7109375" style="627" customWidth="1"/>
    <col min="7" max="7" width="16.42578125" style="627" customWidth="1"/>
    <col min="8" max="16384" width="9.140625" style="627"/>
  </cols>
  <sheetData>
    <row r="1" spans="1:9" ht="31.5" x14ac:dyDescent="0.25">
      <c r="A1" s="471" t="s">
        <v>953</v>
      </c>
      <c r="B1" s="471"/>
      <c r="C1" s="780"/>
      <c r="D1" s="942"/>
      <c r="E1" s="942"/>
      <c r="F1" s="942"/>
      <c r="G1" s="942"/>
      <c r="H1" s="469"/>
      <c r="I1" s="469"/>
    </row>
    <row r="2" spans="1:9" ht="13.5" thickBot="1" x14ac:dyDescent="0.25">
      <c r="A2" s="504"/>
      <c r="B2" s="504"/>
      <c r="C2" s="504"/>
      <c r="D2" s="727"/>
      <c r="E2" s="727"/>
      <c r="F2" s="727"/>
      <c r="G2" s="727"/>
      <c r="H2" s="469"/>
      <c r="I2" s="469"/>
    </row>
    <row r="3" spans="1:9" ht="13.5" thickTop="1" x14ac:dyDescent="0.2">
      <c r="A3" s="774"/>
      <c r="B3" s="943" t="s">
        <v>933</v>
      </c>
      <c r="C3" s="944"/>
      <c r="D3" s="945" t="s">
        <v>950</v>
      </c>
      <c r="E3" s="946" t="s">
        <v>951</v>
      </c>
      <c r="F3" s="947" t="s">
        <v>951</v>
      </c>
      <c r="G3" s="948"/>
      <c r="H3" s="469"/>
      <c r="I3" s="469"/>
    </row>
    <row r="4" spans="1:9" x14ac:dyDescent="0.2">
      <c r="A4" s="794"/>
      <c r="B4" s="949" t="s">
        <v>937</v>
      </c>
      <c r="C4" s="950"/>
      <c r="D4" s="951" t="s">
        <v>954</v>
      </c>
      <c r="E4" s="952" t="s">
        <v>938</v>
      </c>
      <c r="F4" s="953" t="s">
        <v>939</v>
      </c>
      <c r="G4" s="954" t="s">
        <v>940</v>
      </c>
      <c r="H4" s="469"/>
      <c r="I4" s="469"/>
    </row>
    <row r="5" spans="1:9" ht="13.5" thickBot="1" x14ac:dyDescent="0.25">
      <c r="A5" s="955" t="s">
        <v>799</v>
      </c>
      <c r="B5" s="956" t="s">
        <v>579</v>
      </c>
      <c r="C5" s="957" t="s">
        <v>405</v>
      </c>
      <c r="D5" s="958" t="s">
        <v>579</v>
      </c>
      <c r="E5" s="959" t="s">
        <v>579</v>
      </c>
      <c r="F5" s="960" t="s">
        <v>579</v>
      </c>
      <c r="G5" s="961" t="s">
        <v>579</v>
      </c>
      <c r="H5" s="469"/>
      <c r="I5" s="469"/>
    </row>
    <row r="6" spans="1:9" ht="12" customHeight="1" x14ac:dyDescent="0.2">
      <c r="A6" s="490" t="s">
        <v>472</v>
      </c>
      <c r="B6" s="542">
        <v>68.176871649796553</v>
      </c>
      <c r="C6" s="962" t="s">
        <v>1130</v>
      </c>
      <c r="D6" s="542" t="s">
        <v>240</v>
      </c>
      <c r="E6" s="963">
        <v>68.176871649796553</v>
      </c>
      <c r="F6" s="963">
        <v>68.176871649796553</v>
      </c>
      <c r="G6" s="545" t="s">
        <v>551</v>
      </c>
      <c r="H6" s="469"/>
      <c r="I6" s="626"/>
    </row>
    <row r="7" spans="1:9" ht="12" customHeight="1" x14ac:dyDescent="0.2">
      <c r="A7" s="497" t="s">
        <v>473</v>
      </c>
      <c r="B7" s="547">
        <v>34.368764172335595</v>
      </c>
      <c r="C7" s="964" t="s">
        <v>1130</v>
      </c>
      <c r="D7" s="547" t="s">
        <v>240</v>
      </c>
      <c r="E7" s="836">
        <v>34.368764172335595</v>
      </c>
      <c r="F7" s="836">
        <v>34.368764172335595</v>
      </c>
      <c r="G7" s="550" t="s">
        <v>551</v>
      </c>
      <c r="H7" s="469"/>
      <c r="I7" s="626"/>
    </row>
    <row r="8" spans="1:9" ht="12" customHeight="1" x14ac:dyDescent="0.2">
      <c r="A8" s="497" t="s">
        <v>474</v>
      </c>
      <c r="B8" s="547">
        <v>0.45345316961357141</v>
      </c>
      <c r="C8" s="964" t="s">
        <v>1130</v>
      </c>
      <c r="D8" s="547" t="s">
        <v>240</v>
      </c>
      <c r="E8" s="836">
        <v>0.45345316961357141</v>
      </c>
      <c r="F8" s="836">
        <v>0.45345316961357141</v>
      </c>
      <c r="G8" s="550" t="s">
        <v>551</v>
      </c>
      <c r="H8" s="469"/>
      <c r="I8" s="626"/>
    </row>
    <row r="9" spans="1:9" ht="12" customHeight="1" x14ac:dyDescent="0.2">
      <c r="A9" s="497" t="s">
        <v>475</v>
      </c>
      <c r="B9" s="547">
        <v>2.2760770975056697</v>
      </c>
      <c r="C9" s="964" t="s">
        <v>1130</v>
      </c>
      <c r="D9" s="547" t="s">
        <v>240</v>
      </c>
      <c r="E9" s="836">
        <v>2.2760770975056697</v>
      </c>
      <c r="F9" s="836">
        <v>2.2760770975056697</v>
      </c>
      <c r="G9" s="550" t="s">
        <v>551</v>
      </c>
      <c r="H9" s="469"/>
      <c r="I9" s="626"/>
    </row>
    <row r="10" spans="1:9" ht="12" customHeight="1" x14ac:dyDescent="0.2">
      <c r="A10" s="497" t="s">
        <v>476</v>
      </c>
      <c r="B10" s="547">
        <v>0.45493166709593241</v>
      </c>
      <c r="C10" s="964" t="s">
        <v>1130</v>
      </c>
      <c r="D10" s="547" t="s">
        <v>240</v>
      </c>
      <c r="E10" s="836">
        <v>0.45493166709593241</v>
      </c>
      <c r="F10" s="836">
        <v>0.45493166709593241</v>
      </c>
      <c r="G10" s="550" t="s">
        <v>551</v>
      </c>
      <c r="H10" s="469"/>
      <c r="I10" s="626"/>
    </row>
    <row r="11" spans="1:9" ht="12" customHeight="1" x14ac:dyDescent="0.2">
      <c r="A11" s="497" t="s">
        <v>477</v>
      </c>
      <c r="B11" s="547">
        <v>2.2760770975056697</v>
      </c>
      <c r="C11" s="964" t="s">
        <v>1130</v>
      </c>
      <c r="D11" s="547" t="s">
        <v>240</v>
      </c>
      <c r="E11" s="836">
        <v>2.2760770975056697</v>
      </c>
      <c r="F11" s="836">
        <v>2.2760770975056697</v>
      </c>
      <c r="G11" s="550" t="s">
        <v>551</v>
      </c>
      <c r="H11" s="469"/>
      <c r="I11" s="626"/>
    </row>
    <row r="12" spans="1:9" ht="12" customHeight="1" x14ac:dyDescent="0.2">
      <c r="A12" s="497" t="s">
        <v>200</v>
      </c>
      <c r="B12" s="547">
        <v>197.93870304450087</v>
      </c>
      <c r="C12" s="964" t="s">
        <v>1130</v>
      </c>
      <c r="D12" s="547" t="s">
        <v>240</v>
      </c>
      <c r="E12" s="836">
        <v>197.93870304450087</v>
      </c>
      <c r="F12" s="836">
        <v>197.93870304450087</v>
      </c>
      <c r="G12" s="550">
        <v>149004.4165629714</v>
      </c>
      <c r="H12" s="469"/>
      <c r="I12" s="626"/>
    </row>
    <row r="13" spans="1:9" ht="12" customHeight="1" x14ac:dyDescent="0.2">
      <c r="A13" s="497" t="s">
        <v>478</v>
      </c>
      <c r="B13" s="547">
        <v>65.311465881931881</v>
      </c>
      <c r="C13" s="964" t="s">
        <v>1130</v>
      </c>
      <c r="D13" s="547" t="s">
        <v>240</v>
      </c>
      <c r="E13" s="836">
        <v>65.311465881931881</v>
      </c>
      <c r="F13" s="836">
        <v>65.311465881931881</v>
      </c>
      <c r="G13" s="550">
        <v>3307.8546432463559</v>
      </c>
      <c r="H13" s="469"/>
      <c r="I13" s="626"/>
    </row>
    <row r="14" spans="1:9" ht="12" customHeight="1" x14ac:dyDescent="0.2">
      <c r="A14" s="497" t="s">
        <v>479</v>
      </c>
      <c r="B14" s="547">
        <v>856.68585570140522</v>
      </c>
      <c r="C14" s="964" t="s">
        <v>1130</v>
      </c>
      <c r="D14" s="547" t="s">
        <v>240</v>
      </c>
      <c r="E14" s="836">
        <v>856.68585570140522</v>
      </c>
      <c r="F14" s="836">
        <v>856.68585570140522</v>
      </c>
      <c r="G14" s="550" t="s">
        <v>551</v>
      </c>
      <c r="H14" s="469"/>
      <c r="I14" s="626"/>
    </row>
    <row r="15" spans="1:9" ht="12" customHeight="1" x14ac:dyDescent="0.2">
      <c r="A15" s="497" t="s">
        <v>480</v>
      </c>
      <c r="B15" s="547">
        <v>90.390698692459637</v>
      </c>
      <c r="C15" s="964" t="s">
        <v>1130</v>
      </c>
      <c r="D15" s="547" t="s">
        <v>240</v>
      </c>
      <c r="E15" s="836">
        <v>90.390698692459637</v>
      </c>
      <c r="F15" s="836">
        <v>90.390698692459637</v>
      </c>
      <c r="G15" s="550" t="s">
        <v>551</v>
      </c>
      <c r="H15" s="469"/>
      <c r="I15" s="626"/>
    </row>
    <row r="16" spans="1:9" ht="12" customHeight="1" x14ac:dyDescent="0.2">
      <c r="A16" s="497" t="s">
        <v>481</v>
      </c>
      <c r="B16" s="547">
        <v>112.98837336557455</v>
      </c>
      <c r="C16" s="964" t="s">
        <v>1130</v>
      </c>
      <c r="D16" s="547" t="s">
        <v>240</v>
      </c>
      <c r="E16" s="836">
        <v>112.98837336557455</v>
      </c>
      <c r="F16" s="836">
        <v>112.98837336557455</v>
      </c>
      <c r="G16" s="550" t="s">
        <v>551</v>
      </c>
      <c r="H16" s="469"/>
      <c r="I16" s="626"/>
    </row>
    <row r="17" spans="1:11" ht="12" customHeight="1" x14ac:dyDescent="0.2">
      <c r="A17" s="497" t="s">
        <v>482</v>
      </c>
      <c r="B17" s="547">
        <v>4.5521541950113393</v>
      </c>
      <c r="C17" s="964" t="s">
        <v>1130</v>
      </c>
      <c r="D17" s="547" t="s">
        <v>240</v>
      </c>
      <c r="E17" s="836">
        <v>4.5521541950113393</v>
      </c>
      <c r="F17" s="836">
        <v>4.5521541950113393</v>
      </c>
      <c r="G17" s="550" t="s">
        <v>551</v>
      </c>
      <c r="H17" s="469"/>
      <c r="I17" s="626"/>
      <c r="J17" s="469"/>
      <c r="K17" s="469"/>
    </row>
    <row r="18" spans="1:11" ht="12" customHeight="1" x14ac:dyDescent="0.2">
      <c r="A18" s="497" t="s">
        <v>483</v>
      </c>
      <c r="B18" s="547">
        <v>0.67043116929740654</v>
      </c>
      <c r="C18" s="964" t="s">
        <v>1130</v>
      </c>
      <c r="D18" s="547" t="s">
        <v>240</v>
      </c>
      <c r="E18" s="836">
        <v>0.67043116929740654</v>
      </c>
      <c r="F18" s="836">
        <v>0.67043116929740654</v>
      </c>
      <c r="G18" s="550" t="s">
        <v>551</v>
      </c>
      <c r="H18" s="469"/>
      <c r="I18" s="626"/>
      <c r="J18" s="469"/>
      <c r="K18" s="469"/>
    </row>
    <row r="19" spans="1:11" ht="12" customHeight="1" x14ac:dyDescent="0.2">
      <c r="A19" s="497" t="s">
        <v>484</v>
      </c>
      <c r="B19" s="547">
        <v>0.68098004149923363</v>
      </c>
      <c r="C19" s="964" t="s">
        <v>1130</v>
      </c>
      <c r="D19" s="547" t="s">
        <v>240</v>
      </c>
      <c r="E19" s="836">
        <v>0.68098004149923363</v>
      </c>
      <c r="F19" s="836">
        <v>0.68098004149923363</v>
      </c>
      <c r="G19" s="550" t="s">
        <v>551</v>
      </c>
      <c r="H19" s="469"/>
      <c r="I19" s="626"/>
      <c r="J19" s="469"/>
      <c r="K19" s="469"/>
    </row>
    <row r="20" spans="1:11" ht="12" customHeight="1" x14ac:dyDescent="0.2">
      <c r="A20" s="497" t="s">
        <v>485</v>
      </c>
      <c r="B20" s="547">
        <v>0.45478190292617005</v>
      </c>
      <c r="C20" s="964" t="s">
        <v>1130</v>
      </c>
      <c r="D20" s="547" t="s">
        <v>240</v>
      </c>
      <c r="E20" s="836">
        <v>0.45478190292617005</v>
      </c>
      <c r="F20" s="836">
        <v>0.45478190292617005</v>
      </c>
      <c r="G20" s="550" t="s">
        <v>551</v>
      </c>
      <c r="H20" s="469"/>
      <c r="I20" s="626"/>
      <c r="J20" s="469"/>
      <c r="K20" s="469"/>
    </row>
    <row r="21" spans="1:11" ht="12" customHeight="1" x14ac:dyDescent="0.2">
      <c r="A21" s="497" t="s">
        <v>486</v>
      </c>
      <c r="B21" s="547">
        <v>1.1380385487528348</v>
      </c>
      <c r="C21" s="964" t="s">
        <v>1130</v>
      </c>
      <c r="D21" s="547" t="s">
        <v>240</v>
      </c>
      <c r="E21" s="836">
        <v>1.1380385487528348</v>
      </c>
      <c r="F21" s="836">
        <v>1.1380385487528348</v>
      </c>
      <c r="G21" s="550" t="s">
        <v>551</v>
      </c>
      <c r="H21" s="469"/>
      <c r="I21" s="626"/>
      <c r="J21" s="469"/>
      <c r="K21" s="469"/>
    </row>
    <row r="22" spans="1:11" ht="12" customHeight="1" x14ac:dyDescent="0.2">
      <c r="A22" s="497" t="s">
        <v>487</v>
      </c>
      <c r="B22" s="547">
        <v>1.518851123997514</v>
      </c>
      <c r="C22" s="964" t="s">
        <v>1130</v>
      </c>
      <c r="D22" s="547" t="s">
        <v>240</v>
      </c>
      <c r="E22" s="836">
        <v>1.518851123997514</v>
      </c>
      <c r="F22" s="836">
        <v>1.518851123997514</v>
      </c>
      <c r="G22" s="550" t="s">
        <v>551</v>
      </c>
      <c r="H22" s="469"/>
      <c r="I22" s="626"/>
      <c r="J22" s="469"/>
      <c r="K22" s="469"/>
    </row>
    <row r="23" spans="1:11" ht="12" customHeight="1" x14ac:dyDescent="0.2">
      <c r="A23" s="497" t="s">
        <v>488</v>
      </c>
      <c r="B23" s="547">
        <v>1.5249716553287982</v>
      </c>
      <c r="C23" s="964" t="s">
        <v>1130</v>
      </c>
      <c r="D23" s="547" t="s">
        <v>240</v>
      </c>
      <c r="E23" s="836">
        <v>1.5249716553287982</v>
      </c>
      <c r="F23" s="836">
        <v>1.5249716553287982</v>
      </c>
      <c r="G23" s="550" t="s">
        <v>551</v>
      </c>
      <c r="H23" s="469"/>
      <c r="I23" s="626"/>
      <c r="J23" s="469"/>
      <c r="K23" s="469"/>
    </row>
    <row r="24" spans="1:11" ht="12" customHeight="1" x14ac:dyDescent="0.2">
      <c r="A24" s="497" t="s">
        <v>489</v>
      </c>
      <c r="B24" s="547">
        <v>15.249716553287982</v>
      </c>
      <c r="C24" s="964" t="s">
        <v>1130</v>
      </c>
      <c r="D24" s="547" t="s">
        <v>240</v>
      </c>
      <c r="E24" s="836">
        <v>15.249716553287982</v>
      </c>
      <c r="F24" s="836">
        <v>15.249716553287982</v>
      </c>
      <c r="G24" s="550" t="s">
        <v>551</v>
      </c>
      <c r="H24" s="469"/>
      <c r="I24" s="626"/>
      <c r="J24" s="469"/>
      <c r="K24" s="469"/>
    </row>
    <row r="25" spans="1:11" ht="12" customHeight="1" x14ac:dyDescent="0.2">
      <c r="A25" s="497" t="s">
        <v>490</v>
      </c>
      <c r="B25" s="547">
        <v>2.7312925170068034</v>
      </c>
      <c r="C25" s="964" t="s">
        <v>1130</v>
      </c>
      <c r="D25" s="547" t="s">
        <v>240</v>
      </c>
      <c r="E25" s="836">
        <v>2.7312925170068034</v>
      </c>
      <c r="F25" s="836">
        <v>2.7312925170068034</v>
      </c>
      <c r="G25" s="550" t="s">
        <v>551</v>
      </c>
      <c r="H25" s="469"/>
      <c r="I25" s="626"/>
      <c r="J25" s="469"/>
      <c r="K25" s="469"/>
    </row>
    <row r="26" spans="1:11" ht="12" customHeight="1" x14ac:dyDescent="0.2">
      <c r="A26" s="497" t="s">
        <v>491</v>
      </c>
      <c r="B26" s="547">
        <v>0.68282312925170086</v>
      </c>
      <c r="C26" s="964" t="s">
        <v>1130</v>
      </c>
      <c r="D26" s="547" t="s">
        <v>240</v>
      </c>
      <c r="E26" s="836">
        <v>0.68282312925170086</v>
      </c>
      <c r="F26" s="836">
        <v>0.68282312925170086</v>
      </c>
      <c r="G26" s="550" t="s">
        <v>551</v>
      </c>
      <c r="H26" s="469"/>
      <c r="I26" s="626"/>
      <c r="J26" s="469"/>
      <c r="K26" s="469"/>
    </row>
    <row r="27" spans="1:11" ht="12" customHeight="1" x14ac:dyDescent="0.2">
      <c r="A27" s="497" t="s">
        <v>492</v>
      </c>
      <c r="B27" s="547">
        <v>87.901028580784626</v>
      </c>
      <c r="C27" s="964" t="s">
        <v>1130</v>
      </c>
      <c r="D27" s="547" t="s">
        <v>240</v>
      </c>
      <c r="E27" s="836">
        <v>87.901028580784626</v>
      </c>
      <c r="F27" s="836">
        <v>87.901028580784626</v>
      </c>
      <c r="G27" s="550" t="s">
        <v>551</v>
      </c>
      <c r="H27" s="469"/>
      <c r="I27" s="626"/>
      <c r="J27" s="469"/>
      <c r="K27" s="469"/>
    </row>
    <row r="28" spans="1:11" ht="12" customHeight="1" x14ac:dyDescent="0.2">
      <c r="A28" s="497" t="s">
        <v>493</v>
      </c>
      <c r="B28" s="547">
        <v>68.282312925170061</v>
      </c>
      <c r="C28" s="964" t="s">
        <v>1130</v>
      </c>
      <c r="D28" s="547" t="s">
        <v>240</v>
      </c>
      <c r="E28" s="836">
        <v>68.282312925170061</v>
      </c>
      <c r="F28" s="836">
        <v>68.282312925170061</v>
      </c>
      <c r="G28" s="550" t="s">
        <v>551</v>
      </c>
      <c r="H28" s="469"/>
      <c r="I28" s="626"/>
      <c r="J28" s="469"/>
      <c r="K28" s="469"/>
    </row>
    <row r="29" spans="1:11" ht="12" customHeight="1" x14ac:dyDescent="0.2">
      <c r="A29" s="497" t="s">
        <v>494</v>
      </c>
      <c r="B29" s="547">
        <v>293.76977075049376</v>
      </c>
      <c r="C29" s="964" t="s">
        <v>1130</v>
      </c>
      <c r="D29" s="547" t="s">
        <v>240</v>
      </c>
      <c r="E29" s="836">
        <v>293.76977075049376</v>
      </c>
      <c r="F29" s="836">
        <v>293.76977075049376</v>
      </c>
      <c r="G29" s="550" t="s">
        <v>551</v>
      </c>
      <c r="H29" s="469"/>
      <c r="I29" s="626"/>
      <c r="J29" s="469"/>
      <c r="K29" s="469"/>
    </row>
    <row r="30" spans="1:11" ht="12" customHeight="1" x14ac:dyDescent="0.2">
      <c r="A30" s="497" t="s">
        <v>495</v>
      </c>
      <c r="B30" s="547">
        <v>248.57442140426397</v>
      </c>
      <c r="C30" s="964" t="s">
        <v>1130</v>
      </c>
      <c r="D30" s="547" t="s">
        <v>240</v>
      </c>
      <c r="E30" s="836">
        <v>248.57442140426397</v>
      </c>
      <c r="F30" s="836">
        <v>248.57442140426397</v>
      </c>
      <c r="G30" s="550" t="s">
        <v>551</v>
      </c>
      <c r="H30" s="469"/>
      <c r="I30" s="626"/>
      <c r="J30" s="469"/>
      <c r="K30" s="469"/>
    </row>
    <row r="31" spans="1:11" ht="12" customHeight="1" thickBot="1" x14ac:dyDescent="0.25">
      <c r="A31" s="507" t="s">
        <v>496</v>
      </c>
      <c r="B31" s="553">
        <v>113.80385487528345</v>
      </c>
      <c r="C31" s="965" t="s">
        <v>1130</v>
      </c>
      <c r="D31" s="553" t="s">
        <v>240</v>
      </c>
      <c r="E31" s="966">
        <v>113.80385487528345</v>
      </c>
      <c r="F31" s="966">
        <v>113.80385487528345</v>
      </c>
      <c r="G31" s="556" t="s">
        <v>551</v>
      </c>
      <c r="H31" s="469"/>
      <c r="I31" s="626"/>
      <c r="J31" s="469"/>
      <c r="K31" s="469"/>
    </row>
    <row r="32" spans="1:11" ht="13.5" thickTop="1" x14ac:dyDescent="0.2">
      <c r="A32" s="967" t="s">
        <v>941</v>
      </c>
      <c r="B32" s="515"/>
      <c r="C32" s="470"/>
      <c r="D32" s="727"/>
      <c r="E32" s="727"/>
      <c r="F32" s="727"/>
      <c r="G32" s="522"/>
      <c r="H32" s="727"/>
      <c r="I32" s="519"/>
      <c r="J32" s="519"/>
      <c r="K32" s="519"/>
    </row>
    <row r="33" spans="1:11" x14ac:dyDescent="0.2">
      <c r="A33" s="514" t="s">
        <v>238</v>
      </c>
      <c r="B33" s="968"/>
      <c r="C33" s="565"/>
      <c r="D33" s="727"/>
      <c r="E33" s="727"/>
      <c r="F33" s="727"/>
      <c r="G33" s="969"/>
      <c r="H33" s="727"/>
      <c r="I33" s="519"/>
      <c r="J33" s="519"/>
      <c r="K33" s="519"/>
    </row>
    <row r="34" spans="1:11" ht="12" customHeight="1" x14ac:dyDescent="0.2">
      <c r="A34" s="518" t="s">
        <v>942</v>
      </c>
      <c r="B34" s="968"/>
      <c r="C34" s="565"/>
      <c r="D34" s="727"/>
      <c r="E34" s="727"/>
      <c r="F34" s="727"/>
      <c r="G34" s="969"/>
      <c r="H34" s="727"/>
      <c r="I34" s="519"/>
      <c r="J34" s="519"/>
      <c r="K34" s="519"/>
    </row>
    <row r="35" spans="1:11" ht="12" customHeight="1" x14ac:dyDescent="0.2">
      <c r="A35" s="518" t="s">
        <v>955</v>
      </c>
      <c r="B35" s="470"/>
      <c r="C35" s="470"/>
      <c r="D35" s="470"/>
      <c r="E35" s="470"/>
      <c r="F35" s="470"/>
      <c r="G35" s="624"/>
      <c r="H35" s="470"/>
      <c r="I35" s="519"/>
      <c r="J35" s="519"/>
      <c r="K35" s="519"/>
    </row>
    <row r="36" spans="1:11" ht="12" customHeight="1" x14ac:dyDescent="0.2">
      <c r="A36" s="518" t="s">
        <v>944</v>
      </c>
      <c r="B36" s="734"/>
      <c r="C36" s="734"/>
      <c r="D36" s="734"/>
      <c r="E36" s="734"/>
      <c r="F36" s="734"/>
      <c r="G36" s="735"/>
      <c r="H36" s="734"/>
      <c r="I36" s="519"/>
      <c r="J36" s="519"/>
      <c r="K36" s="519"/>
    </row>
    <row r="37" spans="1:11" x14ac:dyDescent="0.2">
      <c r="A37" s="521" t="s">
        <v>945</v>
      </c>
      <c r="B37" s="968"/>
      <c r="C37" s="634"/>
      <c r="D37" s="727"/>
      <c r="E37" s="727"/>
      <c r="F37" s="515"/>
      <c r="G37" s="969"/>
      <c r="H37" s="519"/>
      <c r="I37" s="519"/>
      <c r="J37" s="519"/>
      <c r="K37" s="519"/>
    </row>
    <row r="38" spans="1:11" x14ac:dyDescent="0.2">
      <c r="A38" s="521" t="s">
        <v>946</v>
      </c>
      <c r="B38" s="505"/>
      <c r="C38" s="710"/>
      <c r="D38" s="727"/>
      <c r="E38" s="727"/>
      <c r="F38" s="727"/>
      <c r="G38" s="969"/>
      <c r="H38" s="519"/>
      <c r="I38" s="519"/>
      <c r="J38" s="519"/>
      <c r="K38" s="519"/>
    </row>
    <row r="39" spans="1:11" ht="24.75" customHeight="1" x14ac:dyDescent="0.2">
      <c r="A39" s="1525" t="s">
        <v>947</v>
      </c>
      <c r="B39" s="1523"/>
      <c r="C39" s="1523"/>
      <c r="D39" s="1523"/>
      <c r="E39" s="1523"/>
      <c r="F39" s="1523"/>
      <c r="G39" s="1524"/>
      <c r="H39" s="519"/>
      <c r="I39" s="519"/>
      <c r="J39" s="519"/>
      <c r="K39" s="519"/>
    </row>
    <row r="40" spans="1:11" ht="13.5" thickBot="1" x14ac:dyDescent="0.25">
      <c r="A40" s="523" t="s">
        <v>948</v>
      </c>
      <c r="B40" s="786"/>
      <c r="C40" s="525"/>
      <c r="D40" s="970"/>
      <c r="E40" s="970"/>
      <c r="F40" s="970"/>
      <c r="G40" s="971"/>
      <c r="H40" s="519"/>
      <c r="I40" s="519"/>
      <c r="J40" s="519"/>
      <c r="K40" s="519"/>
    </row>
    <row r="41" spans="1:11" ht="13.5" thickTop="1" x14ac:dyDescent="0.2">
      <c r="A41" s="469"/>
      <c r="B41" s="626"/>
      <c r="C41" s="470"/>
      <c r="D41" s="727"/>
      <c r="E41" s="727"/>
      <c r="F41" s="727"/>
      <c r="G41" s="727"/>
      <c r="H41" s="469"/>
      <c r="I41" s="469"/>
      <c r="J41" s="469"/>
      <c r="K41" s="469"/>
    </row>
    <row r="42" spans="1:11" x14ac:dyDescent="0.2">
      <c r="A42" s="469"/>
      <c r="B42" s="626"/>
      <c r="C42" s="470"/>
      <c r="D42" s="727"/>
      <c r="E42" s="727"/>
      <c r="F42" s="727"/>
      <c r="G42" s="727"/>
      <c r="H42" s="469"/>
      <c r="I42" s="469"/>
      <c r="J42" s="469"/>
      <c r="K42" s="469"/>
    </row>
    <row r="43" spans="1:11" x14ac:dyDescent="0.2">
      <c r="A43" s="469"/>
      <c r="B43" s="626"/>
      <c r="C43" s="470"/>
      <c r="D43" s="727"/>
      <c r="E43" s="727"/>
      <c r="F43" s="727"/>
      <c r="G43" s="727"/>
      <c r="H43" s="469"/>
      <c r="I43" s="469"/>
      <c r="J43" s="469"/>
      <c r="K43" s="469"/>
    </row>
    <row r="44" spans="1:11" x14ac:dyDescent="0.2">
      <c r="A44" s="469"/>
      <c r="B44" s="626"/>
      <c r="C44" s="470"/>
      <c r="D44" s="727"/>
      <c r="E44" s="727"/>
      <c r="F44" s="727"/>
      <c r="G44" s="727"/>
      <c r="H44" s="469"/>
      <c r="I44" s="469"/>
      <c r="J44" s="469"/>
      <c r="K44" s="469"/>
    </row>
    <row r="45" spans="1:11" x14ac:dyDescent="0.2">
      <c r="A45" s="469"/>
      <c r="B45" s="469"/>
      <c r="C45" s="470"/>
      <c r="D45" s="727"/>
      <c r="E45" s="727"/>
      <c r="F45" s="727"/>
      <c r="G45" s="727"/>
      <c r="H45" s="469"/>
      <c r="I45" s="469"/>
      <c r="J45" s="469"/>
      <c r="K45" s="469"/>
    </row>
    <row r="46" spans="1:11" x14ac:dyDescent="0.2">
      <c r="A46" s="469"/>
      <c r="B46" s="469"/>
      <c r="C46" s="470"/>
      <c r="D46" s="727"/>
      <c r="E46" s="727"/>
      <c r="F46" s="727"/>
      <c r="G46" s="727"/>
      <c r="H46" s="469"/>
      <c r="I46" s="469"/>
      <c r="J46" s="469"/>
      <c r="K46" s="469"/>
    </row>
    <row r="47" spans="1:11" x14ac:dyDescent="0.2">
      <c r="A47" s="469"/>
      <c r="B47" s="469"/>
      <c r="C47" s="470"/>
      <c r="D47" s="727"/>
      <c r="E47" s="727"/>
      <c r="F47" s="727"/>
      <c r="G47" s="727"/>
      <c r="H47" s="469"/>
      <c r="I47" s="469"/>
      <c r="J47" s="469"/>
      <c r="K47" s="469"/>
    </row>
    <row r="48" spans="1:11" x14ac:dyDescent="0.2">
      <c r="A48" s="469"/>
      <c r="B48" s="469"/>
      <c r="C48" s="470"/>
      <c r="D48" s="727"/>
      <c r="E48" s="727"/>
      <c r="F48" s="727"/>
      <c r="G48" s="727"/>
      <c r="H48" s="469"/>
      <c r="I48" s="469"/>
      <c r="J48" s="469"/>
      <c r="K48" s="469"/>
    </row>
    <row r="49" spans="1:11" x14ac:dyDescent="0.2">
      <c r="A49" s="469"/>
      <c r="B49" s="469"/>
      <c r="C49" s="470"/>
      <c r="D49" s="469"/>
      <c r="E49" s="469"/>
      <c r="F49" s="469"/>
      <c r="G49" s="469"/>
      <c r="H49" s="469"/>
      <c r="I49" s="469"/>
      <c r="J49" s="469"/>
      <c r="K49" s="469"/>
    </row>
    <row r="50" spans="1:11" x14ac:dyDescent="0.2">
      <c r="A50" s="469"/>
      <c r="B50" s="469"/>
      <c r="C50" s="470"/>
      <c r="D50" s="469"/>
      <c r="E50" s="469"/>
      <c r="F50" s="469"/>
      <c r="G50" s="469"/>
      <c r="H50" s="469"/>
      <c r="I50" s="469"/>
      <c r="J50" s="469"/>
      <c r="K50" s="469"/>
    </row>
    <row r="51" spans="1:11" x14ac:dyDescent="0.2">
      <c r="A51" s="469"/>
      <c r="B51" s="469"/>
      <c r="C51" s="470"/>
      <c r="D51" s="469"/>
      <c r="E51" s="469"/>
      <c r="F51" s="469"/>
      <c r="G51" s="469"/>
      <c r="H51" s="469"/>
      <c r="I51" s="469"/>
      <c r="J51" s="469"/>
      <c r="K51" s="469"/>
    </row>
    <row r="52" spans="1:11" x14ac:dyDescent="0.2">
      <c r="A52" s="469"/>
      <c r="B52" s="469"/>
      <c r="C52" s="470"/>
      <c r="D52" s="469"/>
      <c r="E52" s="469"/>
      <c r="F52" s="469"/>
      <c r="G52" s="469"/>
      <c r="H52" s="469"/>
      <c r="I52" s="469"/>
      <c r="J52" s="469"/>
      <c r="K52" s="469"/>
    </row>
    <row r="53" spans="1:11" x14ac:dyDescent="0.2">
      <c r="A53" s="469"/>
      <c r="B53" s="469"/>
      <c r="C53" s="470"/>
      <c r="D53" s="469"/>
      <c r="E53" s="469"/>
      <c r="F53" s="469"/>
      <c r="G53" s="469"/>
      <c r="H53" s="469"/>
      <c r="I53" s="469"/>
      <c r="J53" s="469"/>
      <c r="K53" s="469"/>
    </row>
    <row r="54" spans="1:11" x14ac:dyDescent="0.2">
      <c r="A54" s="469"/>
      <c r="B54" s="469"/>
      <c r="C54" s="470"/>
      <c r="D54" s="469"/>
      <c r="E54" s="469"/>
      <c r="F54" s="469"/>
      <c r="G54" s="469"/>
      <c r="H54" s="469"/>
      <c r="I54" s="469"/>
      <c r="J54" s="469"/>
      <c r="K54" s="469"/>
    </row>
    <row r="55" spans="1:11" x14ac:dyDescent="0.2">
      <c r="A55" s="469"/>
      <c r="B55" s="469"/>
      <c r="C55" s="470"/>
      <c r="D55" s="469"/>
      <c r="E55" s="469"/>
      <c r="F55" s="469"/>
      <c r="G55" s="469"/>
      <c r="H55" s="469"/>
      <c r="I55" s="469"/>
      <c r="J55" s="469"/>
      <c r="K55" s="469"/>
    </row>
    <row r="56" spans="1:11" x14ac:dyDescent="0.2">
      <c r="A56" s="469"/>
      <c r="B56" s="469"/>
      <c r="C56" s="470"/>
      <c r="D56" s="469"/>
      <c r="E56" s="469"/>
      <c r="F56" s="469"/>
      <c r="G56" s="469"/>
      <c r="H56" s="469"/>
      <c r="I56" s="469"/>
      <c r="J56" s="469"/>
      <c r="K56" s="469"/>
    </row>
    <row r="57" spans="1:11" x14ac:dyDescent="0.2">
      <c r="A57" s="469"/>
      <c r="B57" s="469"/>
      <c r="C57" s="470"/>
      <c r="D57" s="469"/>
      <c r="E57" s="469"/>
      <c r="F57" s="469"/>
      <c r="G57" s="469"/>
      <c r="H57" s="469"/>
      <c r="I57" s="469"/>
      <c r="J57" s="469"/>
      <c r="K57" s="469"/>
    </row>
    <row r="58" spans="1:11" x14ac:dyDescent="0.2">
      <c r="A58" s="469"/>
      <c r="B58" s="469"/>
      <c r="C58" s="470"/>
      <c r="D58" s="469"/>
      <c r="E58" s="469"/>
      <c r="F58" s="469"/>
      <c r="G58" s="469"/>
      <c r="H58" s="469"/>
      <c r="I58" s="469"/>
      <c r="J58" s="469"/>
      <c r="K58" s="469"/>
    </row>
    <row r="59" spans="1:11" x14ac:dyDescent="0.2">
      <c r="A59" s="469"/>
      <c r="B59" s="469"/>
      <c r="C59" s="470"/>
      <c r="D59" s="469"/>
      <c r="E59" s="469"/>
      <c r="F59" s="469"/>
      <c r="G59" s="469"/>
      <c r="H59" s="469"/>
      <c r="I59" s="469"/>
      <c r="J59" s="469"/>
      <c r="K59" s="469"/>
    </row>
    <row r="60" spans="1:11" x14ac:dyDescent="0.2">
      <c r="A60" s="469"/>
      <c r="B60" s="469"/>
      <c r="C60" s="470"/>
      <c r="D60" s="469"/>
      <c r="E60" s="469"/>
      <c r="F60" s="469"/>
      <c r="G60" s="469"/>
      <c r="H60" s="469"/>
      <c r="I60" s="469"/>
      <c r="J60" s="469"/>
      <c r="K60" s="469"/>
    </row>
    <row r="61" spans="1:11" x14ac:dyDescent="0.2">
      <c r="A61" s="469"/>
      <c r="B61" s="469"/>
      <c r="C61" s="470"/>
      <c r="D61" s="469"/>
      <c r="E61" s="469"/>
      <c r="F61" s="469"/>
      <c r="G61" s="469"/>
      <c r="H61" s="469"/>
      <c r="I61" s="469"/>
      <c r="J61" s="469"/>
      <c r="K61" s="469"/>
    </row>
    <row r="62" spans="1:11" x14ac:dyDescent="0.2">
      <c r="A62" s="469"/>
      <c r="B62" s="469"/>
      <c r="C62" s="470"/>
      <c r="D62" s="469"/>
      <c r="E62" s="469"/>
      <c r="F62" s="469"/>
      <c r="G62" s="469"/>
      <c r="H62" s="469"/>
      <c r="I62" s="469"/>
      <c r="J62" s="469"/>
      <c r="K62" s="469"/>
    </row>
    <row r="63" spans="1:11" x14ac:dyDescent="0.2">
      <c r="A63" s="469"/>
      <c r="B63" s="469"/>
      <c r="C63" s="470"/>
      <c r="D63" s="469"/>
      <c r="E63" s="469"/>
      <c r="F63" s="469"/>
      <c r="G63" s="469"/>
      <c r="H63" s="469"/>
      <c r="I63" s="469"/>
      <c r="J63" s="469"/>
      <c r="K63" s="469"/>
    </row>
    <row r="64" spans="1:11" x14ac:dyDescent="0.2">
      <c r="A64" s="469"/>
      <c r="B64" s="469"/>
      <c r="C64" s="470"/>
      <c r="D64" s="469"/>
      <c r="E64" s="469"/>
      <c r="F64" s="469"/>
      <c r="G64" s="469"/>
      <c r="H64" s="469"/>
      <c r="I64" s="469"/>
      <c r="J64" s="469"/>
      <c r="K64" s="469"/>
    </row>
    <row r="65" spans="3:3" x14ac:dyDescent="0.2">
      <c r="C65" s="470"/>
    </row>
    <row r="66" spans="3:3" x14ac:dyDescent="0.2">
      <c r="C66" s="470"/>
    </row>
    <row r="67" spans="3:3" x14ac:dyDescent="0.2">
      <c r="C67" s="470"/>
    </row>
    <row r="68" spans="3:3" x14ac:dyDescent="0.2">
      <c r="C68" s="470"/>
    </row>
    <row r="69" spans="3:3" x14ac:dyDescent="0.2">
      <c r="C69" s="470"/>
    </row>
    <row r="70" spans="3:3" x14ac:dyDescent="0.2">
      <c r="C70" s="470"/>
    </row>
    <row r="71" spans="3:3" x14ac:dyDescent="0.2">
      <c r="C71" s="470"/>
    </row>
    <row r="72" spans="3:3" x14ac:dyDescent="0.2">
      <c r="C72" s="470"/>
    </row>
    <row r="73" spans="3:3" x14ac:dyDescent="0.2">
      <c r="C73" s="470"/>
    </row>
    <row r="74" spans="3:3" x14ac:dyDescent="0.2">
      <c r="C74" s="470"/>
    </row>
    <row r="75" spans="3:3" x14ac:dyDescent="0.2">
      <c r="C75" s="470"/>
    </row>
    <row r="76" spans="3:3" x14ac:dyDescent="0.2">
      <c r="C76" s="470"/>
    </row>
    <row r="77" spans="3:3" x14ac:dyDescent="0.2">
      <c r="C77" s="470"/>
    </row>
    <row r="78" spans="3:3" x14ac:dyDescent="0.2">
      <c r="C78" s="470"/>
    </row>
    <row r="79" spans="3:3" x14ac:dyDescent="0.2">
      <c r="C79" s="470"/>
    </row>
    <row r="80" spans="3:3" x14ac:dyDescent="0.2">
      <c r="C80" s="470"/>
    </row>
    <row r="81" spans="3:3" x14ac:dyDescent="0.2">
      <c r="C81" s="470"/>
    </row>
    <row r="82" spans="3:3" x14ac:dyDescent="0.2">
      <c r="C82" s="470"/>
    </row>
    <row r="83" spans="3:3" x14ac:dyDescent="0.2">
      <c r="C83" s="470"/>
    </row>
    <row r="84" spans="3:3" x14ac:dyDescent="0.2">
      <c r="C84" s="470"/>
    </row>
    <row r="85" spans="3:3" x14ac:dyDescent="0.2">
      <c r="C85" s="470"/>
    </row>
    <row r="86" spans="3:3" x14ac:dyDescent="0.2">
      <c r="C86" s="470"/>
    </row>
    <row r="87" spans="3:3" x14ac:dyDescent="0.2">
      <c r="C87" s="470"/>
    </row>
    <row r="88" spans="3:3" x14ac:dyDescent="0.2">
      <c r="C88" s="470"/>
    </row>
    <row r="89" spans="3:3" x14ac:dyDescent="0.2">
      <c r="C89" s="470"/>
    </row>
    <row r="90" spans="3:3" x14ac:dyDescent="0.2">
      <c r="C90" s="470"/>
    </row>
    <row r="91" spans="3:3" x14ac:dyDescent="0.2">
      <c r="C91" s="470"/>
    </row>
    <row r="92" spans="3:3" x14ac:dyDescent="0.2">
      <c r="C92" s="470"/>
    </row>
    <row r="93" spans="3:3" x14ac:dyDescent="0.2">
      <c r="C93" s="470"/>
    </row>
    <row r="94" spans="3:3" x14ac:dyDescent="0.2">
      <c r="C94" s="470"/>
    </row>
    <row r="95" spans="3:3" x14ac:dyDescent="0.2">
      <c r="C95" s="470"/>
    </row>
    <row r="96" spans="3:3" x14ac:dyDescent="0.2">
      <c r="C96" s="470"/>
    </row>
    <row r="97" spans="3:3" x14ac:dyDescent="0.2">
      <c r="C97" s="470"/>
    </row>
    <row r="98" spans="3:3" x14ac:dyDescent="0.2">
      <c r="C98" s="470"/>
    </row>
    <row r="99" spans="3:3" x14ac:dyDescent="0.2">
      <c r="C99" s="470"/>
    </row>
    <row r="100" spans="3:3" x14ac:dyDescent="0.2">
      <c r="C100" s="470"/>
    </row>
    <row r="101" spans="3:3" x14ac:dyDescent="0.2">
      <c r="C101" s="470"/>
    </row>
    <row r="102" spans="3:3" x14ac:dyDescent="0.2">
      <c r="C102" s="470"/>
    </row>
    <row r="103" spans="3:3" x14ac:dyDescent="0.2">
      <c r="C103" s="470"/>
    </row>
    <row r="104" spans="3:3" x14ac:dyDescent="0.2">
      <c r="C104" s="470"/>
    </row>
    <row r="105" spans="3:3" x14ac:dyDescent="0.2">
      <c r="C105" s="470"/>
    </row>
    <row r="106" spans="3:3" x14ac:dyDescent="0.2">
      <c r="C106" s="470"/>
    </row>
    <row r="107" spans="3:3" x14ac:dyDescent="0.2">
      <c r="C107" s="470"/>
    </row>
    <row r="108" spans="3:3" x14ac:dyDescent="0.2">
      <c r="C108" s="470"/>
    </row>
    <row r="109" spans="3:3" x14ac:dyDescent="0.2">
      <c r="C109" s="470"/>
    </row>
    <row r="110" spans="3:3" x14ac:dyDescent="0.2">
      <c r="C110" s="470"/>
    </row>
    <row r="111" spans="3:3" x14ac:dyDescent="0.2">
      <c r="C111" s="470"/>
    </row>
    <row r="112" spans="3:3" x14ac:dyDescent="0.2">
      <c r="C112" s="470"/>
    </row>
    <row r="113" spans="3:3" x14ac:dyDescent="0.2">
      <c r="C113" s="470"/>
    </row>
    <row r="114" spans="3:3" x14ac:dyDescent="0.2">
      <c r="C114" s="470"/>
    </row>
    <row r="115" spans="3:3" x14ac:dyDescent="0.2">
      <c r="C115" s="470"/>
    </row>
  </sheetData>
  <sheetProtection algorithmName="SHA-512" hashValue="Cnjn6HVXyyuiZg+B52tO+kcxA0o1xDd2eWiAz/98ilFsSjqqMpNNZIDKnTzQO8nmRPMZzy/RQAB8KmX5RK/i1Q==" saltValue="DvMvZsojL0NaLj7GnEklTA==" spinCount="100000" sheet="1" objects="1" scenarios="1"/>
  <mergeCells count="1">
    <mergeCell ref="A39:G39"/>
  </mergeCells>
  <phoneticPr fontId="0" type="noConversion"/>
  <printOptions horizontalCentered="1"/>
  <pageMargins left="0.15748031496063" right="0.15748031496063" top="0.511811023622047" bottom="0.98425196850393704" header="0.511811023622047" footer="0.511811023622047"/>
  <pageSetup scale="94" fitToHeight="4" orientation="landscape" r:id="rId1"/>
  <headerFooter alignWithMargins="0">
    <oddFooter>&amp;LHawai'i DOH
PFASs November 2024&amp;C&amp;8Page &amp;P of &amp;N&amp;R&amp;A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indexed="29"/>
    <pageSetUpPr fitToPage="1"/>
  </sheetPr>
  <dimension ref="A1:O68"/>
  <sheetViews>
    <sheetView zoomScaleNormal="100" workbookViewId="0">
      <selection activeCell="F24" sqref="F24"/>
    </sheetView>
  </sheetViews>
  <sheetFormatPr defaultColWidth="9.140625" defaultRowHeight="12.75" x14ac:dyDescent="0.2"/>
  <cols>
    <col min="1" max="1" width="47.140625" style="504" customWidth="1"/>
    <col min="2" max="2" width="4.28515625" style="504" customWidth="1"/>
    <col min="3" max="3" width="12.42578125" style="851" customWidth="1"/>
    <col min="4" max="4" width="12.5703125" style="851" customWidth="1"/>
    <col min="5" max="6" width="10.7109375" style="852" customWidth="1"/>
    <col min="7" max="7" width="12.7109375" style="852" customWidth="1"/>
    <col min="8" max="8" width="10.7109375" style="852" customWidth="1"/>
    <col min="9" max="9" width="12.5703125" style="852" customWidth="1"/>
    <col min="10" max="12" width="10.7109375" style="852" customWidth="1"/>
    <col min="13" max="13" width="11.28515625" style="852" customWidth="1"/>
    <col min="14" max="14" width="10.7109375" style="852" customWidth="1"/>
    <col min="15" max="15" width="13.42578125" style="519" customWidth="1"/>
    <col min="16" max="16384" width="9.140625" style="470"/>
  </cols>
  <sheetData>
    <row r="1" spans="1:15" ht="60" customHeight="1" x14ac:dyDescent="0.25">
      <c r="A1" s="1539" t="s">
        <v>956</v>
      </c>
      <c r="B1" s="1523"/>
      <c r="C1" s="1523"/>
      <c r="D1" s="1523"/>
      <c r="E1" s="1523"/>
      <c r="F1" s="1523"/>
      <c r="G1" s="1523"/>
      <c r="H1" s="1523"/>
      <c r="I1" s="1523"/>
      <c r="J1" s="1523"/>
      <c r="K1" s="1523"/>
      <c r="L1" s="1523"/>
      <c r="M1" s="1523"/>
      <c r="N1" s="1523"/>
      <c r="O1" s="1523"/>
    </row>
    <row r="2" spans="1:15" ht="13.5" thickBot="1" x14ac:dyDescent="0.25"/>
    <row r="3" spans="1:15" s="859" customFormat="1" ht="78" customHeight="1" thickTop="1" thickBot="1" x14ac:dyDescent="0.25">
      <c r="A3" s="853" t="s">
        <v>469</v>
      </c>
      <c r="B3" s="854" t="s">
        <v>957</v>
      </c>
      <c r="C3" s="855" t="s">
        <v>958</v>
      </c>
      <c r="D3" s="855" t="s">
        <v>959</v>
      </c>
      <c r="E3" s="855" t="s">
        <v>960</v>
      </c>
      <c r="F3" s="855" t="s">
        <v>961</v>
      </c>
      <c r="G3" s="855" t="s">
        <v>962</v>
      </c>
      <c r="H3" s="855" t="s">
        <v>963</v>
      </c>
      <c r="I3" s="855" t="s">
        <v>964</v>
      </c>
      <c r="J3" s="855" t="s">
        <v>965</v>
      </c>
      <c r="K3" s="855" t="s">
        <v>966</v>
      </c>
      <c r="L3" s="856" t="s">
        <v>967</v>
      </c>
      <c r="M3" s="857" t="s">
        <v>968</v>
      </c>
      <c r="N3" s="857" t="s">
        <v>969</v>
      </c>
      <c r="O3" s="858" t="s">
        <v>121</v>
      </c>
    </row>
    <row r="4" spans="1:15" s="859" customFormat="1" ht="12" customHeight="1" thickTop="1" x14ac:dyDescent="0.2">
      <c r="A4" s="860" t="s">
        <v>472</v>
      </c>
      <c r="B4" s="861"/>
      <c r="C4" s="862"/>
      <c r="D4" s="863"/>
      <c r="E4" s="863"/>
      <c r="F4" s="863"/>
      <c r="G4" s="863" t="s">
        <v>970</v>
      </c>
      <c r="H4" s="863" t="s">
        <v>970</v>
      </c>
      <c r="I4" s="863"/>
      <c r="J4" s="863"/>
      <c r="K4" s="863" t="s">
        <v>970</v>
      </c>
      <c r="L4" s="863"/>
      <c r="M4" s="863"/>
      <c r="N4" s="863"/>
      <c r="O4" s="864"/>
    </row>
    <row r="5" spans="1:15" s="859" customFormat="1" ht="12" customHeight="1" x14ac:dyDescent="0.2">
      <c r="A5" s="865" t="s">
        <v>473</v>
      </c>
      <c r="B5" s="861"/>
      <c r="C5" s="862"/>
      <c r="D5" s="863"/>
      <c r="E5" s="863"/>
      <c r="F5" s="863"/>
      <c r="G5" s="863"/>
      <c r="H5" s="863"/>
      <c r="I5" s="863"/>
      <c r="J5" s="863"/>
      <c r="K5" s="863"/>
      <c r="L5" s="863"/>
      <c r="M5" s="863"/>
      <c r="N5" s="863"/>
      <c r="O5" s="864"/>
    </row>
    <row r="6" spans="1:15" s="859" customFormat="1" ht="12" customHeight="1" x14ac:dyDescent="0.2">
      <c r="A6" s="865" t="s">
        <v>474</v>
      </c>
      <c r="B6" s="835"/>
      <c r="C6" s="866"/>
      <c r="D6" s="867"/>
      <c r="E6" s="867" t="s">
        <v>971</v>
      </c>
      <c r="F6" s="867"/>
      <c r="G6" s="867" t="s">
        <v>972</v>
      </c>
      <c r="H6" s="867" t="s">
        <v>973</v>
      </c>
      <c r="I6" s="867"/>
      <c r="J6" s="867" t="s">
        <v>974</v>
      </c>
      <c r="K6" s="867"/>
      <c r="L6" s="867" t="s">
        <v>975</v>
      </c>
      <c r="M6" s="867" t="s">
        <v>976</v>
      </c>
      <c r="N6" s="867"/>
      <c r="O6" s="868" t="s">
        <v>977</v>
      </c>
    </row>
    <row r="7" spans="1:15" s="859" customFormat="1" ht="12" customHeight="1" x14ac:dyDescent="0.2">
      <c r="A7" s="865" t="s">
        <v>475</v>
      </c>
      <c r="B7" s="835"/>
      <c r="C7" s="866"/>
      <c r="D7" s="867"/>
      <c r="E7" s="867"/>
      <c r="F7" s="867"/>
      <c r="G7" s="867"/>
      <c r="H7" s="867"/>
      <c r="I7" s="867"/>
      <c r="J7" s="867"/>
      <c r="K7" s="867"/>
      <c r="L7" s="867"/>
      <c r="M7" s="867"/>
      <c r="N7" s="867"/>
      <c r="O7" s="868"/>
    </row>
    <row r="8" spans="1:15" s="859" customFormat="1" ht="12" customHeight="1" x14ac:dyDescent="0.2">
      <c r="A8" s="865" t="s">
        <v>476</v>
      </c>
      <c r="B8" s="835"/>
      <c r="C8" s="866" t="s">
        <v>978</v>
      </c>
      <c r="D8" s="867" t="s">
        <v>979</v>
      </c>
      <c r="E8" s="867" t="s">
        <v>980</v>
      </c>
      <c r="F8" s="867" t="s">
        <v>981</v>
      </c>
      <c r="G8" s="867" t="s">
        <v>982</v>
      </c>
      <c r="H8" s="867" t="s">
        <v>981</v>
      </c>
      <c r="I8" s="867"/>
      <c r="J8" s="867" t="s">
        <v>983</v>
      </c>
      <c r="K8" s="867" t="s">
        <v>984</v>
      </c>
      <c r="L8" s="867" t="s">
        <v>975</v>
      </c>
      <c r="M8" s="867" t="s">
        <v>985</v>
      </c>
      <c r="N8" s="867"/>
      <c r="O8" s="868" t="s">
        <v>977</v>
      </c>
    </row>
    <row r="9" spans="1:15" s="859" customFormat="1" ht="12" customHeight="1" x14ac:dyDescent="0.2">
      <c r="A9" s="865" t="s">
        <v>477</v>
      </c>
      <c r="B9" s="869"/>
      <c r="C9" s="866"/>
      <c r="D9" s="867"/>
      <c r="E9" s="867"/>
      <c r="F9" s="867"/>
      <c r="G9" s="867"/>
      <c r="H9" s="867"/>
      <c r="I9" s="867"/>
      <c r="J9" s="867"/>
      <c r="K9" s="867"/>
      <c r="L9" s="867"/>
      <c r="M9" s="867"/>
      <c r="N9" s="867"/>
      <c r="O9" s="868"/>
    </row>
    <row r="10" spans="1:15" s="859" customFormat="1" ht="12" customHeight="1" x14ac:dyDescent="0.2">
      <c r="A10" s="865" t="s">
        <v>200</v>
      </c>
      <c r="B10" s="869"/>
      <c r="C10" s="866"/>
      <c r="D10" s="867"/>
      <c r="E10" s="867"/>
      <c r="F10" s="867"/>
      <c r="G10" s="867"/>
      <c r="H10" s="867"/>
      <c r="I10" s="867"/>
      <c r="J10" s="867"/>
      <c r="K10" s="867"/>
      <c r="L10" s="867"/>
      <c r="M10" s="867"/>
      <c r="N10" s="867"/>
      <c r="O10" s="868"/>
    </row>
    <row r="11" spans="1:15" s="859" customFormat="1" ht="12" customHeight="1" x14ac:dyDescent="0.2">
      <c r="A11" s="865" t="s">
        <v>478</v>
      </c>
      <c r="B11" s="869"/>
      <c r="C11" s="866"/>
      <c r="D11" s="867" t="s">
        <v>986</v>
      </c>
      <c r="E11" s="867" t="s">
        <v>986</v>
      </c>
      <c r="F11" s="867"/>
      <c r="G11" s="867"/>
      <c r="H11" s="867"/>
      <c r="I11" s="867" t="s">
        <v>986</v>
      </c>
      <c r="J11" s="867"/>
      <c r="K11" s="867" t="s">
        <v>986</v>
      </c>
      <c r="L11" s="867"/>
      <c r="M11" s="867"/>
      <c r="N11" s="867"/>
      <c r="O11" s="868"/>
    </row>
    <row r="12" spans="1:15" s="859" customFormat="1" ht="12" customHeight="1" x14ac:dyDescent="0.2">
      <c r="A12" s="865" t="s">
        <v>479</v>
      </c>
      <c r="B12" s="869"/>
      <c r="C12" s="866"/>
      <c r="D12" s="867"/>
      <c r="E12" s="867" t="s">
        <v>987</v>
      </c>
      <c r="F12" s="867"/>
      <c r="G12" s="867" t="s">
        <v>988</v>
      </c>
      <c r="H12" s="867" t="s">
        <v>987</v>
      </c>
      <c r="I12" s="867" t="s">
        <v>987</v>
      </c>
      <c r="J12" s="867"/>
      <c r="K12" s="867"/>
      <c r="L12" s="867"/>
      <c r="M12" s="867"/>
      <c r="N12" s="867"/>
      <c r="O12" s="868"/>
    </row>
    <row r="13" spans="1:15" s="859" customFormat="1" ht="12" customHeight="1" x14ac:dyDescent="0.2">
      <c r="A13" s="865" t="s">
        <v>480</v>
      </c>
      <c r="B13" s="869"/>
      <c r="C13" s="866"/>
      <c r="D13" s="867"/>
      <c r="E13" s="867"/>
      <c r="F13" s="867"/>
      <c r="G13" s="867"/>
      <c r="H13" s="867"/>
      <c r="I13" s="867"/>
      <c r="J13" s="867"/>
      <c r="K13" s="867"/>
      <c r="L13" s="867"/>
      <c r="M13" s="867"/>
      <c r="N13" s="867"/>
      <c r="O13" s="868"/>
    </row>
    <row r="14" spans="1:15" s="859" customFormat="1" ht="12" customHeight="1" x14ac:dyDescent="0.2">
      <c r="A14" s="865" t="s">
        <v>481</v>
      </c>
      <c r="B14" s="835"/>
      <c r="C14" s="866"/>
      <c r="D14" s="867"/>
      <c r="E14" s="867" t="s">
        <v>989</v>
      </c>
      <c r="F14" s="867" t="s">
        <v>990</v>
      </c>
      <c r="G14" s="867" t="s">
        <v>989</v>
      </c>
      <c r="H14" s="867" t="s">
        <v>991</v>
      </c>
      <c r="I14" s="867" t="s">
        <v>989</v>
      </c>
      <c r="J14" s="867"/>
      <c r="K14" s="867" t="s">
        <v>991</v>
      </c>
      <c r="L14" s="867"/>
      <c r="M14" s="867"/>
      <c r="N14" s="867"/>
      <c r="O14" s="868"/>
    </row>
    <row r="15" spans="1:15" s="859" customFormat="1" ht="12" customHeight="1" x14ac:dyDescent="0.2">
      <c r="A15" s="865" t="s">
        <v>482</v>
      </c>
      <c r="B15" s="835"/>
      <c r="C15" s="866"/>
      <c r="D15" s="867"/>
      <c r="E15" s="867" t="s">
        <v>992</v>
      </c>
      <c r="F15" s="867"/>
      <c r="G15" s="867"/>
      <c r="H15" s="867"/>
      <c r="I15" s="867"/>
      <c r="J15" s="867"/>
      <c r="K15" s="867"/>
      <c r="L15" s="867"/>
      <c r="M15" s="867"/>
      <c r="N15" s="867"/>
      <c r="O15" s="868"/>
    </row>
    <row r="16" spans="1:15" s="859" customFormat="1" ht="12" customHeight="1" x14ac:dyDescent="0.2">
      <c r="A16" s="865" t="s">
        <v>483</v>
      </c>
      <c r="B16" s="835"/>
      <c r="C16" s="866" t="s">
        <v>993</v>
      </c>
      <c r="D16" s="867" t="s">
        <v>994</v>
      </c>
      <c r="E16" s="867" t="s">
        <v>995</v>
      </c>
      <c r="F16" s="867" t="s">
        <v>996</v>
      </c>
      <c r="G16" s="867" t="s">
        <v>995</v>
      </c>
      <c r="H16" s="867" t="s">
        <v>997</v>
      </c>
      <c r="I16" s="867" t="s">
        <v>998</v>
      </c>
      <c r="J16" s="870" t="s">
        <v>999</v>
      </c>
      <c r="K16" s="867" t="s">
        <v>1000</v>
      </c>
      <c r="L16" s="867" t="s">
        <v>1001</v>
      </c>
      <c r="M16" s="867" t="s">
        <v>1002</v>
      </c>
      <c r="N16" s="867" t="s">
        <v>981</v>
      </c>
      <c r="O16" s="868" t="s">
        <v>977</v>
      </c>
    </row>
    <row r="17" spans="1:15" s="859" customFormat="1" ht="12" customHeight="1" x14ac:dyDescent="0.2">
      <c r="A17" s="865" t="s">
        <v>484</v>
      </c>
      <c r="B17" s="869"/>
      <c r="C17" s="866"/>
      <c r="D17" s="867" t="s">
        <v>1003</v>
      </c>
      <c r="E17" s="867"/>
      <c r="F17" s="867"/>
      <c r="G17" s="867" t="s">
        <v>992</v>
      </c>
      <c r="H17" s="867"/>
      <c r="I17" s="867"/>
      <c r="J17" s="867"/>
      <c r="K17" s="867"/>
      <c r="L17" s="867"/>
      <c r="M17" s="867"/>
      <c r="N17" s="867"/>
      <c r="O17" s="868" t="s">
        <v>977</v>
      </c>
    </row>
    <row r="18" spans="1:15" s="859" customFormat="1" ht="12" customHeight="1" x14ac:dyDescent="0.2">
      <c r="A18" s="865" t="s">
        <v>485</v>
      </c>
      <c r="B18" s="835"/>
      <c r="C18" s="866"/>
      <c r="D18" s="867" t="s">
        <v>981</v>
      </c>
      <c r="E18" s="867"/>
      <c r="F18" s="867"/>
      <c r="G18" s="867" t="s">
        <v>992</v>
      </c>
      <c r="H18" s="867"/>
      <c r="I18" s="867"/>
      <c r="J18" s="867" t="s">
        <v>979</v>
      </c>
      <c r="K18" s="867"/>
      <c r="L18" s="867"/>
      <c r="M18" s="867"/>
      <c r="N18" s="867"/>
      <c r="O18" s="868"/>
    </row>
    <row r="19" spans="1:15" s="859" customFormat="1" ht="12" customHeight="1" x14ac:dyDescent="0.2">
      <c r="A19" s="865" t="s">
        <v>486</v>
      </c>
      <c r="B19" s="835"/>
      <c r="C19" s="866"/>
      <c r="D19" s="867"/>
      <c r="E19" s="867"/>
      <c r="F19" s="867"/>
      <c r="G19" s="867" t="s">
        <v>992</v>
      </c>
      <c r="H19" s="867"/>
      <c r="I19" s="867"/>
      <c r="J19" s="867"/>
      <c r="K19" s="867"/>
      <c r="L19" s="867"/>
      <c r="M19" s="867"/>
      <c r="N19" s="867"/>
      <c r="O19" s="868"/>
    </row>
    <row r="20" spans="1:15" s="859" customFormat="1" ht="12" customHeight="1" x14ac:dyDescent="0.2">
      <c r="A20" s="865" t="s">
        <v>487</v>
      </c>
      <c r="B20" s="835"/>
      <c r="C20" s="866"/>
      <c r="D20" s="867"/>
      <c r="E20" s="867"/>
      <c r="F20" s="867"/>
      <c r="G20" s="867"/>
      <c r="H20" s="867"/>
      <c r="I20" s="867"/>
      <c r="J20" s="867"/>
      <c r="K20" s="867"/>
      <c r="L20" s="867"/>
      <c r="M20" s="867"/>
      <c r="N20" s="867"/>
      <c r="O20" s="868"/>
    </row>
    <row r="21" spans="1:15" s="859" customFormat="1" ht="12" customHeight="1" x14ac:dyDescent="0.2">
      <c r="A21" s="865" t="s">
        <v>488</v>
      </c>
      <c r="B21" s="835"/>
      <c r="C21" s="866"/>
      <c r="D21" s="867"/>
      <c r="E21" s="867"/>
      <c r="F21" s="867"/>
      <c r="G21" s="867"/>
      <c r="H21" s="867"/>
      <c r="I21" s="867"/>
      <c r="J21" s="867"/>
      <c r="K21" s="867"/>
      <c r="L21" s="867"/>
      <c r="M21" s="867"/>
      <c r="N21" s="867"/>
      <c r="O21" s="868"/>
    </row>
    <row r="22" spans="1:15" s="859" customFormat="1" ht="12" customHeight="1" x14ac:dyDescent="0.2">
      <c r="A22" s="865" t="s">
        <v>489</v>
      </c>
      <c r="B22" s="835"/>
      <c r="C22" s="866"/>
      <c r="D22" s="867"/>
      <c r="E22" s="867"/>
      <c r="F22" s="867"/>
      <c r="G22" s="867"/>
      <c r="H22" s="867"/>
      <c r="I22" s="867"/>
      <c r="J22" s="867"/>
      <c r="K22" s="867"/>
      <c r="L22" s="867"/>
      <c r="M22" s="867"/>
      <c r="N22" s="867"/>
      <c r="O22" s="868"/>
    </row>
    <row r="23" spans="1:15" s="859" customFormat="1" ht="12" customHeight="1" x14ac:dyDescent="0.2">
      <c r="A23" s="865" t="s">
        <v>490</v>
      </c>
      <c r="B23" s="835"/>
      <c r="C23" s="866"/>
      <c r="D23" s="867"/>
      <c r="E23" s="867"/>
      <c r="F23" s="867"/>
      <c r="G23" s="867"/>
      <c r="H23" s="867"/>
      <c r="I23" s="867"/>
      <c r="J23" s="867"/>
      <c r="K23" s="867"/>
      <c r="L23" s="867"/>
      <c r="M23" s="867"/>
      <c r="N23" s="867"/>
      <c r="O23" s="868"/>
    </row>
    <row r="24" spans="1:15" s="859" customFormat="1" ht="12" customHeight="1" x14ac:dyDescent="0.2">
      <c r="A24" s="871" t="s">
        <v>491</v>
      </c>
      <c r="B24" s="835"/>
      <c r="C24" s="866" t="s">
        <v>1004</v>
      </c>
      <c r="D24" s="867"/>
      <c r="E24" s="870" t="s">
        <v>1004</v>
      </c>
      <c r="F24" s="867"/>
      <c r="G24" s="870" t="s">
        <v>1004</v>
      </c>
      <c r="H24" s="867"/>
      <c r="I24" s="870" t="s">
        <v>1004</v>
      </c>
      <c r="J24" s="870" t="s">
        <v>1004</v>
      </c>
      <c r="K24" s="867"/>
      <c r="L24" s="867"/>
      <c r="M24" s="867"/>
      <c r="N24" s="867"/>
      <c r="O24" s="868"/>
    </row>
    <row r="25" spans="1:15" s="859" customFormat="1" ht="12" customHeight="1" x14ac:dyDescent="0.2">
      <c r="A25" s="865" t="s">
        <v>492</v>
      </c>
      <c r="B25" s="835"/>
      <c r="C25" s="870"/>
      <c r="D25" s="867"/>
      <c r="E25" s="870" t="s">
        <v>1005</v>
      </c>
      <c r="F25" s="867" t="s">
        <v>1006</v>
      </c>
      <c r="G25" s="870"/>
      <c r="H25" s="867"/>
      <c r="I25" s="870"/>
      <c r="J25" s="870"/>
      <c r="K25" s="867" t="s">
        <v>1007</v>
      </c>
      <c r="L25" s="867"/>
      <c r="M25" s="867"/>
      <c r="N25" s="867"/>
      <c r="O25" s="868" t="s">
        <v>1007</v>
      </c>
    </row>
    <row r="26" spans="1:15" s="859" customFormat="1" ht="12" customHeight="1" x14ac:dyDescent="0.2">
      <c r="A26" s="865" t="s">
        <v>493</v>
      </c>
      <c r="B26" s="872"/>
      <c r="C26" s="870"/>
      <c r="D26" s="867" t="s">
        <v>1008</v>
      </c>
      <c r="E26" s="870"/>
      <c r="F26" s="867"/>
      <c r="G26" s="867" t="s">
        <v>1008</v>
      </c>
      <c r="H26" s="867"/>
      <c r="I26" s="867" t="s">
        <v>1008</v>
      </c>
      <c r="J26" s="870"/>
      <c r="K26" s="867"/>
      <c r="L26" s="867"/>
      <c r="M26" s="867"/>
      <c r="N26" s="867"/>
      <c r="O26" s="868"/>
    </row>
    <row r="27" spans="1:15" s="859" customFormat="1" ht="12" customHeight="1" x14ac:dyDescent="0.2">
      <c r="A27" s="865" t="s">
        <v>494</v>
      </c>
      <c r="B27" s="872"/>
      <c r="C27" s="870"/>
      <c r="D27" s="867"/>
      <c r="E27" s="867" t="s">
        <v>1009</v>
      </c>
      <c r="F27" s="867"/>
      <c r="G27" s="867" t="s">
        <v>1009</v>
      </c>
      <c r="H27" s="867" t="s">
        <v>1009</v>
      </c>
      <c r="I27" s="867"/>
      <c r="J27" s="870"/>
      <c r="K27" s="867"/>
      <c r="L27" s="867"/>
      <c r="M27" s="867"/>
      <c r="N27" s="867"/>
      <c r="O27" s="868" t="s">
        <v>1009</v>
      </c>
    </row>
    <row r="28" spans="1:15" s="859" customFormat="1" ht="12" customHeight="1" x14ac:dyDescent="0.2">
      <c r="A28" s="865" t="s">
        <v>495</v>
      </c>
      <c r="B28" s="872"/>
      <c r="C28" s="870"/>
      <c r="D28" s="867"/>
      <c r="E28" s="867" t="s">
        <v>1009</v>
      </c>
      <c r="F28" s="867"/>
      <c r="G28" s="867" t="s">
        <v>1009</v>
      </c>
      <c r="H28" s="867"/>
      <c r="I28" s="867"/>
      <c r="J28" s="870"/>
      <c r="K28" s="867" t="s">
        <v>1009</v>
      </c>
      <c r="L28" s="867"/>
      <c r="M28" s="867"/>
      <c r="N28" s="867"/>
      <c r="O28" s="868"/>
    </row>
    <row r="29" spans="1:15" s="859" customFormat="1" ht="12" customHeight="1" thickBot="1" x14ac:dyDescent="0.25">
      <c r="A29" s="873" t="s">
        <v>496</v>
      </c>
      <c r="B29" s="874"/>
      <c r="C29" s="875"/>
      <c r="D29" s="876"/>
      <c r="E29" s="875"/>
      <c r="F29" s="876"/>
      <c r="G29" s="875" t="s">
        <v>1009</v>
      </c>
      <c r="H29" s="876"/>
      <c r="I29" s="876"/>
      <c r="J29" s="875" t="s">
        <v>1009</v>
      </c>
      <c r="K29" s="876"/>
      <c r="L29" s="876"/>
      <c r="M29" s="876"/>
      <c r="N29" s="876"/>
      <c r="O29" s="877"/>
    </row>
    <row r="30" spans="1:15" ht="11.25" customHeight="1" thickTop="1" x14ac:dyDescent="0.2">
      <c r="A30" s="878" t="s">
        <v>238</v>
      </c>
      <c r="C30" s="470"/>
      <c r="D30" s="470"/>
      <c r="E30" s="470"/>
      <c r="F30" s="470"/>
      <c r="G30" s="470"/>
      <c r="H30" s="470"/>
      <c r="I30" s="470"/>
      <c r="J30" s="470"/>
      <c r="K30" s="470"/>
      <c r="L30" s="470"/>
      <c r="M30" s="470"/>
      <c r="N30" s="470"/>
      <c r="O30" s="470"/>
    </row>
    <row r="31" spans="1:15" ht="11.25" customHeight="1" x14ac:dyDescent="0.2">
      <c r="A31" s="625" t="s">
        <v>1010</v>
      </c>
      <c r="E31" s="851"/>
      <c r="F31" s="851"/>
      <c r="G31" s="851"/>
      <c r="H31" s="851"/>
      <c r="I31" s="851"/>
      <c r="J31" s="851"/>
      <c r="K31" s="851"/>
      <c r="L31" s="851"/>
      <c r="M31" s="851"/>
      <c r="N31" s="851"/>
      <c r="O31" s="879"/>
    </row>
    <row r="32" spans="1:15" s="519" customFormat="1" ht="15.75" thickBot="1" x14ac:dyDescent="0.3">
      <c r="A32" s="880" t="s">
        <v>739</v>
      </c>
      <c r="B32" s="880"/>
      <c r="C32" s="881"/>
      <c r="D32" s="881"/>
      <c r="E32" s="881"/>
      <c r="F32" s="881"/>
      <c r="G32" s="881"/>
      <c r="H32" s="881"/>
      <c r="I32" s="881"/>
      <c r="J32" s="881"/>
      <c r="K32" s="881"/>
      <c r="L32" s="881"/>
      <c r="M32" s="881"/>
      <c r="N32" s="881"/>
      <c r="O32" s="882"/>
    </row>
    <row r="33" spans="1:15" s="888" customFormat="1" ht="48.75" thickTop="1" x14ac:dyDescent="0.2">
      <c r="A33" s="883" t="s">
        <v>1011</v>
      </c>
      <c r="B33" s="884"/>
      <c r="C33" s="885"/>
      <c r="D33" s="885"/>
      <c r="E33" s="885" t="s">
        <v>1012</v>
      </c>
      <c r="F33" s="885" t="s">
        <v>1013</v>
      </c>
      <c r="G33" s="885" t="s">
        <v>1014</v>
      </c>
      <c r="H33" s="885" t="s">
        <v>1015</v>
      </c>
      <c r="I33" s="886"/>
      <c r="J33" s="885" t="s">
        <v>1016</v>
      </c>
      <c r="K33" s="885"/>
      <c r="L33" s="886"/>
      <c r="M33" s="885" t="s">
        <v>1017</v>
      </c>
      <c r="N33" s="885" t="s">
        <v>1018</v>
      </c>
      <c r="O33" s="887"/>
    </row>
    <row r="34" spans="1:15" s="894" customFormat="1" ht="72" x14ac:dyDescent="0.2">
      <c r="A34" s="889" t="s">
        <v>1019</v>
      </c>
      <c r="B34" s="890"/>
      <c r="C34" s="891"/>
      <c r="D34" s="891" t="s">
        <v>1020</v>
      </c>
      <c r="E34" s="891" t="s">
        <v>1021</v>
      </c>
      <c r="F34" s="891"/>
      <c r="G34" s="891" t="s">
        <v>1022</v>
      </c>
      <c r="H34" s="892" t="s">
        <v>1015</v>
      </c>
      <c r="I34" s="891" t="s">
        <v>1023</v>
      </c>
      <c r="J34" s="891" t="s">
        <v>1024</v>
      </c>
      <c r="K34" s="891" t="s">
        <v>1025</v>
      </c>
      <c r="L34" s="891"/>
      <c r="M34" s="891" t="s">
        <v>1026</v>
      </c>
      <c r="N34" s="891"/>
      <c r="O34" s="893"/>
    </row>
    <row r="35" spans="1:15" s="899" customFormat="1" ht="60" x14ac:dyDescent="0.2">
      <c r="A35" s="895" t="s">
        <v>1027</v>
      </c>
      <c r="B35" s="896"/>
      <c r="C35" s="891" t="s">
        <v>1028</v>
      </c>
      <c r="D35" s="891"/>
      <c r="E35" s="897"/>
      <c r="F35" s="897"/>
      <c r="G35" s="897"/>
      <c r="H35" s="897"/>
      <c r="I35" s="897"/>
      <c r="J35" s="891" t="s">
        <v>1029</v>
      </c>
      <c r="K35" s="891" t="s">
        <v>1030</v>
      </c>
      <c r="L35" s="897"/>
      <c r="M35" s="897"/>
      <c r="N35" s="897"/>
      <c r="O35" s="898"/>
    </row>
    <row r="36" spans="1:15" s="900" customFormat="1" ht="72" x14ac:dyDescent="0.2">
      <c r="A36" s="895" t="s">
        <v>1031</v>
      </c>
      <c r="B36" s="896"/>
      <c r="C36" s="891"/>
      <c r="D36" s="891"/>
      <c r="E36" s="891" t="s">
        <v>1032</v>
      </c>
      <c r="F36" s="891"/>
      <c r="G36" s="891" t="s">
        <v>1033</v>
      </c>
      <c r="H36" s="891" t="s">
        <v>1034</v>
      </c>
      <c r="I36" s="891" t="s">
        <v>1035</v>
      </c>
      <c r="J36" s="891"/>
      <c r="K36" s="891"/>
      <c r="L36" s="891"/>
      <c r="M36" s="891"/>
      <c r="N36" s="891"/>
      <c r="O36" s="893"/>
    </row>
    <row r="37" spans="1:15" s="903" customFormat="1" ht="79.349999999999994" customHeight="1" x14ac:dyDescent="0.2">
      <c r="A37" s="901" t="s">
        <v>1036</v>
      </c>
      <c r="B37" s="902"/>
      <c r="C37" s="891"/>
      <c r="D37" s="891" t="s">
        <v>1037</v>
      </c>
      <c r="E37" s="891" t="s">
        <v>1038</v>
      </c>
      <c r="F37" s="891"/>
      <c r="G37" s="891"/>
      <c r="H37" s="891" t="s">
        <v>1039</v>
      </c>
      <c r="I37" s="891"/>
      <c r="J37" s="891"/>
      <c r="K37" s="891"/>
      <c r="L37" s="891"/>
      <c r="M37" s="891"/>
      <c r="N37" s="891"/>
      <c r="O37" s="893"/>
    </row>
    <row r="38" spans="1:15" s="900" customFormat="1" ht="89.1" customHeight="1" x14ac:dyDescent="0.2">
      <c r="A38" s="901" t="s">
        <v>1040</v>
      </c>
      <c r="B38" s="902"/>
      <c r="C38" s="891" t="s">
        <v>1041</v>
      </c>
      <c r="D38" s="891" t="s">
        <v>1020</v>
      </c>
      <c r="E38" s="891" t="s">
        <v>1042</v>
      </c>
      <c r="F38" s="891" t="s">
        <v>1043</v>
      </c>
      <c r="G38" s="891" t="s">
        <v>1044</v>
      </c>
      <c r="H38" s="891" t="s">
        <v>1045</v>
      </c>
      <c r="I38" s="891"/>
      <c r="J38" s="891" t="s">
        <v>1046</v>
      </c>
      <c r="K38" s="891" t="s">
        <v>1047</v>
      </c>
      <c r="L38" s="891"/>
      <c r="M38" s="891"/>
      <c r="N38" s="904"/>
      <c r="O38" s="905"/>
    </row>
    <row r="39" spans="1:15" s="900" customFormat="1" ht="53.25" x14ac:dyDescent="0.2">
      <c r="A39" s="901" t="s">
        <v>1048</v>
      </c>
      <c r="B39" s="902"/>
      <c r="C39" s="891" t="s">
        <v>1049</v>
      </c>
      <c r="D39" s="891" t="s">
        <v>1050</v>
      </c>
      <c r="E39" s="891" t="s">
        <v>1051</v>
      </c>
      <c r="F39" s="891" t="s">
        <v>1052</v>
      </c>
      <c r="G39" s="891" t="s">
        <v>1053</v>
      </c>
      <c r="H39" s="891"/>
      <c r="I39" s="891"/>
      <c r="J39" s="891" t="s">
        <v>1054</v>
      </c>
      <c r="K39" s="891" t="s">
        <v>1055</v>
      </c>
      <c r="L39" s="891"/>
      <c r="M39" s="891"/>
      <c r="N39" s="904"/>
      <c r="O39" s="905"/>
    </row>
    <row r="40" spans="1:15" s="900" customFormat="1" ht="48" x14ac:dyDescent="0.2">
      <c r="A40" s="901" t="s">
        <v>1056</v>
      </c>
      <c r="B40" s="902"/>
      <c r="C40" s="891" t="s">
        <v>1057</v>
      </c>
      <c r="D40" s="891"/>
      <c r="E40" s="891"/>
      <c r="F40" s="891" t="s">
        <v>1058</v>
      </c>
      <c r="G40" s="891"/>
      <c r="H40" s="891" t="s">
        <v>1059</v>
      </c>
      <c r="I40" s="891"/>
      <c r="J40" s="891" t="s">
        <v>1060</v>
      </c>
      <c r="K40" s="891"/>
      <c r="L40" s="891"/>
      <c r="M40" s="891"/>
      <c r="N40" s="904"/>
      <c r="O40" s="905"/>
    </row>
    <row r="41" spans="1:15" s="900" customFormat="1" ht="41.25" x14ac:dyDescent="0.2">
      <c r="A41" s="895" t="s">
        <v>1061</v>
      </c>
      <c r="B41" s="896"/>
      <c r="C41" s="891" t="s">
        <v>1062</v>
      </c>
      <c r="D41" s="891"/>
      <c r="E41" s="891"/>
      <c r="F41" s="891"/>
      <c r="G41" s="891"/>
      <c r="H41" s="891"/>
      <c r="I41" s="891" t="s">
        <v>1063</v>
      </c>
      <c r="J41" s="891" t="s">
        <v>1064</v>
      </c>
      <c r="K41" s="891"/>
      <c r="L41" s="891"/>
      <c r="M41" s="891" t="s">
        <v>1065</v>
      </c>
      <c r="N41" s="904"/>
      <c r="O41" s="905"/>
    </row>
    <row r="42" spans="1:15" s="900" customFormat="1" ht="51" customHeight="1" x14ac:dyDescent="0.2">
      <c r="A42" s="895" t="s">
        <v>1066</v>
      </c>
      <c r="B42" s="896"/>
      <c r="C42" s="891"/>
      <c r="D42" s="891" t="s">
        <v>1067</v>
      </c>
      <c r="E42" s="891"/>
      <c r="F42" s="891"/>
      <c r="G42" s="891" t="s">
        <v>1044</v>
      </c>
      <c r="H42" s="891"/>
      <c r="I42" s="891"/>
      <c r="J42" s="891" t="s">
        <v>1068</v>
      </c>
      <c r="K42" s="891"/>
      <c r="L42" s="891"/>
      <c r="M42" s="891"/>
      <c r="N42" s="904"/>
      <c r="O42" s="905"/>
    </row>
    <row r="43" spans="1:15" s="900" customFormat="1" ht="48" x14ac:dyDescent="0.2">
      <c r="A43" s="895" t="s">
        <v>1069</v>
      </c>
      <c r="B43" s="896"/>
      <c r="C43" s="891"/>
      <c r="D43" s="897"/>
      <c r="E43" s="891"/>
      <c r="F43" s="891"/>
      <c r="G43" s="891"/>
      <c r="H43" s="891"/>
      <c r="I43" s="891"/>
      <c r="J43" s="891"/>
      <c r="K43" s="891"/>
      <c r="L43" s="891"/>
      <c r="M43" s="891" t="s">
        <v>1070</v>
      </c>
      <c r="N43" s="904"/>
      <c r="O43" s="905"/>
    </row>
    <row r="44" spans="1:15" s="899" customFormat="1" ht="48" x14ac:dyDescent="0.2">
      <c r="A44" s="895" t="s">
        <v>1071</v>
      </c>
      <c r="B44" s="896"/>
      <c r="C44" s="891"/>
      <c r="D44" s="891" t="s">
        <v>1072</v>
      </c>
      <c r="E44" s="897"/>
      <c r="F44" s="897"/>
      <c r="G44" s="897"/>
      <c r="H44" s="897"/>
      <c r="I44" s="897"/>
      <c r="J44" s="897"/>
      <c r="K44" s="897"/>
      <c r="L44" s="891" t="s">
        <v>1073</v>
      </c>
      <c r="M44" s="897"/>
      <c r="N44" s="906"/>
      <c r="O44" s="898"/>
    </row>
    <row r="45" spans="1:15" s="900" customFormat="1" ht="48" x14ac:dyDescent="0.2">
      <c r="A45" s="895" t="s">
        <v>1074</v>
      </c>
      <c r="B45" s="896"/>
      <c r="C45" s="891"/>
      <c r="D45" s="891" t="s">
        <v>1075</v>
      </c>
      <c r="E45" s="891"/>
      <c r="F45" s="891"/>
      <c r="G45" s="891" t="s">
        <v>1076</v>
      </c>
      <c r="H45" s="891"/>
      <c r="I45" s="891" t="s">
        <v>1077</v>
      </c>
      <c r="J45" s="891"/>
      <c r="K45" s="891" t="s">
        <v>1078</v>
      </c>
      <c r="L45" s="891"/>
      <c r="M45" s="891"/>
      <c r="N45" s="904"/>
      <c r="O45" s="905"/>
    </row>
    <row r="46" spans="1:15" s="899" customFormat="1" ht="72" x14ac:dyDescent="0.2">
      <c r="A46" s="895" t="s">
        <v>1079</v>
      </c>
      <c r="B46" s="896"/>
      <c r="C46" s="891" t="s">
        <v>1080</v>
      </c>
      <c r="D46" s="891"/>
      <c r="E46" s="906"/>
      <c r="F46" s="906"/>
      <c r="G46" s="906"/>
      <c r="H46" s="906"/>
      <c r="I46" s="906"/>
      <c r="J46" s="891" t="s">
        <v>1081</v>
      </c>
      <c r="K46" s="906"/>
      <c r="L46" s="906"/>
      <c r="M46" s="906"/>
      <c r="N46" s="906"/>
      <c r="O46" s="898"/>
    </row>
    <row r="47" spans="1:15" s="908" customFormat="1" ht="60" x14ac:dyDescent="0.2">
      <c r="A47" s="895" t="s">
        <v>1082</v>
      </c>
      <c r="B47" s="896"/>
      <c r="C47" s="891" t="s">
        <v>1083</v>
      </c>
      <c r="D47" s="906"/>
      <c r="E47" s="891" t="s">
        <v>1084</v>
      </c>
      <c r="F47" s="891"/>
      <c r="G47" s="891" t="s">
        <v>1044</v>
      </c>
      <c r="H47" s="891"/>
      <c r="I47" s="891" t="s">
        <v>1085</v>
      </c>
      <c r="J47" s="891" t="s">
        <v>1086</v>
      </c>
      <c r="K47" s="891"/>
      <c r="L47" s="891"/>
      <c r="M47" s="891"/>
      <c r="N47" s="891"/>
      <c r="O47" s="907"/>
    </row>
    <row r="48" spans="1:15" s="899" customFormat="1" ht="53.25" x14ac:dyDescent="0.2">
      <c r="A48" s="895" t="s">
        <v>1087</v>
      </c>
      <c r="B48" s="896"/>
      <c r="C48" s="904"/>
      <c r="D48" s="906"/>
      <c r="E48" s="906"/>
      <c r="F48" s="906"/>
      <c r="G48" s="891" t="s">
        <v>1088</v>
      </c>
      <c r="H48" s="891" t="s">
        <v>1088</v>
      </c>
      <c r="I48" s="906"/>
      <c r="J48" s="906"/>
      <c r="K48" s="891" t="s">
        <v>1088</v>
      </c>
      <c r="L48" s="906"/>
      <c r="M48" s="906"/>
      <c r="N48" s="906"/>
      <c r="O48" s="898"/>
    </row>
    <row r="49" spans="1:15" s="899" customFormat="1" ht="48" x14ac:dyDescent="0.2">
      <c r="A49" s="895" t="s">
        <v>1089</v>
      </c>
      <c r="B49" s="896"/>
      <c r="C49" s="891" t="s">
        <v>1090</v>
      </c>
      <c r="D49" s="906"/>
      <c r="E49" s="906"/>
      <c r="F49" s="906"/>
      <c r="G49" s="906"/>
      <c r="H49" s="906"/>
      <c r="I49" s="906"/>
      <c r="J49" s="906"/>
      <c r="K49" s="906"/>
      <c r="L49" s="906"/>
      <c r="M49" s="906"/>
      <c r="N49" s="906"/>
      <c r="O49" s="898"/>
    </row>
    <row r="50" spans="1:15" s="899" customFormat="1" ht="48" x14ac:dyDescent="0.2">
      <c r="A50" s="895" t="s">
        <v>1091</v>
      </c>
      <c r="B50" s="896"/>
      <c r="C50" s="891" t="s">
        <v>1090</v>
      </c>
      <c r="D50" s="909"/>
      <c r="E50" s="906"/>
      <c r="F50" s="906"/>
      <c r="G50" s="906"/>
      <c r="H50" s="906"/>
      <c r="I50" s="906"/>
      <c r="J50" s="906"/>
      <c r="K50" s="906"/>
      <c r="L50" s="906"/>
      <c r="M50" s="906"/>
      <c r="N50" s="906"/>
      <c r="O50" s="898"/>
    </row>
    <row r="51" spans="1:15" s="903" customFormat="1" ht="96" x14ac:dyDescent="0.2">
      <c r="A51" s="910" t="s">
        <v>1092</v>
      </c>
      <c r="B51" s="911"/>
      <c r="C51" s="912" t="s">
        <v>1093</v>
      </c>
      <c r="D51" s="912"/>
      <c r="E51" s="913"/>
      <c r="F51" s="913"/>
      <c r="G51" s="913"/>
      <c r="H51" s="913"/>
      <c r="I51" s="913"/>
      <c r="J51" s="913"/>
      <c r="K51" s="913"/>
      <c r="L51" s="913"/>
      <c r="M51" s="913"/>
      <c r="N51" s="913"/>
      <c r="O51" s="914"/>
    </row>
    <row r="52" spans="1:15" s="921" customFormat="1" ht="48" x14ac:dyDescent="0.2">
      <c r="A52" s="915" t="s">
        <v>1094</v>
      </c>
      <c r="B52" s="916"/>
      <c r="C52" s="917"/>
      <c r="D52" s="917"/>
      <c r="E52" s="918" t="s">
        <v>1095</v>
      </c>
      <c r="F52" s="918" t="s">
        <v>1096</v>
      </c>
      <c r="G52" s="917"/>
      <c r="H52" s="917"/>
      <c r="I52" s="917"/>
      <c r="J52" s="917"/>
      <c r="K52" s="917"/>
      <c r="L52" s="917"/>
      <c r="M52" s="917"/>
      <c r="N52" s="919"/>
      <c r="O52" s="920"/>
    </row>
    <row r="53" spans="1:15" s="469" customFormat="1" ht="48" x14ac:dyDescent="0.2">
      <c r="A53" s="922" t="s">
        <v>1097</v>
      </c>
      <c r="B53" s="923"/>
      <c r="C53" s="917"/>
      <c r="D53" s="924"/>
      <c r="E53" s="891" t="s">
        <v>1098</v>
      </c>
      <c r="F53" s="924"/>
      <c r="G53" s="924"/>
      <c r="H53" s="924"/>
      <c r="I53" s="924"/>
      <c r="J53" s="924"/>
      <c r="K53" s="918" t="s">
        <v>1099</v>
      </c>
      <c r="L53" s="924"/>
      <c r="M53" s="924"/>
      <c r="N53" s="925"/>
      <c r="O53" s="926" t="s">
        <v>1100</v>
      </c>
    </row>
    <row r="54" spans="1:15" s="469" customFormat="1" ht="72" x14ac:dyDescent="0.2">
      <c r="A54" s="927" t="s">
        <v>1101</v>
      </c>
      <c r="B54" s="928"/>
      <c r="C54" s="929"/>
      <c r="D54" s="930"/>
      <c r="E54" s="931" t="s">
        <v>1102</v>
      </c>
      <c r="F54" s="930"/>
      <c r="G54" s="912" t="s">
        <v>1053</v>
      </c>
      <c r="H54" s="912" t="s">
        <v>1015</v>
      </c>
      <c r="I54" s="912" t="s">
        <v>1103</v>
      </c>
      <c r="J54" s="930"/>
      <c r="K54" s="930"/>
      <c r="L54" s="930"/>
      <c r="M54" s="930"/>
      <c r="N54" s="932"/>
      <c r="O54" s="933"/>
    </row>
    <row r="55" spans="1:15" s="778" customFormat="1" ht="84" x14ac:dyDescent="0.2">
      <c r="A55" s="934" t="s">
        <v>1104</v>
      </c>
      <c r="B55" s="935"/>
      <c r="C55" s="936"/>
      <c r="D55" s="936"/>
      <c r="E55" s="936" t="s">
        <v>1105</v>
      </c>
      <c r="F55" s="936"/>
      <c r="G55" s="936" t="s">
        <v>1106</v>
      </c>
      <c r="H55" s="936" t="s">
        <v>1107</v>
      </c>
      <c r="I55" s="936" t="s">
        <v>1108</v>
      </c>
      <c r="J55" s="936" t="s">
        <v>1109</v>
      </c>
      <c r="K55" s="936" t="s">
        <v>1110</v>
      </c>
      <c r="L55" s="936"/>
      <c r="M55" s="936"/>
      <c r="N55" s="935"/>
      <c r="O55" s="937" t="s">
        <v>1111</v>
      </c>
    </row>
    <row r="56" spans="1:15" s="469" customFormat="1" ht="36.75" thickBot="1" x14ac:dyDescent="0.25">
      <c r="A56" s="938" t="s">
        <v>1112</v>
      </c>
      <c r="B56" s="939"/>
      <c r="C56" s="940"/>
      <c r="D56" s="940" t="s">
        <v>1075</v>
      </c>
      <c r="E56" s="940" t="s">
        <v>1113</v>
      </c>
      <c r="F56" s="940"/>
      <c r="G56" s="940"/>
      <c r="H56" s="940"/>
      <c r="I56" s="940" t="s">
        <v>1114</v>
      </c>
      <c r="J56" s="940"/>
      <c r="K56" s="940" t="s">
        <v>1115</v>
      </c>
      <c r="L56" s="940"/>
      <c r="M56" s="940"/>
      <c r="N56" s="939"/>
      <c r="O56" s="941"/>
    </row>
    <row r="57" spans="1:15" s="469" customFormat="1" ht="13.5" thickTop="1" x14ac:dyDescent="0.2">
      <c r="C57" s="851"/>
      <c r="D57" s="852"/>
      <c r="E57" s="852"/>
      <c r="F57" s="852"/>
      <c r="G57" s="852"/>
      <c r="H57" s="852"/>
      <c r="I57" s="852"/>
      <c r="J57" s="852"/>
      <c r="K57" s="852"/>
      <c r="L57" s="852"/>
      <c r="M57" s="852"/>
      <c r="N57" s="519"/>
      <c r="O57" s="470"/>
    </row>
    <row r="58" spans="1:15" s="469" customFormat="1" x14ac:dyDescent="0.2">
      <c r="C58" s="851"/>
      <c r="D58" s="852"/>
      <c r="E58" s="852"/>
      <c r="F58" s="852"/>
      <c r="G58" s="852"/>
      <c r="H58" s="852"/>
      <c r="I58" s="852"/>
      <c r="J58" s="852"/>
      <c r="K58" s="852"/>
      <c r="L58" s="852"/>
      <c r="M58" s="852"/>
      <c r="N58" s="519"/>
      <c r="O58" s="470"/>
    </row>
    <row r="59" spans="1:15" s="469" customFormat="1" x14ac:dyDescent="0.2">
      <c r="C59" s="851"/>
      <c r="D59" s="852"/>
      <c r="E59" s="852"/>
      <c r="F59" s="852"/>
      <c r="G59" s="852"/>
      <c r="H59" s="852"/>
      <c r="I59" s="852"/>
      <c r="J59" s="852"/>
      <c r="K59" s="852"/>
      <c r="L59" s="852"/>
      <c r="M59" s="852"/>
      <c r="N59" s="519"/>
      <c r="O59" s="470"/>
    </row>
    <row r="60" spans="1:15" s="469" customFormat="1" x14ac:dyDescent="0.2">
      <c r="C60" s="851"/>
      <c r="D60" s="852"/>
      <c r="E60" s="852"/>
      <c r="F60" s="852"/>
      <c r="G60" s="852"/>
      <c r="H60" s="852"/>
      <c r="I60" s="852"/>
      <c r="J60" s="852"/>
      <c r="K60" s="852"/>
      <c r="L60" s="852"/>
      <c r="M60" s="852"/>
      <c r="N60" s="519"/>
      <c r="O60" s="470"/>
    </row>
    <row r="61" spans="1:15" s="469" customFormat="1" x14ac:dyDescent="0.2">
      <c r="C61" s="851"/>
      <c r="D61" s="852"/>
      <c r="E61" s="852"/>
      <c r="F61" s="852"/>
      <c r="G61" s="852"/>
      <c r="H61" s="852"/>
      <c r="I61" s="852"/>
      <c r="J61" s="852"/>
      <c r="K61" s="852"/>
      <c r="L61" s="852"/>
      <c r="M61" s="852"/>
      <c r="N61" s="519"/>
      <c r="O61" s="470"/>
    </row>
    <row r="62" spans="1:15" s="469" customFormat="1" x14ac:dyDescent="0.2">
      <c r="C62" s="851"/>
      <c r="D62" s="852"/>
      <c r="E62" s="852"/>
      <c r="F62" s="852"/>
      <c r="G62" s="852"/>
      <c r="H62" s="852"/>
      <c r="I62" s="852"/>
      <c r="J62" s="852"/>
      <c r="K62" s="852"/>
      <c r="L62" s="852"/>
      <c r="M62" s="852"/>
      <c r="N62" s="519"/>
      <c r="O62" s="470"/>
    </row>
    <row r="63" spans="1:15" s="469" customFormat="1" x14ac:dyDescent="0.2">
      <c r="C63" s="851"/>
      <c r="D63" s="852"/>
      <c r="E63" s="852"/>
      <c r="F63" s="852"/>
      <c r="G63" s="852"/>
      <c r="H63" s="852"/>
      <c r="I63" s="852"/>
      <c r="J63" s="852"/>
      <c r="K63" s="852"/>
      <c r="L63" s="852"/>
      <c r="M63" s="852"/>
      <c r="N63" s="519"/>
      <c r="O63" s="470"/>
    </row>
    <row r="64" spans="1:15" s="469" customFormat="1" x14ac:dyDescent="0.2">
      <c r="C64" s="851"/>
      <c r="D64" s="852"/>
      <c r="E64" s="852"/>
      <c r="F64" s="852"/>
      <c r="G64" s="852"/>
      <c r="H64" s="852"/>
      <c r="I64" s="852"/>
      <c r="J64" s="852"/>
      <c r="K64" s="852"/>
      <c r="L64" s="852"/>
      <c r="M64" s="852"/>
      <c r="N64" s="519"/>
      <c r="O64" s="470"/>
    </row>
    <row r="65" spans="2:15" s="469" customFormat="1" x14ac:dyDescent="0.2">
      <c r="C65" s="851"/>
      <c r="D65" s="852"/>
      <c r="E65" s="852"/>
      <c r="F65" s="852"/>
      <c r="G65" s="852"/>
      <c r="H65" s="852"/>
      <c r="I65" s="852"/>
      <c r="J65" s="852"/>
      <c r="K65" s="852"/>
      <c r="L65" s="852"/>
      <c r="M65" s="852"/>
      <c r="N65" s="519"/>
      <c r="O65" s="470"/>
    </row>
    <row r="66" spans="2:15" s="469" customFormat="1" x14ac:dyDescent="0.2">
      <c r="C66" s="851"/>
      <c r="D66" s="852"/>
      <c r="E66" s="852"/>
      <c r="F66" s="852"/>
      <c r="G66" s="852"/>
      <c r="H66" s="852"/>
      <c r="I66" s="852"/>
      <c r="J66" s="852"/>
      <c r="K66" s="852"/>
      <c r="L66" s="852"/>
      <c r="M66" s="852"/>
      <c r="N66" s="519"/>
      <c r="O66" s="470"/>
    </row>
    <row r="67" spans="2:15" s="469" customFormat="1" x14ac:dyDescent="0.2">
      <c r="B67" s="504"/>
      <c r="C67" s="851"/>
      <c r="D67" s="852"/>
      <c r="E67" s="852"/>
      <c r="F67" s="852"/>
      <c r="G67" s="852"/>
      <c r="H67" s="852"/>
      <c r="I67" s="852"/>
      <c r="J67" s="852"/>
      <c r="K67" s="852"/>
      <c r="L67" s="852"/>
      <c r="M67" s="852"/>
      <c r="N67" s="519"/>
      <c r="O67" s="470"/>
    </row>
    <row r="68" spans="2:15" s="469" customFormat="1" x14ac:dyDescent="0.2">
      <c r="B68" s="504"/>
      <c r="C68" s="851"/>
      <c r="D68" s="852"/>
      <c r="E68" s="852"/>
      <c r="F68" s="852"/>
      <c r="G68" s="852"/>
      <c r="H68" s="852"/>
      <c r="I68" s="852"/>
      <c r="J68" s="852"/>
      <c r="K68" s="852"/>
      <c r="L68" s="852"/>
      <c r="M68" s="852"/>
      <c r="N68" s="519"/>
      <c r="O68" s="470"/>
    </row>
  </sheetData>
  <sheetProtection algorithmName="SHA-512" hashValue="tstEIYw4Zn4jaMiD83QOHjpjDhwcHutBa8PBGIl2lWT0BuXi9aOBqFhHPu4yCqrVKRG2TPCDdvjuS3jNgDMffg==" saltValue="cjew/WYJnA+UJ0ilBItpbg==" spinCount="100000" sheet="1" objects="1" scenarios="1"/>
  <mergeCells count="1">
    <mergeCell ref="A1:O1"/>
  </mergeCells>
  <phoneticPr fontId="0" type="noConversion"/>
  <printOptions horizontalCentered="1"/>
  <pageMargins left="0.15748031496063" right="0.15748031496063" top="0.511811023622047" bottom="0.66929133858267698" header="0.511811023622047" footer="0.35433070866141703"/>
  <pageSetup scale="69" fitToHeight="3" orientation="landscape" r:id="rId1"/>
  <headerFooter alignWithMargins="0">
    <oddFooter>&amp;LHawai'i DOH
PFASs November 2024&amp;C&amp;8Page &amp;P of &amp;N&amp;R&amp;A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indexed="29"/>
    <pageSetUpPr fitToPage="1"/>
  </sheetPr>
  <dimension ref="A1:F34"/>
  <sheetViews>
    <sheetView zoomScaleNormal="100" workbookViewId="0">
      <selection activeCell="B5" sqref="B5"/>
    </sheetView>
  </sheetViews>
  <sheetFormatPr defaultColWidth="9.140625" defaultRowHeight="12.75" x14ac:dyDescent="0.2"/>
  <cols>
    <col min="1" max="1" width="50.5703125" style="470" customWidth="1"/>
    <col min="2" max="4" width="15.7109375" style="470" customWidth="1"/>
    <col min="5" max="5" width="15.7109375" style="505" customWidth="1"/>
    <col min="6" max="6" width="9.140625" style="529"/>
    <col min="7" max="16384" width="9.140625" style="470"/>
  </cols>
  <sheetData>
    <row r="1" spans="1:6" ht="15.75" x14ac:dyDescent="0.25">
      <c r="A1" s="471" t="s">
        <v>1116</v>
      </c>
      <c r="B1" s="471"/>
      <c r="C1" s="471"/>
      <c r="D1" s="471"/>
      <c r="E1" s="468"/>
      <c r="F1" s="474"/>
    </row>
    <row r="2" spans="1:6" ht="14.1" customHeight="1" thickBot="1" x14ac:dyDescent="0.25">
      <c r="A2" s="720"/>
      <c r="B2" s="720"/>
      <c r="C2" s="720"/>
      <c r="D2" s="720"/>
      <c r="E2" s="827"/>
      <c r="F2" s="470"/>
    </row>
    <row r="3" spans="1:6" ht="35.25" customHeight="1" thickTop="1" thickBot="1" x14ac:dyDescent="0.25">
      <c r="A3" s="824" t="s">
        <v>469</v>
      </c>
      <c r="B3" s="828" t="s">
        <v>1117</v>
      </c>
      <c r="C3" s="829" t="s">
        <v>1118</v>
      </c>
      <c r="D3" s="830" t="s">
        <v>1119</v>
      </c>
      <c r="E3" s="831" t="s">
        <v>1120</v>
      </c>
      <c r="F3" s="470"/>
    </row>
    <row r="4" spans="1:6" ht="12" customHeight="1" x14ac:dyDescent="0.2">
      <c r="A4" s="490" t="s">
        <v>472</v>
      </c>
      <c r="B4" s="832"/>
      <c r="C4" s="833"/>
      <c r="D4" s="834"/>
      <c r="E4" s="745"/>
      <c r="F4" s="470"/>
    </row>
    <row r="5" spans="1:6" ht="12" customHeight="1" x14ac:dyDescent="0.2">
      <c r="A5" s="497" t="s">
        <v>473</v>
      </c>
      <c r="B5" s="835"/>
      <c r="C5" s="836"/>
      <c r="D5" s="502"/>
      <c r="E5" s="748"/>
      <c r="F5" s="470"/>
    </row>
    <row r="6" spans="1:6" ht="12" customHeight="1" x14ac:dyDescent="0.2">
      <c r="A6" s="497" t="s">
        <v>474</v>
      </c>
      <c r="B6" s="835"/>
      <c r="C6" s="836"/>
      <c r="D6" s="502"/>
      <c r="E6" s="748"/>
      <c r="F6" s="470"/>
    </row>
    <row r="7" spans="1:6" ht="12" customHeight="1" x14ac:dyDescent="0.2">
      <c r="A7" s="497" t="s">
        <v>475</v>
      </c>
      <c r="B7" s="835"/>
      <c r="C7" s="836"/>
      <c r="D7" s="502"/>
      <c r="E7" s="748"/>
      <c r="F7" s="470"/>
    </row>
    <row r="8" spans="1:6" ht="12" customHeight="1" x14ac:dyDescent="0.2">
      <c r="A8" s="497" t="s">
        <v>476</v>
      </c>
      <c r="B8" s="835"/>
      <c r="C8" s="836"/>
      <c r="D8" s="502"/>
      <c r="E8" s="748"/>
      <c r="F8" s="470"/>
    </row>
    <row r="9" spans="1:6" ht="12" customHeight="1" x14ac:dyDescent="0.2">
      <c r="A9" s="497" t="s">
        <v>477</v>
      </c>
      <c r="B9" s="837"/>
      <c r="C9" s="838"/>
      <c r="D9" s="839"/>
      <c r="E9" s="748"/>
      <c r="F9" s="470"/>
    </row>
    <row r="10" spans="1:6" ht="12" customHeight="1" x14ac:dyDescent="0.2">
      <c r="A10" s="497" t="s">
        <v>200</v>
      </c>
      <c r="B10" s="837"/>
      <c r="C10" s="838"/>
      <c r="D10" s="839"/>
      <c r="E10" s="748"/>
      <c r="F10" s="470"/>
    </row>
    <row r="11" spans="1:6" ht="12" customHeight="1" x14ac:dyDescent="0.2">
      <c r="A11" s="497" t="s">
        <v>478</v>
      </c>
      <c r="B11" s="837"/>
      <c r="C11" s="838"/>
      <c r="D11" s="839"/>
      <c r="E11" s="748"/>
      <c r="F11" s="470"/>
    </row>
    <row r="12" spans="1:6" ht="12" customHeight="1" x14ac:dyDescent="0.2">
      <c r="A12" s="497" t="s">
        <v>479</v>
      </c>
      <c r="B12" s="835"/>
      <c r="C12" s="836"/>
      <c r="D12" s="502"/>
      <c r="E12" s="748"/>
      <c r="F12" s="470"/>
    </row>
    <row r="13" spans="1:6" ht="12" customHeight="1" x14ac:dyDescent="0.2">
      <c r="A13" s="497" t="s">
        <v>480</v>
      </c>
      <c r="B13" s="835"/>
      <c r="C13" s="836"/>
      <c r="D13" s="502"/>
      <c r="E13" s="748"/>
      <c r="F13" s="470"/>
    </row>
    <row r="14" spans="1:6" ht="12" customHeight="1" x14ac:dyDescent="0.2">
      <c r="A14" s="497" t="s">
        <v>481</v>
      </c>
      <c r="B14" s="835"/>
      <c r="C14" s="836"/>
      <c r="D14" s="502"/>
      <c r="E14" s="748"/>
      <c r="F14" s="470"/>
    </row>
    <row r="15" spans="1:6" ht="12" customHeight="1" x14ac:dyDescent="0.2">
      <c r="A15" s="497" t="s">
        <v>482</v>
      </c>
      <c r="B15" s="835"/>
      <c r="C15" s="836"/>
      <c r="D15" s="502"/>
      <c r="E15" s="748"/>
      <c r="F15" s="470"/>
    </row>
    <row r="16" spans="1:6" ht="12" customHeight="1" x14ac:dyDescent="0.2">
      <c r="A16" s="497" t="s">
        <v>483</v>
      </c>
      <c r="B16" s="835"/>
      <c r="C16" s="836"/>
      <c r="D16" s="502"/>
      <c r="E16" s="748"/>
      <c r="F16" s="470"/>
    </row>
    <row r="17" spans="1:6" ht="12" customHeight="1" x14ac:dyDescent="0.2">
      <c r="A17" s="497" t="s">
        <v>484</v>
      </c>
      <c r="B17" s="835"/>
      <c r="C17" s="836"/>
      <c r="D17" s="502"/>
      <c r="E17" s="748"/>
      <c r="F17" s="470"/>
    </row>
    <row r="18" spans="1:6" ht="12" customHeight="1" x14ac:dyDescent="0.2">
      <c r="A18" s="497" t="s">
        <v>485</v>
      </c>
      <c r="B18" s="835"/>
      <c r="C18" s="836"/>
      <c r="D18" s="502"/>
      <c r="E18" s="748"/>
      <c r="F18" s="470"/>
    </row>
    <row r="19" spans="1:6" ht="12" customHeight="1" x14ac:dyDescent="0.2">
      <c r="A19" s="497" t="s">
        <v>486</v>
      </c>
      <c r="B19" s="835"/>
      <c r="C19" s="836"/>
      <c r="D19" s="502"/>
      <c r="E19" s="748"/>
      <c r="F19" s="470"/>
    </row>
    <row r="20" spans="1:6" ht="12" customHeight="1" x14ac:dyDescent="0.2">
      <c r="A20" s="497" t="s">
        <v>487</v>
      </c>
      <c r="B20" s="835"/>
      <c r="C20" s="836"/>
      <c r="D20" s="502"/>
      <c r="E20" s="748"/>
      <c r="F20" s="470"/>
    </row>
    <row r="21" spans="1:6" ht="12" customHeight="1" x14ac:dyDescent="0.2">
      <c r="A21" s="497" t="s">
        <v>488</v>
      </c>
      <c r="B21" s="835"/>
      <c r="C21" s="836"/>
      <c r="D21" s="502"/>
      <c r="E21" s="748"/>
      <c r="F21" s="470"/>
    </row>
    <row r="22" spans="1:6" ht="12" customHeight="1" x14ac:dyDescent="0.2">
      <c r="A22" s="497" t="s">
        <v>489</v>
      </c>
      <c r="B22" s="840"/>
      <c r="C22" s="838"/>
      <c r="D22" s="839"/>
      <c r="E22" s="841"/>
      <c r="F22" s="470"/>
    </row>
    <row r="23" spans="1:6" ht="12" customHeight="1" x14ac:dyDescent="0.2">
      <c r="A23" s="497" t="s">
        <v>490</v>
      </c>
      <c r="B23" s="840"/>
      <c r="C23" s="838"/>
      <c r="D23" s="839"/>
      <c r="E23" s="841"/>
      <c r="F23" s="470"/>
    </row>
    <row r="24" spans="1:6" ht="12" customHeight="1" x14ac:dyDescent="0.2">
      <c r="A24" s="497" t="s">
        <v>491</v>
      </c>
      <c r="B24" s="840"/>
      <c r="C24" s="838"/>
      <c r="D24" s="839"/>
      <c r="E24" s="841"/>
      <c r="F24" s="470"/>
    </row>
    <row r="25" spans="1:6" ht="12" customHeight="1" x14ac:dyDescent="0.2">
      <c r="A25" s="497" t="s">
        <v>492</v>
      </c>
      <c r="B25" s="840"/>
      <c r="C25" s="838"/>
      <c r="D25" s="842"/>
      <c r="E25" s="843"/>
      <c r="F25" s="470"/>
    </row>
    <row r="26" spans="1:6" ht="12" customHeight="1" x14ac:dyDescent="0.2">
      <c r="A26" s="497" t="s">
        <v>493</v>
      </c>
      <c r="B26" s="840"/>
      <c r="C26" s="838"/>
      <c r="D26" s="842"/>
      <c r="E26" s="843"/>
      <c r="F26" s="470"/>
    </row>
    <row r="27" spans="1:6" ht="12" customHeight="1" thickBot="1" x14ac:dyDescent="0.25">
      <c r="A27" s="507" t="s">
        <v>494</v>
      </c>
      <c r="B27" s="844"/>
      <c r="C27" s="845"/>
      <c r="D27" s="846"/>
      <c r="E27" s="847"/>
      <c r="F27" s="470"/>
    </row>
    <row r="28" spans="1:6" s="517" customFormat="1" ht="11.25" customHeight="1" thickTop="1" x14ac:dyDescent="0.2">
      <c r="A28" s="557" t="s">
        <v>1121</v>
      </c>
      <c r="B28" s="848"/>
      <c r="C28" s="848"/>
      <c r="D28" s="848"/>
      <c r="E28" s="560"/>
    </row>
    <row r="29" spans="1:6" s="517" customFormat="1" ht="11.25" customHeight="1" x14ac:dyDescent="0.2">
      <c r="A29" s="521"/>
      <c r="E29" s="522"/>
    </row>
    <row r="30" spans="1:6" s="517" customFormat="1" ht="11.25" customHeight="1" x14ac:dyDescent="0.2">
      <c r="A30" s="514" t="s">
        <v>238</v>
      </c>
      <c r="E30" s="522"/>
    </row>
    <row r="31" spans="1:6" s="517" customFormat="1" ht="11.25" customHeight="1" x14ac:dyDescent="0.2">
      <c r="A31" s="521" t="s">
        <v>1122</v>
      </c>
      <c r="E31" s="522"/>
    </row>
    <row r="32" spans="1:6" s="517" customFormat="1" ht="12" customHeight="1" x14ac:dyDescent="0.2">
      <c r="A32" s="1526" t="s">
        <v>1123</v>
      </c>
      <c r="B32" s="1523"/>
      <c r="C32" s="1523"/>
      <c r="D32" s="1523"/>
      <c r="E32" s="1524"/>
    </row>
    <row r="33" spans="1:5" s="517" customFormat="1" ht="11.25" customHeight="1" thickBot="1" x14ac:dyDescent="0.25">
      <c r="A33" s="849" t="s">
        <v>1124</v>
      </c>
      <c r="B33" s="850"/>
      <c r="C33" s="850"/>
      <c r="D33" s="850"/>
      <c r="E33" s="820"/>
    </row>
    <row r="34" spans="1:5" ht="13.5" thickTop="1" x14ac:dyDescent="0.2"/>
  </sheetData>
  <sheetProtection algorithmName="SHA-512" hashValue="qNwE7zbi9Do8DWvlsySeqnJFTSW//N89g0zshJmOGQZfFa1tSvAbJrJJJeXc/X66AvlpdZ8v1demNcmrRQJxqA==" saltValue="gMNySRJbpF/Icat29GuMSQ==" spinCount="100000" sheet="1" objects="1" scenarios="1"/>
  <mergeCells count="1">
    <mergeCell ref="A32:E32"/>
  </mergeCells>
  <phoneticPr fontId="16" type="noConversion"/>
  <printOptions horizontalCentered="1"/>
  <pageMargins left="0.74803149606299202" right="0.74803149606299202" top="0.511811023622047" bottom="0.98425196850393704" header="0.511811023622047" footer="0.511811023622047"/>
  <pageSetup fitToHeight="4" orientation="landscape" horizontalDpi="4294967293" r:id="rId1"/>
  <headerFooter alignWithMargins="0">
    <oddFooter>&amp;LHawai'i DOH
PFASs November 2024&amp;CPage &amp;P of &amp;N&amp;R&amp;A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indexed="29"/>
  </sheetPr>
  <dimension ref="A1:F31"/>
  <sheetViews>
    <sheetView zoomScaleNormal="100" workbookViewId="0">
      <selection activeCell="F24" sqref="F24"/>
    </sheetView>
  </sheetViews>
  <sheetFormatPr defaultColWidth="9.140625" defaultRowHeight="12.75" x14ac:dyDescent="0.2"/>
  <cols>
    <col min="1" max="1" width="50.5703125" style="470" customWidth="1"/>
    <col min="2" max="3" width="15.7109375" style="505" customWidth="1"/>
    <col min="4" max="4" width="9.140625" style="529"/>
    <col min="5" max="5" width="9.140625" style="470"/>
    <col min="6" max="6" width="10.5703125" style="504" customWidth="1"/>
    <col min="7" max="16384" width="9.140625" style="470"/>
  </cols>
  <sheetData>
    <row r="1" spans="1:6" ht="15.75" x14ac:dyDescent="0.25">
      <c r="A1" s="471" t="s">
        <v>1125</v>
      </c>
      <c r="B1" s="468"/>
      <c r="C1" s="472"/>
      <c r="D1" s="474"/>
    </row>
    <row r="2" spans="1:6" ht="16.5" thickBot="1" x14ac:dyDescent="0.3">
      <c r="A2" s="471"/>
      <c r="B2" s="468"/>
      <c r="C2" s="472"/>
      <c r="D2" s="474"/>
      <c r="F2" s="823"/>
    </row>
    <row r="3" spans="1:6" ht="14.1" customHeight="1" thickTop="1" thickBot="1" x14ac:dyDescent="0.25">
      <c r="A3" s="475"/>
      <c r="B3" s="569" t="s">
        <v>1126</v>
      </c>
      <c r="C3" s="533"/>
      <c r="D3" s="504"/>
    </row>
    <row r="4" spans="1:6" ht="35.25" customHeight="1" thickTop="1" thickBot="1" x14ac:dyDescent="0.25">
      <c r="A4" s="824" t="s">
        <v>469</v>
      </c>
      <c r="B4" s="825" t="s">
        <v>1127</v>
      </c>
      <c r="C4" s="826" t="s">
        <v>1128</v>
      </c>
      <c r="D4" s="504"/>
    </row>
    <row r="5" spans="1:6" ht="12" customHeight="1" x14ac:dyDescent="0.2">
      <c r="A5" s="490" t="s">
        <v>472</v>
      </c>
      <c r="B5" s="744"/>
      <c r="C5" s="545"/>
      <c r="D5" s="504"/>
    </row>
    <row r="6" spans="1:6" ht="12" customHeight="1" x14ac:dyDescent="0.2">
      <c r="A6" s="497" t="s">
        <v>473</v>
      </c>
      <c r="B6" s="747"/>
      <c r="C6" s="550"/>
      <c r="D6" s="504"/>
    </row>
    <row r="7" spans="1:6" ht="12" customHeight="1" x14ac:dyDescent="0.2">
      <c r="A7" s="497" t="s">
        <v>474</v>
      </c>
      <c r="B7" s="747"/>
      <c r="C7" s="550"/>
      <c r="D7" s="504"/>
    </row>
    <row r="8" spans="1:6" ht="12" customHeight="1" x14ac:dyDescent="0.2">
      <c r="A8" s="497" t="s">
        <v>475</v>
      </c>
      <c r="B8" s="747"/>
      <c r="C8" s="550"/>
      <c r="D8" s="504"/>
    </row>
    <row r="9" spans="1:6" ht="12" customHeight="1" x14ac:dyDescent="0.2">
      <c r="A9" s="497" t="s">
        <v>476</v>
      </c>
      <c r="B9" s="747"/>
      <c r="C9" s="550"/>
      <c r="D9" s="504"/>
    </row>
    <row r="10" spans="1:6" ht="12" customHeight="1" x14ac:dyDescent="0.2">
      <c r="A10" s="497" t="s">
        <v>477</v>
      </c>
      <c r="B10" s="747"/>
      <c r="C10" s="550"/>
      <c r="D10" s="504"/>
    </row>
    <row r="11" spans="1:6" ht="12" customHeight="1" x14ac:dyDescent="0.2">
      <c r="A11" s="497" t="s">
        <v>200</v>
      </c>
      <c r="B11" s="747"/>
      <c r="C11" s="550"/>
      <c r="D11" s="504"/>
    </row>
    <row r="12" spans="1:6" ht="12" customHeight="1" x14ac:dyDescent="0.2">
      <c r="A12" s="497" t="s">
        <v>478</v>
      </c>
      <c r="B12" s="747"/>
      <c r="C12" s="550"/>
      <c r="D12" s="504"/>
    </row>
    <row r="13" spans="1:6" ht="12" customHeight="1" x14ac:dyDescent="0.2">
      <c r="A13" s="497" t="s">
        <v>479</v>
      </c>
      <c r="B13" s="747"/>
      <c r="C13" s="550"/>
      <c r="D13" s="504"/>
    </row>
    <row r="14" spans="1:6" ht="12" customHeight="1" x14ac:dyDescent="0.2">
      <c r="A14" s="497" t="s">
        <v>480</v>
      </c>
      <c r="B14" s="747"/>
      <c r="C14" s="550"/>
      <c r="D14" s="504"/>
      <c r="E14" s="517"/>
    </row>
    <row r="15" spans="1:6" ht="12" customHeight="1" x14ac:dyDescent="0.2">
      <c r="A15" s="497" t="s">
        <v>481</v>
      </c>
      <c r="B15" s="747"/>
      <c r="C15" s="550"/>
      <c r="D15" s="504"/>
    </row>
    <row r="16" spans="1:6" ht="12" customHeight="1" x14ac:dyDescent="0.2">
      <c r="A16" s="497" t="s">
        <v>482</v>
      </c>
      <c r="B16" s="747"/>
      <c r="C16" s="550"/>
      <c r="D16" s="504"/>
    </row>
    <row r="17" spans="1:6" ht="12" customHeight="1" x14ac:dyDescent="0.2">
      <c r="A17" s="497" t="s">
        <v>483</v>
      </c>
      <c r="B17" s="747"/>
      <c r="C17" s="550"/>
      <c r="D17" s="504"/>
    </row>
    <row r="18" spans="1:6" ht="12" customHeight="1" x14ac:dyDescent="0.2">
      <c r="A18" s="497" t="s">
        <v>484</v>
      </c>
      <c r="B18" s="747"/>
      <c r="C18" s="550"/>
      <c r="D18" s="504"/>
    </row>
    <row r="19" spans="1:6" ht="12" customHeight="1" x14ac:dyDescent="0.2">
      <c r="A19" s="497" t="s">
        <v>485</v>
      </c>
      <c r="B19" s="747"/>
      <c r="C19" s="550"/>
      <c r="D19" s="504"/>
    </row>
    <row r="20" spans="1:6" ht="12" customHeight="1" x14ac:dyDescent="0.2">
      <c r="A20" s="497" t="s">
        <v>486</v>
      </c>
      <c r="B20" s="747"/>
      <c r="C20" s="550"/>
      <c r="D20" s="504"/>
    </row>
    <row r="21" spans="1:6" ht="12" customHeight="1" x14ac:dyDescent="0.2">
      <c r="A21" s="497" t="s">
        <v>487</v>
      </c>
      <c r="B21" s="747"/>
      <c r="C21" s="550"/>
      <c r="D21" s="504"/>
    </row>
    <row r="22" spans="1:6" ht="12" customHeight="1" x14ac:dyDescent="0.2">
      <c r="A22" s="497" t="s">
        <v>488</v>
      </c>
      <c r="B22" s="747"/>
      <c r="C22" s="550"/>
      <c r="D22" s="504"/>
    </row>
    <row r="23" spans="1:6" ht="12" customHeight="1" x14ac:dyDescent="0.2">
      <c r="A23" s="497" t="s">
        <v>489</v>
      </c>
      <c r="B23" s="747"/>
      <c r="C23" s="550"/>
      <c r="D23" s="504"/>
    </row>
    <row r="24" spans="1:6" ht="12" customHeight="1" x14ac:dyDescent="0.2">
      <c r="A24" s="497" t="s">
        <v>490</v>
      </c>
      <c r="B24" s="747"/>
      <c r="C24" s="550"/>
      <c r="D24" s="504"/>
    </row>
    <row r="25" spans="1:6" s="517" customFormat="1" ht="12" customHeight="1" x14ac:dyDescent="0.2">
      <c r="A25" s="497" t="s">
        <v>491</v>
      </c>
      <c r="B25" s="747"/>
      <c r="C25" s="550"/>
      <c r="D25" s="781"/>
      <c r="F25" s="781"/>
    </row>
    <row r="26" spans="1:6" s="517" customFormat="1" ht="12" customHeight="1" x14ac:dyDescent="0.2">
      <c r="A26" s="497" t="s">
        <v>492</v>
      </c>
      <c r="B26" s="747"/>
      <c r="C26" s="550"/>
      <c r="D26" s="781"/>
      <c r="F26" s="781"/>
    </row>
    <row r="27" spans="1:6" s="517" customFormat="1" ht="12" customHeight="1" x14ac:dyDescent="0.2">
      <c r="A27" s="497" t="s">
        <v>493</v>
      </c>
      <c r="B27" s="747"/>
      <c r="C27" s="550"/>
      <c r="D27" s="781"/>
      <c r="F27" s="781"/>
    </row>
    <row r="28" spans="1:6" s="517" customFormat="1" ht="12" customHeight="1" x14ac:dyDescent="0.2">
      <c r="A28" s="497" t="s">
        <v>494</v>
      </c>
      <c r="B28" s="747"/>
      <c r="C28" s="550"/>
      <c r="D28" s="781"/>
      <c r="F28" s="781"/>
    </row>
    <row r="29" spans="1:6" ht="12" customHeight="1" x14ac:dyDescent="0.2">
      <c r="A29" s="497" t="s">
        <v>495</v>
      </c>
      <c r="B29" s="747"/>
      <c r="C29" s="550"/>
      <c r="D29" s="474"/>
    </row>
    <row r="30" spans="1:6" ht="12" customHeight="1" thickBot="1" x14ac:dyDescent="0.25">
      <c r="A30" s="507" t="s">
        <v>496</v>
      </c>
      <c r="B30" s="751"/>
      <c r="C30" s="556"/>
      <c r="D30" s="474"/>
    </row>
    <row r="31" spans="1:6" ht="13.5" thickTop="1" x14ac:dyDescent="0.2">
      <c r="D31" s="474"/>
    </row>
  </sheetData>
  <sheetProtection algorithmName="SHA-512" hashValue="Iyvfap11mREgxglP37br1yGb2lvT899ZzuZbdfmgZHpEWAwAyp+V7n+BEgaygdtS0y49wAph1JjVbPOUGy7ZJg==" saltValue="AmUHumO/0KOTIuT0x5KQBg==" spinCount="100000" sheet="1" objects="1" scenarios="1"/>
  <phoneticPr fontId="16" type="noConversion"/>
  <printOptions horizontalCentered="1"/>
  <pageMargins left="0.74803149606299202" right="0.74803149606299202" top="0.511811023622047" bottom="0.98425196850393704" header="0.511811023622047" footer="0.511811023622047"/>
  <pageSetup fitToHeight="4" orientation="portrait" horizontalDpi="4294967293" r:id="rId1"/>
  <headerFooter alignWithMargins="0">
    <oddFooter>&amp;LHawai'i DOH
PFASs November 2024&amp;CPage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5"/>
    <pageSetUpPr autoPageBreaks="0" fitToPage="1"/>
  </sheetPr>
  <dimension ref="B1:L51"/>
  <sheetViews>
    <sheetView showGridLines="0" showRowColHeaders="0" workbookViewId="0">
      <selection activeCell="D4" sqref="D4"/>
    </sheetView>
  </sheetViews>
  <sheetFormatPr defaultColWidth="9.140625" defaultRowHeight="15.75" x14ac:dyDescent="0.25"/>
  <cols>
    <col min="1" max="1" width="2" style="7" customWidth="1"/>
    <col min="2" max="2" width="9.140625" style="7"/>
    <col min="3" max="3" width="13" style="7" customWidth="1"/>
    <col min="4" max="4" width="15.28515625" style="7" customWidth="1"/>
    <col min="5" max="5" width="8.28515625" style="7" customWidth="1"/>
    <col min="6" max="7" width="15.5703125" style="7" customWidth="1"/>
    <col min="8" max="8" width="13.85546875" style="7" customWidth="1"/>
    <col min="9" max="9" width="10.5703125" style="7" customWidth="1"/>
    <col min="10" max="10" width="4.7109375" style="7" customWidth="1"/>
    <col min="11" max="11" width="9.140625" style="7"/>
    <col min="12" max="12" width="9.85546875" style="7" customWidth="1"/>
    <col min="13" max="16384" width="9.140625" style="7"/>
  </cols>
  <sheetData>
    <row r="1" spans="2:12" ht="24" x14ac:dyDescent="0.3">
      <c r="B1" s="271" t="s">
        <v>275</v>
      </c>
      <c r="C1" s="107"/>
      <c r="D1" s="107"/>
      <c r="E1" s="107"/>
      <c r="F1" s="107"/>
      <c r="G1" s="107"/>
      <c r="H1" s="107"/>
      <c r="I1" s="107"/>
      <c r="J1" s="196" t="s">
        <v>276</v>
      </c>
      <c r="K1" s="107"/>
      <c r="L1" s="107"/>
    </row>
    <row r="2" spans="2:12" ht="18.75" x14ac:dyDescent="0.3">
      <c r="B2" s="80" t="s">
        <v>253</v>
      </c>
      <c r="C2" s="107"/>
      <c r="D2" s="107"/>
      <c r="E2" s="107"/>
      <c r="F2" s="107"/>
      <c r="G2" s="107"/>
      <c r="H2" s="107"/>
      <c r="I2" s="107"/>
    </row>
    <row r="3" spans="2:12" ht="4.5" customHeight="1" thickBot="1" x14ac:dyDescent="0.3">
      <c r="B3" s="107"/>
      <c r="C3" s="107"/>
      <c r="D3" s="107"/>
      <c r="E3" s="107"/>
      <c r="F3" s="107"/>
      <c r="G3" s="107"/>
      <c r="H3" s="107"/>
      <c r="I3" s="107"/>
    </row>
    <row r="4" spans="2:12" ht="16.5" thickTop="1" x14ac:dyDescent="0.25">
      <c r="B4" s="197"/>
      <c r="C4" s="198" t="s">
        <v>277</v>
      </c>
      <c r="D4" s="258"/>
      <c r="E4" s="258"/>
      <c r="F4" s="258"/>
      <c r="G4" s="258"/>
      <c r="H4" s="258"/>
      <c r="I4" s="199"/>
      <c r="J4" s="200"/>
      <c r="K4" s="200"/>
    </row>
    <row r="5" spans="2:12" x14ac:dyDescent="0.25">
      <c r="B5" s="201"/>
      <c r="C5" s="202" t="s">
        <v>278</v>
      </c>
      <c r="D5" s="259"/>
      <c r="E5" s="259"/>
      <c r="F5" s="259"/>
      <c r="G5" s="259"/>
      <c r="H5" s="259"/>
      <c r="I5" s="203"/>
      <c r="J5" s="204"/>
      <c r="K5" s="204"/>
    </row>
    <row r="6" spans="2:12" x14ac:dyDescent="0.25">
      <c r="B6" s="201"/>
      <c r="C6" s="202"/>
      <c r="D6" s="259"/>
      <c r="E6" s="259"/>
      <c r="F6" s="259"/>
      <c r="G6" s="259"/>
      <c r="H6" s="259"/>
      <c r="I6" s="203"/>
      <c r="J6" s="204"/>
      <c r="K6" s="204"/>
    </row>
    <row r="7" spans="2:12" x14ac:dyDescent="0.25">
      <c r="B7" s="201"/>
      <c r="C7" s="202"/>
      <c r="D7" s="259"/>
      <c r="E7" s="259"/>
      <c r="F7" s="259"/>
      <c r="G7" s="259"/>
      <c r="H7" s="259"/>
      <c r="I7" s="203"/>
      <c r="J7" s="204"/>
      <c r="K7" s="204"/>
    </row>
    <row r="8" spans="2:12" x14ac:dyDescent="0.25">
      <c r="B8" s="201"/>
      <c r="C8" s="202" t="s">
        <v>279</v>
      </c>
      <c r="D8" s="205"/>
      <c r="E8" s="205"/>
      <c r="F8" s="205"/>
      <c r="G8" s="205"/>
      <c r="H8" s="205"/>
      <c r="I8" s="206"/>
      <c r="J8" s="204"/>
      <c r="K8" s="204"/>
    </row>
    <row r="9" spans="2:12" ht="16.5" thickBot="1" x14ac:dyDescent="0.3">
      <c r="B9" s="207"/>
      <c r="C9" s="208" t="s">
        <v>280</v>
      </c>
      <c r="D9" s="209"/>
      <c r="E9" s="209"/>
      <c r="F9" s="209"/>
      <c r="G9" s="209"/>
      <c r="H9" s="209"/>
      <c r="I9" s="206"/>
      <c r="J9" s="210"/>
      <c r="K9" s="210"/>
    </row>
    <row r="10" spans="2:12" ht="8.25" customHeight="1" thickTop="1" thickBot="1" x14ac:dyDescent="0.3"/>
    <row r="11" spans="2:12" ht="17.25" customHeight="1" thickTop="1" x14ac:dyDescent="0.25">
      <c r="D11" s="1470" t="s">
        <v>268</v>
      </c>
      <c r="E11" s="1471"/>
      <c r="F11" s="1475"/>
      <c r="G11" s="195"/>
    </row>
    <row r="12" spans="2:12" ht="31.5" customHeight="1" x14ac:dyDescent="0.25">
      <c r="D12" s="1473" t="s">
        <v>269</v>
      </c>
      <c r="E12" s="1476"/>
      <c r="F12" s="211" t="str">
        <f>'2. EAL Surfer - Summary EALs'!D5</f>
        <v>Unrestricted</v>
      </c>
      <c r="G12" s="212"/>
    </row>
    <row r="13" spans="2:12" ht="31.5" customHeight="1" x14ac:dyDescent="0.25">
      <c r="D13" s="1473" t="s">
        <v>191</v>
      </c>
      <c r="E13" s="1474"/>
      <c r="F13" s="213" t="str">
        <f>'2. EAL Surfer - Summary EALs'!D7</f>
        <v>Drinking Water Resource</v>
      </c>
      <c r="G13" s="212"/>
    </row>
    <row r="14" spans="2:12" ht="31.5" customHeight="1" thickBot="1" x14ac:dyDescent="0.3">
      <c r="D14" s="1477" t="s">
        <v>281</v>
      </c>
      <c r="E14" s="1478"/>
      <c r="F14" s="214" t="str">
        <f>'2. EAL Surfer - Summary EALs'!D10</f>
        <v>&lt; 150m</v>
      </c>
      <c r="G14" s="212"/>
    </row>
    <row r="15" spans="2:12" ht="9" customHeight="1" thickTop="1" thickBot="1" x14ac:dyDescent="0.3"/>
    <row r="16" spans="2:12" ht="17.25" thickTop="1" thickBot="1" x14ac:dyDescent="0.3">
      <c r="B16" s="215"/>
      <c r="C16" s="216"/>
      <c r="D16" s="217" t="s">
        <v>282</v>
      </c>
      <c r="E16" s="1479" t="str">
        <f>'2. EAL Surfer - Summary EALs'!H3</f>
        <v>Perfluoro ethanoate (PFEtA-) (Trifluoroacetate)</v>
      </c>
      <c r="F16" s="1480"/>
      <c r="G16" s="1480"/>
      <c r="H16" s="1481"/>
      <c r="I16" s="218"/>
    </row>
    <row r="17" spans="2:9" ht="10.5" customHeight="1" thickTop="1" thickBot="1" x14ac:dyDescent="0.3">
      <c r="D17" s="219"/>
      <c r="E17" s="220"/>
      <c r="F17" s="53"/>
      <c r="G17" s="53"/>
      <c r="H17" s="53"/>
    </row>
    <row r="18" spans="2:9" ht="16.5" thickTop="1" x14ac:dyDescent="0.25">
      <c r="B18" s="1464" t="s">
        <v>283</v>
      </c>
      <c r="C18" s="1465"/>
      <c r="D18" s="1466"/>
      <c r="E18" s="220"/>
      <c r="F18" s="53"/>
      <c r="G18" s="53"/>
      <c r="H18" s="53"/>
    </row>
    <row r="19" spans="2:9" x14ac:dyDescent="0.25">
      <c r="B19" s="241"/>
      <c r="C19" s="272" t="s">
        <v>182</v>
      </c>
      <c r="D19" s="273" t="str">
        <f>IF('2. EAL Surfer - Summary EALs'!D22=0,"-",'2. EAL Surfer - Summary EALs'!D22)</f>
        <v>-</v>
      </c>
      <c r="E19" s="220"/>
      <c r="F19" s="53"/>
      <c r="G19" s="53"/>
      <c r="H19" s="53"/>
    </row>
    <row r="20" spans="2:9" x14ac:dyDescent="0.25">
      <c r="B20" s="25"/>
      <c r="C20" s="221" t="s">
        <v>184</v>
      </c>
      <c r="D20" s="222" t="str">
        <f>IF('2. EAL Surfer - Summary EALs'!D24=0,"-",'2. EAL Surfer - Summary EALs'!D24)</f>
        <v>-</v>
      </c>
      <c r="E20" s="220"/>
      <c r="F20" s="53"/>
      <c r="G20" s="53"/>
      <c r="H20" s="53"/>
    </row>
    <row r="21" spans="2:9" ht="19.5" thickBot="1" x14ac:dyDescent="0.3">
      <c r="B21" s="81"/>
      <c r="C21" s="223" t="s">
        <v>187</v>
      </c>
      <c r="D21" s="224" t="str">
        <f>IF('2. EAL Surfer - Summary EALs'!D26=0,"-",'2. EAL Surfer - Summary EALs'!D26)</f>
        <v>-</v>
      </c>
      <c r="E21" s="220"/>
      <c r="F21" s="53"/>
      <c r="G21" s="53"/>
      <c r="H21" s="53"/>
    </row>
    <row r="22" spans="2:9" ht="10.5" customHeight="1" thickTop="1" thickBot="1" x14ac:dyDescent="0.3"/>
    <row r="23" spans="2:9" ht="35.25" thickTop="1" x14ac:dyDescent="0.25">
      <c r="B23" s="1467" t="s">
        <v>284</v>
      </c>
      <c r="C23" s="1468"/>
      <c r="D23" s="1469"/>
      <c r="E23" s="225" t="s">
        <v>285</v>
      </c>
      <c r="F23" s="348" t="s">
        <v>286</v>
      </c>
      <c r="G23" s="284" t="s">
        <v>287</v>
      </c>
      <c r="H23" s="286" t="s">
        <v>288</v>
      </c>
      <c r="I23" s="226"/>
    </row>
    <row r="24" spans="2:9" x14ac:dyDescent="0.25">
      <c r="B24" s="25"/>
      <c r="D24" s="219" t="s">
        <v>289</v>
      </c>
      <c r="E24" s="227" t="s">
        <v>290</v>
      </c>
      <c r="F24" s="228">
        <f>'Surfer Compiler HDOH'!C46</f>
        <v>29.086715505210876</v>
      </c>
      <c r="G24" s="229" t="str">
        <f>IF(F24="-","-",IF($D$19="-","-",(IF($D$19&gt;F24,"Yes","No"))))</f>
        <v>-</v>
      </c>
      <c r="H24" s="230" t="str">
        <f>'Surfer Compiler HDOH'!D46</f>
        <v>Table I-1</v>
      </c>
      <c r="I24" s="231"/>
    </row>
    <row r="25" spans="2:9" x14ac:dyDescent="0.25">
      <c r="B25" s="25"/>
      <c r="D25" s="219" t="s">
        <v>291</v>
      </c>
      <c r="E25" s="227" t="s">
        <v>290</v>
      </c>
      <c r="F25" s="228" t="str">
        <f>'Surfer Compiler HDOH'!C50</f>
        <v>NA</v>
      </c>
      <c r="G25" s="229" t="str">
        <f>IF(OR(F25="-",F25="(Use soil gas)"),"-",IF($D$19="-","-",(IF($D$19&gt;F25,"Yes","No"))))</f>
        <v>-</v>
      </c>
      <c r="H25" s="230" t="str">
        <f>'Surfer Compiler HDOH'!D50</f>
        <v>Table C-1b</v>
      </c>
      <c r="I25" s="231"/>
    </row>
    <row r="26" spans="2:9" x14ac:dyDescent="0.25">
      <c r="B26" s="25"/>
      <c r="D26" s="219" t="s">
        <v>292</v>
      </c>
      <c r="E26" s="227" t="s">
        <v>290</v>
      </c>
      <c r="F26" s="228" t="str">
        <f>'Surfer Compiler HDOH'!C60</f>
        <v>-</v>
      </c>
      <c r="G26" s="229" t="str">
        <f>IF(F26="-","-",IF($D$19="-","-",(IF($D$19&gt;F26,"Yes","No"))))</f>
        <v>-</v>
      </c>
      <c r="H26" s="230" t="str">
        <f>'Surfer Compiler HDOH'!D60</f>
        <v>Table L</v>
      </c>
      <c r="I26" s="231"/>
    </row>
    <row r="27" spans="2:9" x14ac:dyDescent="0.25">
      <c r="B27" s="25"/>
      <c r="D27" s="219" t="s">
        <v>293</v>
      </c>
      <c r="E27" s="227" t="s">
        <v>290</v>
      </c>
      <c r="F27" s="228">
        <f>'Surfer Compiler HDOH'!C68</f>
        <v>1000</v>
      </c>
      <c r="G27" s="229" t="str">
        <f>IF(F27="-","-",IF($D$19="-","-",(IF($D$19&gt;F27,"Yes","No"))))</f>
        <v>-</v>
      </c>
      <c r="H27" s="230" t="str">
        <f>'Surfer Compiler HDOH'!D68</f>
        <v>Table F-2</v>
      </c>
      <c r="I27" s="231"/>
    </row>
    <row r="28" spans="2:9" x14ac:dyDescent="0.25">
      <c r="B28" s="232"/>
      <c r="C28" s="233"/>
      <c r="D28" s="234" t="s">
        <v>294</v>
      </c>
      <c r="E28" s="235" t="s">
        <v>290</v>
      </c>
      <c r="F28" s="236">
        <f>'Surfer Compiler HDOH'!C56</f>
        <v>0.39205565102639289</v>
      </c>
      <c r="G28" s="237" t="str">
        <f>IF(OR(F28="-",F28="(Use batch test)"),"-",IF($D$19="-","-",(IF($D$19&gt;F28,"Yes","No"))))</f>
        <v>-</v>
      </c>
      <c r="H28" s="238" t="str">
        <f>'Surfer Compiler HDOH'!D56</f>
        <v>Table E-1</v>
      </c>
      <c r="I28" s="231"/>
    </row>
    <row r="29" spans="2:9" x14ac:dyDescent="0.25">
      <c r="B29" s="25"/>
      <c r="D29" s="219" t="s">
        <v>295</v>
      </c>
      <c r="E29" s="235" t="s">
        <v>290</v>
      </c>
      <c r="F29" s="236" t="str">
        <f>'Surfer Compiler HDOH'!C70</f>
        <v>-</v>
      </c>
      <c r="G29" s="239"/>
      <c r="H29" s="238"/>
      <c r="I29" s="240"/>
    </row>
    <row r="30" spans="2:9" x14ac:dyDescent="0.25">
      <c r="B30" s="241"/>
      <c r="C30" s="242"/>
      <c r="D30" s="139" t="s">
        <v>296</v>
      </c>
      <c r="E30" s="243" t="s">
        <v>290</v>
      </c>
      <c r="F30" s="244">
        <f>'Surfer Compiler HDOH'!C71</f>
        <v>0.39205565102639289</v>
      </c>
      <c r="G30" s="245"/>
      <c r="H30" s="246"/>
      <c r="I30" s="247"/>
    </row>
    <row r="31" spans="2:9" ht="16.5" thickBot="1" x14ac:dyDescent="0.3">
      <c r="B31" s="81"/>
      <c r="C31" s="193"/>
      <c r="D31" s="193"/>
      <c r="E31" s="194" t="s">
        <v>297</v>
      </c>
      <c r="F31" s="248" t="str">
        <f>'Surfer Compiler HDOH'!D25</f>
        <v>Leaching</v>
      </c>
      <c r="G31" s="249"/>
      <c r="H31" s="250"/>
      <c r="I31" s="247"/>
    </row>
    <row r="32" spans="2:9" ht="12" customHeight="1" thickTop="1" thickBot="1" x14ac:dyDescent="0.3">
      <c r="B32" s="285"/>
      <c r="E32" s="52"/>
      <c r="F32" s="229"/>
      <c r="G32" s="229"/>
    </row>
    <row r="33" spans="2:9" ht="35.25" customHeight="1" thickTop="1" x14ac:dyDescent="0.25">
      <c r="B33" s="1470" t="s">
        <v>298</v>
      </c>
      <c r="C33" s="1471"/>
      <c r="D33" s="1472"/>
      <c r="E33" s="225" t="s">
        <v>285</v>
      </c>
      <c r="F33" s="348" t="s">
        <v>286</v>
      </c>
      <c r="G33" s="284" t="s">
        <v>287</v>
      </c>
      <c r="H33" s="286" t="s">
        <v>288</v>
      </c>
      <c r="I33" s="231"/>
    </row>
    <row r="34" spans="2:9" x14ac:dyDescent="0.25">
      <c r="B34" s="25"/>
      <c r="D34" s="219" t="s">
        <v>299</v>
      </c>
      <c r="E34" s="227" t="s">
        <v>300</v>
      </c>
      <c r="F34" s="228">
        <f>'Surfer Compiler HDOH'!C75</f>
        <v>18.475073313782989</v>
      </c>
      <c r="G34" s="229" t="str">
        <f>IF(F34="-","-",IF($D$20="-","-",(IF($D$20&gt;F34,"Yes","No"))))</f>
        <v>-</v>
      </c>
      <c r="H34" s="230" t="str">
        <f>'Surfer Compiler HDOH'!C33</f>
        <v>Table D-1a</v>
      </c>
      <c r="I34" s="231"/>
    </row>
    <row r="35" spans="2:9" x14ac:dyDescent="0.25">
      <c r="B35" s="25"/>
      <c r="D35" s="219" t="s">
        <v>291</v>
      </c>
      <c r="E35" s="227" t="s">
        <v>300</v>
      </c>
      <c r="F35" s="228" t="str">
        <f>'Surfer Compiler HDOH'!C79</f>
        <v>NA</v>
      </c>
      <c r="G35" s="229" t="str">
        <f>IF(OR(F35="-",F35="(Use soil gas)"),"-",IF($D$20="-","-",(IF($D$20&gt;F35,"Yes","No"))))</f>
        <v>-</v>
      </c>
      <c r="H35" s="230" t="str">
        <f>'Surfer Compiler HDOH'!D79</f>
        <v>Table C-1a</v>
      </c>
      <c r="I35" s="231"/>
    </row>
    <row r="36" spans="2:9" x14ac:dyDescent="0.25">
      <c r="B36" s="25"/>
      <c r="D36" s="219" t="s">
        <v>301</v>
      </c>
      <c r="E36" s="227" t="s">
        <v>300</v>
      </c>
      <c r="F36" s="228">
        <f>'Surfer Compiler HDOH'!C83</f>
        <v>100</v>
      </c>
      <c r="G36" s="229" t="str">
        <f>IF(F36="-","-",IF($D$20="-","-",(IF($D$20&gt;F36,"Yes","No"))))</f>
        <v>-</v>
      </c>
      <c r="H36" s="230" t="str">
        <f>'Surfer Compiler HDOH'!D83</f>
        <v>Table D-4a</v>
      </c>
      <c r="I36" s="231"/>
    </row>
    <row r="37" spans="2:9" x14ac:dyDescent="0.25">
      <c r="B37" s="232"/>
      <c r="C37" s="233"/>
      <c r="D37" s="234" t="s">
        <v>293</v>
      </c>
      <c r="E37" s="235" t="s">
        <v>300</v>
      </c>
      <c r="F37" s="236">
        <f>'Surfer Compiler HDOH'!C87</f>
        <v>50000</v>
      </c>
      <c r="G37" s="237" t="str">
        <f>IF(F37="-","-",IF($D$20="-","-",(IF($D$20&gt;F37,"Yes","No"))))</f>
        <v>-</v>
      </c>
      <c r="H37" s="230" t="str">
        <f>'Surfer Compiler HDOH'!D87</f>
        <v>Table G-1</v>
      </c>
      <c r="I37" s="231"/>
    </row>
    <row r="38" spans="2:9" x14ac:dyDescent="0.25">
      <c r="B38" s="241"/>
      <c r="C38" s="242"/>
      <c r="D38" s="139" t="s">
        <v>302</v>
      </c>
      <c r="E38" s="243" t="s">
        <v>300</v>
      </c>
      <c r="F38" s="244">
        <f>MIN(F34:F37)</f>
        <v>18.475073313782989</v>
      </c>
      <c r="G38" s="244"/>
      <c r="H38" s="246"/>
      <c r="I38" s="247"/>
    </row>
    <row r="39" spans="2:9" ht="16.5" thickBot="1" x14ac:dyDescent="0.3">
      <c r="B39" s="81"/>
      <c r="C39" s="193"/>
      <c r="D39" s="193"/>
      <c r="E39" s="194" t="s">
        <v>297</v>
      </c>
      <c r="F39" s="248" t="str">
        <f>'Surfer Compiler HDOH'!D38</f>
        <v>Drinking Water Toxicity</v>
      </c>
      <c r="G39" s="254"/>
      <c r="H39" s="250"/>
      <c r="I39" s="247"/>
    </row>
    <row r="40" spans="2:9" ht="12" customHeight="1" thickTop="1" thickBot="1" x14ac:dyDescent="0.3">
      <c r="B40" s="285"/>
      <c r="E40" s="52"/>
      <c r="F40" s="229"/>
      <c r="G40" s="229"/>
    </row>
    <row r="41" spans="2:9" ht="35.25" thickTop="1" x14ac:dyDescent="0.25">
      <c r="B41" s="251" t="s">
        <v>303</v>
      </c>
      <c r="C41" s="252"/>
      <c r="D41" s="253"/>
      <c r="E41" s="225" t="s">
        <v>285</v>
      </c>
      <c r="F41" s="348" t="s">
        <v>286</v>
      </c>
      <c r="G41" s="284" t="s">
        <v>287</v>
      </c>
      <c r="H41" s="286" t="s">
        <v>288</v>
      </c>
    </row>
    <row r="42" spans="2:9" ht="18.75" x14ac:dyDescent="0.25">
      <c r="B42" s="25"/>
      <c r="D42" s="219" t="s">
        <v>304</v>
      </c>
      <c r="E42" s="227" t="s">
        <v>305</v>
      </c>
      <c r="F42" s="228">
        <f>'Surfer Compiler HDOH'!C99</f>
        <v>131400</v>
      </c>
      <c r="G42" s="52" t="str">
        <f>IF(F42="-","-",IF($D$21="-","-",(IF($D$21&gt;F42,"Yes","No"))))</f>
        <v>-</v>
      </c>
      <c r="H42" s="275" t="str">
        <f>'Surfer Compiler HDOH'!D99</f>
        <v>Table C-2</v>
      </c>
    </row>
    <row r="43" spans="2:9" ht="19.5" thickBot="1" x14ac:dyDescent="0.3">
      <c r="B43" s="81"/>
      <c r="C43" s="193"/>
      <c r="D43" s="194" t="s">
        <v>306</v>
      </c>
      <c r="E43" s="255" t="s">
        <v>305</v>
      </c>
      <c r="F43" s="256">
        <f>'Surfer Compiler HDOH'!C95</f>
        <v>65.7</v>
      </c>
      <c r="G43" s="276" t="s">
        <v>307</v>
      </c>
      <c r="H43" s="257" t="str">
        <f>'Surfer Compiler HDOH'!D95</f>
        <v>Table C-3</v>
      </c>
    </row>
    <row r="44" spans="2:9" ht="11.25" customHeight="1" thickTop="1" x14ac:dyDescent="0.25"/>
    <row r="45" spans="2:9" x14ac:dyDescent="0.25">
      <c r="B45" s="287" t="s">
        <v>238</v>
      </c>
      <c r="C45" s="82"/>
      <c r="D45" s="82"/>
      <c r="E45" s="82"/>
      <c r="F45" s="82"/>
      <c r="G45" s="82"/>
      <c r="H45" s="82"/>
    </row>
    <row r="46" spans="2:9" ht="32.25" customHeight="1" x14ac:dyDescent="0.25">
      <c r="B46" s="1392" t="s">
        <v>308</v>
      </c>
      <c r="C46" s="1392"/>
      <c r="D46" s="1392"/>
      <c r="E46" s="1392"/>
      <c r="F46" s="1392"/>
      <c r="G46" s="1392"/>
      <c r="H46" s="1392"/>
    </row>
    <row r="47" spans="2:9" ht="15.75" customHeight="1" x14ac:dyDescent="0.25">
      <c r="B47" s="1392" t="s">
        <v>309</v>
      </c>
      <c r="C47" s="1392"/>
      <c r="D47" s="1392"/>
      <c r="E47" s="1392"/>
      <c r="F47" s="1392"/>
      <c r="G47" s="1392"/>
      <c r="H47" s="1392"/>
    </row>
    <row r="48" spans="2:9" x14ac:dyDescent="0.25">
      <c r="B48" s="82" t="s">
        <v>310</v>
      </c>
      <c r="C48" s="82"/>
      <c r="D48" s="82"/>
      <c r="E48" s="82"/>
      <c r="F48" s="82"/>
      <c r="G48" s="82"/>
      <c r="H48" s="82"/>
    </row>
    <row r="49" spans="2:11" ht="8.25" customHeight="1" x14ac:dyDescent="0.25">
      <c r="B49" s="82"/>
      <c r="C49" s="82"/>
      <c r="D49" s="82"/>
      <c r="E49" s="82"/>
      <c r="F49" s="82"/>
      <c r="G49" s="82"/>
      <c r="H49" s="82"/>
    </row>
    <row r="50" spans="2:11" ht="48" customHeight="1" x14ac:dyDescent="0.25">
      <c r="B50" s="1392" t="s">
        <v>162</v>
      </c>
      <c r="C50" s="1463"/>
      <c r="D50" s="1463"/>
      <c r="E50" s="1463"/>
      <c r="F50" s="1463"/>
      <c r="G50" s="1463"/>
      <c r="H50" s="1463"/>
      <c r="I50" s="442"/>
      <c r="J50" s="442"/>
      <c r="K50" s="441"/>
    </row>
    <row r="51" spans="2:11" ht="48" customHeight="1" x14ac:dyDescent="0.25">
      <c r="B51" s="1392" t="s">
        <v>161</v>
      </c>
      <c r="C51" s="1463"/>
      <c r="D51" s="1463"/>
      <c r="E51" s="1463"/>
      <c r="F51" s="1463"/>
      <c r="G51" s="1463"/>
      <c r="H51" s="1463"/>
      <c r="I51" s="442"/>
      <c r="J51" s="442"/>
      <c r="K51" s="441"/>
    </row>
  </sheetData>
  <sheetProtection algorithmName="SHA-512" hashValue="l65AxAcHQ2GgwXVQNtx/Ii9cPK1ncnj8Cbxq2rlLK50oHdsT9ibTLJ1Q5Tgavps8rjetgAIFxatEr8dZQ1QKsQ==" saltValue="pIt6arxCPHmeX5pV3UMKBA==" spinCount="100000" sheet="1" objects="1" scenarios="1"/>
  <mergeCells count="12">
    <mergeCell ref="D13:E13"/>
    <mergeCell ref="D11:F11"/>
    <mergeCell ref="D12:E12"/>
    <mergeCell ref="D14:E14"/>
    <mergeCell ref="E16:H16"/>
    <mergeCell ref="B51:H51"/>
    <mergeCell ref="B18:D18"/>
    <mergeCell ref="B23:D23"/>
    <mergeCell ref="B46:H46"/>
    <mergeCell ref="B33:D33"/>
    <mergeCell ref="B47:H47"/>
    <mergeCell ref="B50:H50"/>
  </mergeCells>
  <phoneticPr fontId="16" type="noConversion"/>
  <pageMargins left="0.75" right="0.53" top="0.31" bottom="0.34" header="0.23" footer="0.16"/>
  <pageSetup scale="79" orientation="portrait" horizontalDpi="4294967293" r:id="rId1"/>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5"/>
    <pageSetUpPr fitToPage="1"/>
  </sheetPr>
  <dimension ref="B1:T40"/>
  <sheetViews>
    <sheetView showGridLines="0" showRowColHeaders="0" workbookViewId="0">
      <selection activeCell="B5" sqref="B5:F5"/>
    </sheetView>
  </sheetViews>
  <sheetFormatPr defaultColWidth="9.140625" defaultRowHeight="12.75" x14ac:dyDescent="0.2"/>
  <cols>
    <col min="1" max="1" width="2.140625" style="57" customWidth="1"/>
    <col min="2" max="2" width="36.42578125" style="57" customWidth="1"/>
    <col min="3" max="3" width="7.42578125" style="70" customWidth="1"/>
    <col min="4" max="4" width="5.42578125" style="70" customWidth="1"/>
    <col min="5" max="5" width="12.28515625" style="70" customWidth="1"/>
    <col min="6" max="6" width="18" style="70" customWidth="1"/>
    <col min="7" max="16384" width="9.140625" style="57"/>
  </cols>
  <sheetData>
    <row r="1" spans="2:20" s="7" customFormat="1" ht="47.25" customHeight="1" x14ac:dyDescent="0.3">
      <c r="B1" s="113" t="s">
        <v>311</v>
      </c>
      <c r="C1" s="68"/>
      <c r="D1" s="68"/>
      <c r="E1" s="68"/>
      <c r="F1" s="68"/>
      <c r="G1" s="438"/>
      <c r="H1" s="438"/>
      <c r="I1" s="438"/>
      <c r="J1" s="8"/>
      <c r="K1" s="8"/>
      <c r="L1" s="8"/>
      <c r="M1" s="8"/>
      <c r="P1" s="9"/>
      <c r="Q1" s="308"/>
      <c r="R1" s="313"/>
      <c r="S1" s="313"/>
      <c r="T1" s="313"/>
    </row>
    <row r="2" spans="2:20" s="7" customFormat="1" ht="6.75" customHeight="1" x14ac:dyDescent="0.25">
      <c r="B2" s="67"/>
      <c r="C2" s="56"/>
      <c r="D2" s="56"/>
      <c r="E2" s="56"/>
      <c r="F2" s="56"/>
      <c r="H2" s="8"/>
      <c r="I2" s="8"/>
      <c r="J2" s="8"/>
      <c r="K2" s="8"/>
      <c r="L2" s="8"/>
      <c r="M2" s="8"/>
      <c r="P2" s="9"/>
      <c r="Q2" s="308"/>
      <c r="R2" s="313"/>
      <c r="S2" s="313"/>
      <c r="T2" s="313"/>
    </row>
    <row r="3" spans="2:20" ht="19.5" customHeight="1" x14ac:dyDescent="0.3">
      <c r="B3" s="68" t="s">
        <v>312</v>
      </c>
      <c r="C3" s="69"/>
      <c r="D3" s="69"/>
      <c r="E3" s="69"/>
      <c r="F3" s="69"/>
      <c r="G3" s="456"/>
      <c r="H3" s="456"/>
      <c r="I3" s="456"/>
      <c r="J3" s="456"/>
      <c r="K3" s="456"/>
      <c r="L3" s="456"/>
      <c r="M3" s="456"/>
      <c r="N3" s="456"/>
      <c r="O3" s="456"/>
      <c r="P3" s="456"/>
      <c r="Q3" s="456"/>
      <c r="R3" s="456"/>
      <c r="S3" s="456"/>
      <c r="T3" s="456"/>
    </row>
    <row r="4" spans="2:20" ht="5.25" customHeight="1" x14ac:dyDescent="0.2">
      <c r="B4" s="456"/>
      <c r="C4" s="462"/>
      <c r="D4" s="462"/>
      <c r="E4" s="462"/>
      <c r="F4" s="462"/>
      <c r="G4" s="456"/>
      <c r="H4" s="456"/>
      <c r="I4" s="456"/>
      <c r="J4" s="456"/>
      <c r="K4" s="456"/>
      <c r="L4" s="456"/>
      <c r="M4" s="456"/>
      <c r="N4" s="456"/>
      <c r="O4" s="456"/>
      <c r="P4" s="456"/>
      <c r="Q4" s="456"/>
      <c r="R4" s="456"/>
      <c r="S4" s="456"/>
      <c r="T4" s="456"/>
    </row>
    <row r="5" spans="2:20" s="7" customFormat="1" ht="21.75" customHeight="1" x14ac:dyDescent="0.25">
      <c r="B5" s="1489" t="str">
        <f>'2. EAL Surfer - Summary EALs'!H3</f>
        <v>Perfluoro ethanoate (PFEtA-) (Trifluoroacetate)</v>
      </c>
      <c r="C5" s="1490"/>
      <c r="D5" s="1490"/>
      <c r="E5" s="1490"/>
      <c r="F5" s="1490"/>
      <c r="G5" s="8"/>
      <c r="H5" s="8"/>
      <c r="I5" s="8"/>
      <c r="J5" s="8"/>
      <c r="K5" s="8"/>
      <c r="L5" s="8"/>
      <c r="M5" s="8"/>
      <c r="P5" s="9"/>
      <c r="Q5" s="308"/>
      <c r="R5" s="313"/>
      <c r="S5" s="313"/>
      <c r="T5" s="313"/>
    </row>
    <row r="6" spans="2:20" ht="7.5" customHeight="1" x14ac:dyDescent="0.2">
      <c r="B6" s="456"/>
      <c r="C6" s="462"/>
      <c r="D6" s="462"/>
      <c r="E6" s="462"/>
      <c r="F6" s="462"/>
      <c r="G6" s="456"/>
      <c r="H6" s="456"/>
      <c r="I6" s="456"/>
      <c r="J6" s="456"/>
      <c r="K6" s="456"/>
      <c r="L6" s="456"/>
      <c r="M6" s="456"/>
      <c r="N6" s="456"/>
      <c r="O6" s="456"/>
      <c r="P6" s="456"/>
      <c r="Q6" s="456"/>
      <c r="R6" s="456"/>
      <c r="S6" s="456"/>
      <c r="T6" s="456"/>
    </row>
    <row r="7" spans="2:20" ht="30" customHeight="1" x14ac:dyDescent="0.2">
      <c r="B7" s="71" t="s">
        <v>313</v>
      </c>
      <c r="C7" s="1486" t="s">
        <v>314</v>
      </c>
      <c r="D7" s="1486"/>
      <c r="E7" s="461" t="s">
        <v>285</v>
      </c>
      <c r="F7" s="72" t="s">
        <v>315</v>
      </c>
      <c r="G7" s="456"/>
      <c r="H7" s="456"/>
      <c r="I7" s="456"/>
      <c r="J7" s="456"/>
      <c r="K7" s="456"/>
      <c r="L7" s="456"/>
      <c r="M7" s="456"/>
      <c r="N7" s="456"/>
      <c r="O7" s="456"/>
      <c r="P7" s="456"/>
      <c r="Q7" s="456"/>
      <c r="R7" s="456"/>
      <c r="S7" s="456"/>
      <c r="T7" s="456"/>
    </row>
    <row r="8" spans="2:20" ht="14.25" x14ac:dyDescent="0.2">
      <c r="B8" s="73" t="s">
        <v>316</v>
      </c>
      <c r="C8" s="1482">
        <f>IF(VLOOKUP('2. EAL Surfer - Summary EALs'!H3,'Table H (Constants)'!C6:T28,14,FALSE)=0,"-",VLOOKUP('2. EAL Surfer - Summary EALs'!H3,'Table H (Constants)'!C6:T28,15,FALSE))</f>
        <v>0</v>
      </c>
      <c r="D8" s="1482"/>
      <c r="E8" s="462" t="s">
        <v>317</v>
      </c>
      <c r="F8" s="63" t="s">
        <v>318</v>
      </c>
      <c r="G8" s="456"/>
      <c r="H8" s="456"/>
      <c r="I8" s="456"/>
      <c r="J8" s="456"/>
      <c r="K8" s="456"/>
      <c r="L8" s="456"/>
      <c r="M8" s="456"/>
      <c r="N8" s="456"/>
      <c r="O8" s="456"/>
      <c r="P8" s="456"/>
      <c r="Q8" s="456"/>
      <c r="R8" s="456"/>
      <c r="S8" s="456"/>
      <c r="T8" s="456"/>
    </row>
    <row r="9" spans="2:20" ht="14.25" x14ac:dyDescent="0.2">
      <c r="B9" s="73" t="s">
        <v>319</v>
      </c>
      <c r="C9" s="1482" t="str">
        <f>IF(VLOOKUP('2. EAL Surfer - Summary EALs'!H3,'Table H (Constants)'!C6:T28,15,FALSE)=0,"-",VLOOKUP('2. EAL Surfer - Summary EALs'!H3,'Table H (Constants)'!C6:T28,16,FALSE))</f>
        <v>-</v>
      </c>
      <c r="D9" s="1482"/>
      <c r="E9" s="462" t="s">
        <v>320</v>
      </c>
      <c r="F9" s="63" t="s">
        <v>318</v>
      </c>
      <c r="G9" s="456"/>
      <c r="H9" s="456"/>
      <c r="I9" s="456"/>
      <c r="J9" s="456"/>
      <c r="K9" s="456"/>
      <c r="L9" s="456"/>
      <c r="M9" s="456"/>
      <c r="N9" s="456"/>
      <c r="O9" s="456"/>
      <c r="P9" s="456"/>
      <c r="Q9" s="456"/>
      <c r="R9" s="456"/>
      <c r="S9" s="456"/>
      <c r="T9" s="456"/>
    </row>
    <row r="10" spans="2:20" x14ac:dyDescent="0.2">
      <c r="B10" s="73" t="s">
        <v>321</v>
      </c>
      <c r="C10" s="1482" t="str">
        <f>IF(VLOOKUP('2. EAL Surfer - Summary EALs'!H3,'Table H (Constants)'!C6:T28,16,FALSE)=0,"-",VLOOKUP('2. EAL Surfer - Summary EALs'!H3,'Table H (Constants)'!C6:T28,17,FALSE))</f>
        <v>-</v>
      </c>
      <c r="D10" s="1482"/>
      <c r="E10" s="462" t="s">
        <v>322</v>
      </c>
      <c r="F10" s="63" t="s">
        <v>318</v>
      </c>
      <c r="G10" s="456"/>
      <c r="H10" s="456"/>
      <c r="I10" s="456"/>
      <c r="J10" s="456"/>
      <c r="K10" s="456"/>
      <c r="L10" s="456"/>
      <c r="M10" s="456"/>
      <c r="N10" s="456"/>
      <c r="O10" s="456"/>
      <c r="P10" s="456"/>
      <c r="Q10" s="456"/>
      <c r="R10" s="456"/>
      <c r="S10" s="456"/>
      <c r="T10" s="456"/>
    </row>
    <row r="11" spans="2:20" ht="14.25" x14ac:dyDescent="0.2">
      <c r="B11" s="73" t="s">
        <v>323</v>
      </c>
      <c r="C11" s="1482">
        <f>IF(VLOOKUP('2. EAL Surfer - Summary EALs'!H3,'Table H (Constants)'!C6:T28,17,FALSE)=0,"-",VLOOKUP('2. EAL Surfer - Summary EALs'!H3,'Table H (Constants)'!C6:T28,18,FALSE))</f>
        <v>6.3E-2</v>
      </c>
      <c r="D11" s="1482"/>
      <c r="E11" s="462" t="s">
        <v>324</v>
      </c>
      <c r="F11" s="63" t="s">
        <v>318</v>
      </c>
      <c r="G11" s="456"/>
      <c r="H11" s="456"/>
      <c r="I11" s="456"/>
      <c r="J11" s="456"/>
      <c r="K11" s="456"/>
      <c r="L11" s="456"/>
      <c r="M11" s="456"/>
      <c r="N11" s="456"/>
      <c r="O11" s="456"/>
      <c r="P11" s="456"/>
      <c r="Q11" s="456"/>
      <c r="R11" s="456"/>
      <c r="S11" s="456"/>
      <c r="T11" s="456"/>
    </row>
    <row r="12" spans="2:20" x14ac:dyDescent="0.2">
      <c r="B12" s="73" t="s">
        <v>325</v>
      </c>
      <c r="C12" s="1483">
        <f>IF(VLOOKUP('2. EAL Surfer - Summary EALs'!H3,'Table H (Constants)'!C6:T28,12,FALSE)=0,"-",VLOOKUP('2. EAL Surfer - Summary EALs'!H3,'Table H (Constants)'!C6:T28,13,FALSE))</f>
        <v>1</v>
      </c>
      <c r="D12" s="1483"/>
      <c r="E12" s="462" t="s">
        <v>326</v>
      </c>
      <c r="F12" s="63" t="s">
        <v>318</v>
      </c>
      <c r="G12" s="456"/>
      <c r="H12" s="456"/>
      <c r="I12" s="456"/>
      <c r="J12" s="456"/>
      <c r="K12" s="456"/>
      <c r="L12" s="456"/>
      <c r="M12" s="456"/>
      <c r="N12" s="456"/>
      <c r="O12" s="456"/>
      <c r="P12" s="456"/>
      <c r="Q12" s="456"/>
      <c r="R12" s="456"/>
      <c r="S12" s="456"/>
      <c r="T12" s="456"/>
    </row>
    <row r="13" spans="2:20" x14ac:dyDescent="0.2">
      <c r="B13" s="73" t="s">
        <v>327</v>
      </c>
      <c r="C13" s="1483">
        <f>IF(VLOOKUP('2. EAL Surfer - Summary EALs'!H3,'Table H (Constants)'!C6:T28,13,FALSE)=0,"-",VLOOKUP('2. EAL Surfer - Summary EALs'!H3,'Table H (Constants)'!C6:T28,14,FALSE))</f>
        <v>0.1</v>
      </c>
      <c r="D13" s="1483"/>
      <c r="E13" s="462" t="s">
        <v>326</v>
      </c>
      <c r="F13" s="63" t="s">
        <v>318</v>
      </c>
      <c r="G13" s="456"/>
      <c r="H13" s="456"/>
      <c r="I13" s="456"/>
      <c r="J13" s="456"/>
      <c r="K13" s="456"/>
      <c r="L13" s="456"/>
      <c r="M13" s="456"/>
      <c r="N13" s="456"/>
      <c r="O13" s="456"/>
      <c r="P13" s="456"/>
      <c r="Q13" s="456"/>
      <c r="R13" s="456"/>
      <c r="S13" s="456"/>
      <c r="T13" s="456"/>
    </row>
    <row r="14" spans="2:20" x14ac:dyDescent="0.2">
      <c r="B14" s="73" t="s">
        <v>328</v>
      </c>
      <c r="C14" s="1484" t="e">
        <f>IF(AND(C8="-",C9="-"),"-",IF('2. EAL Surfer - Summary EALs'!D5='2. EAL Surfer - Summary EALs'!P13,VLOOKUP('2. EAL Surfer - Summary EALs'!H3,'2. EAL Surfer - Summary EALs'!P34:U56,2,FALSE),VLOOKUP('2. EAL Surfer - Summary EALs'!H3,'2. EAL Surfer - Summary EALs'!P34:U56,3,FALSE)))</f>
        <v>#REF!</v>
      </c>
      <c r="D14" s="1484"/>
      <c r="E14" s="462" t="s">
        <v>326</v>
      </c>
      <c r="F14" s="63" t="str">
        <f>IF('2. EAL Surfer - Summary EALs'!D5='2. EAL Surfer - Summary EALs'!P13,"Table I-1","Table I-2")</f>
        <v>Table I-1</v>
      </c>
      <c r="G14" s="456"/>
      <c r="H14" s="456"/>
      <c r="I14" s="456"/>
      <c r="J14" s="456"/>
      <c r="K14" s="456"/>
      <c r="L14" s="456"/>
      <c r="M14" s="456"/>
      <c r="N14" s="456"/>
      <c r="O14" s="456"/>
      <c r="P14" s="456"/>
      <c r="Q14" s="456"/>
      <c r="R14" s="456"/>
      <c r="S14" s="456"/>
      <c r="T14" s="456"/>
    </row>
    <row r="15" spans="2:20" x14ac:dyDescent="0.2">
      <c r="B15" s="350" t="s">
        <v>329</v>
      </c>
      <c r="C15" s="1487">
        <f>IF(AND(C10="-",C11="-"),"-",VLOOKUP('2. EAL Surfer - Summary EALs'!H3,'2. EAL Surfer - Summary EALs'!P34:U54,5,FALSE))</f>
        <v>1</v>
      </c>
      <c r="D15" s="1488"/>
      <c r="E15" s="462" t="s">
        <v>326</v>
      </c>
      <c r="F15" s="351" t="s">
        <v>330</v>
      </c>
      <c r="G15" s="456"/>
      <c r="H15" s="456"/>
      <c r="I15" s="456"/>
      <c r="J15" s="456"/>
      <c r="K15" s="456"/>
      <c r="L15" s="456"/>
      <c r="M15" s="456"/>
      <c r="N15" s="456"/>
      <c r="O15" s="456"/>
      <c r="P15" s="456"/>
      <c r="Q15" s="456"/>
      <c r="R15" s="456"/>
      <c r="S15" s="456"/>
      <c r="T15" s="456"/>
    </row>
    <row r="16" spans="2:20" x14ac:dyDescent="0.2">
      <c r="B16" s="350" t="s">
        <v>331</v>
      </c>
      <c r="C16" s="1485">
        <f>IF(AND(C10="-",C11="-"),"-",VLOOKUP('2. EAL Surfer - Summary EALs'!H3,'2. EAL Surfer - Summary EALs'!P34:U54,6,FALSE))</f>
        <v>1</v>
      </c>
      <c r="D16" s="1485"/>
      <c r="E16" s="75" t="s">
        <v>326</v>
      </c>
      <c r="F16" s="64" t="str">
        <f>IF('2. EAL Surfer - Summary EALs'!D5='2. EAL Surfer - Summary EALs'!P13,"Table I-1","Table I-2")</f>
        <v>Table I-1</v>
      </c>
      <c r="G16" s="456"/>
      <c r="H16" s="456"/>
      <c r="I16" s="456"/>
      <c r="J16" s="456"/>
      <c r="K16" s="456"/>
      <c r="L16" s="456"/>
      <c r="M16" s="456"/>
      <c r="N16" s="456"/>
      <c r="O16" s="456"/>
      <c r="P16" s="456"/>
      <c r="Q16" s="456"/>
      <c r="R16" s="456"/>
      <c r="S16" s="456"/>
      <c r="T16" s="456"/>
    </row>
    <row r="17" spans="2:6" ht="9" customHeight="1" x14ac:dyDescent="0.2">
      <c r="B17" s="456"/>
      <c r="C17" s="462"/>
      <c r="D17" s="462"/>
      <c r="E17" s="462"/>
      <c r="F17" s="462"/>
    </row>
    <row r="18" spans="2:6" ht="28.5" customHeight="1" x14ac:dyDescent="0.2">
      <c r="B18" s="71" t="s">
        <v>332</v>
      </c>
      <c r="C18" s="1486" t="s">
        <v>314</v>
      </c>
      <c r="D18" s="1486"/>
      <c r="E18" s="461" t="s">
        <v>285</v>
      </c>
      <c r="F18" s="72" t="s">
        <v>315</v>
      </c>
    </row>
    <row r="19" spans="2:6" x14ac:dyDescent="0.2">
      <c r="B19" s="73" t="s">
        <v>333</v>
      </c>
      <c r="C19" s="1482">
        <f>IF(VLOOKUP('2. EAL Surfer - Summary EALs'!H3,'Table D-4a (Aquatic Goals Sum)'!A5:G25,4,FALSE)="","-",VLOOKUP('2. EAL Surfer - Summary EALs'!H3,'Table D-4a (Aquatic Goals Sum)'!A5:G25,4,FALSE))</f>
        <v>100</v>
      </c>
      <c r="D19" s="1482"/>
      <c r="E19" s="462" t="s">
        <v>300</v>
      </c>
      <c r="F19" s="63" t="s">
        <v>334</v>
      </c>
    </row>
    <row r="20" spans="2:6" x14ac:dyDescent="0.2">
      <c r="B20" s="73" t="s">
        <v>335</v>
      </c>
      <c r="C20" s="1482">
        <f>IF(VLOOKUP('2. EAL Surfer - Summary EALs'!H3,'Table D-4a (Aquatic Goals Sum)'!A5:G25,6,FALSE)="","-",VLOOKUP('2. EAL Surfer - Summary EALs'!H3,'Table D-4a (Aquatic Goals Sum)'!A5:G25,6,FALSE))</f>
        <v>100</v>
      </c>
      <c r="D20" s="1482"/>
      <c r="E20" s="462" t="s">
        <v>300</v>
      </c>
      <c r="F20" s="63" t="s">
        <v>334</v>
      </c>
    </row>
    <row r="21" spans="2:6" x14ac:dyDescent="0.2">
      <c r="B21" s="73" t="s">
        <v>336</v>
      </c>
      <c r="C21" s="1482">
        <f>IF(VLOOKUP('2. EAL Surfer - Summary EALs'!H3,'Table D-4a (Aquatic Goals Sum)'!A5:G25,2,FALSE)="","-",VLOOKUP('2. EAL Surfer - Summary EALs'!H3,'Table D-4a (Aquatic Goals Sum)'!A5:G25,2,FALSE))</f>
        <v>100</v>
      </c>
      <c r="D21" s="1482"/>
      <c r="E21" s="462" t="s">
        <v>300</v>
      </c>
      <c r="F21" s="63" t="s">
        <v>334</v>
      </c>
    </row>
    <row r="22" spans="2:6" x14ac:dyDescent="0.2">
      <c r="B22" s="73" t="s">
        <v>337</v>
      </c>
      <c r="C22" s="1482">
        <f>IF(VLOOKUP('2. EAL Surfer - Summary EALs'!H3,'Table D-4a (Aquatic Goals Sum)'!A5:G25,5,FALSE)="","-",VLOOKUP('2. EAL Surfer - Summary EALs'!H3,'Table D-4a (Aquatic Goals Sum)'!A5:G25,5,FALSE))</f>
        <v>100</v>
      </c>
      <c r="D22" s="1482"/>
      <c r="E22" s="462" t="s">
        <v>300</v>
      </c>
      <c r="F22" s="63" t="s">
        <v>334</v>
      </c>
    </row>
    <row r="23" spans="2:6" x14ac:dyDescent="0.2">
      <c r="B23" s="73" t="s">
        <v>338</v>
      </c>
      <c r="C23" s="1482">
        <f>IF(VLOOKUP('2. EAL Surfer - Summary EALs'!H3,'Table D-4a (Aquatic Goals Sum)'!A5:G25,7,FALSE)="","-",VLOOKUP('2. EAL Surfer - Summary EALs'!H3,'Table D-4a (Aquatic Goals Sum)'!A5:G25,7,FALSE))</f>
        <v>100</v>
      </c>
      <c r="D23" s="1482"/>
      <c r="E23" s="462" t="s">
        <v>300</v>
      </c>
      <c r="F23" s="63" t="s">
        <v>334</v>
      </c>
    </row>
    <row r="24" spans="2:6" x14ac:dyDescent="0.2">
      <c r="B24" s="73" t="s">
        <v>339</v>
      </c>
      <c r="C24" s="1482">
        <f>IF(VLOOKUP('2. EAL Surfer - Summary EALs'!H3,'Table D-4a (Aquatic Goals Sum)'!A5:G25,3,FALSE)="","-",VLOOKUP('2. EAL Surfer - Summary EALs'!H3,'Table D-4a (Aquatic Goals Sum)'!A5:G25,3,FALSE))</f>
        <v>100</v>
      </c>
      <c r="D24" s="1482"/>
      <c r="E24" s="462" t="s">
        <v>300</v>
      </c>
      <c r="F24" s="63" t="s">
        <v>334</v>
      </c>
    </row>
    <row r="25" spans="2:6" x14ac:dyDescent="0.2">
      <c r="B25" s="74" t="s">
        <v>340</v>
      </c>
      <c r="C25" s="1491" t="s">
        <v>307</v>
      </c>
      <c r="D25" s="1491"/>
      <c r="E25" s="75" t="s">
        <v>300</v>
      </c>
      <c r="F25" s="64" t="s">
        <v>341</v>
      </c>
    </row>
    <row r="26" spans="2:6" x14ac:dyDescent="0.2">
      <c r="B26" s="62" t="s">
        <v>342</v>
      </c>
      <c r="C26" s="462"/>
      <c r="D26" s="462"/>
      <c r="E26" s="462"/>
      <c r="F26" s="462"/>
    </row>
    <row r="27" spans="2:6" ht="7.5" customHeight="1" x14ac:dyDescent="0.2">
      <c r="B27" s="62"/>
      <c r="C27" s="462"/>
      <c r="D27" s="462"/>
      <c r="E27" s="462"/>
      <c r="F27" s="462"/>
    </row>
    <row r="28" spans="2:6" ht="27" customHeight="1" x14ac:dyDescent="0.2">
      <c r="B28" s="71" t="s">
        <v>343</v>
      </c>
      <c r="C28" s="1486" t="s">
        <v>314</v>
      </c>
      <c r="D28" s="1486"/>
      <c r="E28" s="461" t="s">
        <v>285</v>
      </c>
      <c r="F28" s="72" t="s">
        <v>315</v>
      </c>
    </row>
    <row r="29" spans="2:6" x14ac:dyDescent="0.2">
      <c r="B29" s="73" t="s">
        <v>344</v>
      </c>
      <c r="C29" s="1483">
        <f>VLOOKUP('2. EAL Surfer - Summary EALs'!H3,'Table H (Constants)'!C6:T28,4,FALSE)</f>
        <v>114.023</v>
      </c>
      <c r="D29" s="1483"/>
      <c r="E29" s="462"/>
      <c r="F29" s="63" t="s">
        <v>318</v>
      </c>
    </row>
    <row r="30" spans="2:6" x14ac:dyDescent="0.2">
      <c r="B30" s="73" t="s">
        <v>345</v>
      </c>
      <c r="C30" s="9" t="str">
        <f>IF((VLOOKUP('2. EAL Surfer - Summary EALs'!H3,'Table H (Constants)'!C6:T28,2,FALSE))="V","volatile","nonvolatile")</f>
        <v>volatile</v>
      </c>
      <c r="D30" s="9" t="e">
        <f>IF((VLOOKUP('2. EAL Surfer - Summary EALs'!H3,'Table H (Constants)'!C6:T28,3,FALSE))="S","solid",IF((VLOOKUP('2. EAL Surfer - Summary EALs'!H3,'Table H (Constants)'!C6:T28,3))="L","liquid","gas"))</f>
        <v>#N/A</v>
      </c>
      <c r="E30" s="462"/>
      <c r="F30" s="63" t="s">
        <v>318</v>
      </c>
    </row>
    <row r="31" spans="2:6" ht="14.25" x14ac:dyDescent="0.2">
      <c r="B31" s="73" t="s">
        <v>346</v>
      </c>
      <c r="C31" s="1482">
        <f>IF((VLOOKUP('2. EAL Surfer - Summary EALs'!H3,'Table H (Constants)'!C6:T28,6,FALSE))=0,"-",(VLOOKUP('2. EAL Surfer - Summary EALs'!H3,'Table H (Constants)'!C6:T28,6,FALSE)))</f>
        <v>4.07</v>
      </c>
      <c r="D31" s="1482"/>
      <c r="E31" s="404" t="s">
        <v>347</v>
      </c>
      <c r="F31" s="63" t="s">
        <v>318</v>
      </c>
    </row>
    <row r="32" spans="2:6" ht="14.25" x14ac:dyDescent="0.2">
      <c r="B32" s="73" t="s">
        <v>348</v>
      </c>
      <c r="C32" s="1482">
        <f>IF((VLOOKUP('2. EAL Surfer - Summary EALs'!H3,'Table H (Constants)'!C6:T28,7,FALSE))=0,"-",(VLOOKUP('2. EAL Surfer - Summary EALs'!H3,'Table H (Constants)'!C6:T28,7,FALSE)))</f>
        <v>5.0700000000000002E-2</v>
      </c>
      <c r="D32" s="1482"/>
      <c r="E32" s="404" t="s">
        <v>349</v>
      </c>
      <c r="F32" s="63" t="s">
        <v>318</v>
      </c>
    </row>
    <row r="33" spans="2:6" ht="14.25" x14ac:dyDescent="0.2">
      <c r="B33" s="73" t="s">
        <v>350</v>
      </c>
      <c r="C33" s="1482">
        <f>IF((VLOOKUP('2. EAL Surfer - Summary EALs'!H3,'Table H (Constants)'!C6:T28,8,FALSE))=0,"-",(VLOOKUP('2. EAL Surfer - Summary EALs'!H3,'Table H (Constants)'!C6:T28,8,FALSE)))</f>
        <v>9.3000000000000007E-6</v>
      </c>
      <c r="D33" s="1482"/>
      <c r="E33" s="404" t="s">
        <v>349</v>
      </c>
      <c r="F33" s="63" t="s">
        <v>318</v>
      </c>
    </row>
    <row r="34" spans="2:6" x14ac:dyDescent="0.2">
      <c r="B34" s="73" t="s">
        <v>351</v>
      </c>
      <c r="C34" s="1482">
        <f>IF((VLOOKUP('2. EAL Surfer - Summary EALs'!H3,'Table H (Constants)'!C6:T28,9,FALSE))=0,"-",(VLOOKUP('2. EAL Surfer - Summary EALs'!H3,'Table H (Constants)'!C6:T28,9,FALSE)))</f>
        <v>993140.33000000007</v>
      </c>
      <c r="D34" s="1482"/>
      <c r="E34" s="405" t="s">
        <v>352</v>
      </c>
      <c r="F34" s="63" t="s">
        <v>318</v>
      </c>
    </row>
    <row r="35" spans="2:6" ht="14.25" x14ac:dyDescent="0.2">
      <c r="B35" s="73" t="s">
        <v>353</v>
      </c>
      <c r="C35" s="1482">
        <f>IF((VLOOKUP('2. EAL Surfer - Summary EALs'!H3,'Table H (Constants)'!C6:T28,11,FALSE))=0,"-",(VLOOKUP('2. EAL Surfer - Summary EALs'!H3,'Table H (Constants)'!C6:T28,11,FALSE)))</f>
        <v>3.31E-3</v>
      </c>
      <c r="D35" s="1482"/>
      <c r="E35" s="404" t="s">
        <v>354</v>
      </c>
      <c r="F35" s="63" t="s">
        <v>318</v>
      </c>
    </row>
    <row r="36" spans="2:6" x14ac:dyDescent="0.2">
      <c r="B36" s="74" t="s">
        <v>353</v>
      </c>
      <c r="C36" s="1491">
        <f>IF((VLOOKUP('2. EAL Surfer - Summary EALs'!H3,'Table H (Constants)'!C6:T28,12,FALSE))=0,"-",(VLOOKUP('2. EAL Surfer - Summary EALs'!H3,'Table H (Constants)'!C6:T28,12,FALSE)))</f>
        <v>0.13530106336945164</v>
      </c>
      <c r="D36" s="1491"/>
      <c r="E36" s="406" t="s">
        <v>326</v>
      </c>
      <c r="F36" s="64" t="s">
        <v>318</v>
      </c>
    </row>
    <row r="37" spans="2:6" ht="6.75" customHeight="1" x14ac:dyDescent="0.2">
      <c r="B37" s="456"/>
      <c r="C37" s="462"/>
      <c r="D37" s="462"/>
      <c r="E37" s="462"/>
      <c r="F37" s="462"/>
    </row>
    <row r="38" spans="2:6" ht="20.100000000000001" customHeight="1" x14ac:dyDescent="0.2">
      <c r="B38" s="308" t="s">
        <v>355</v>
      </c>
      <c r="C38" s="456"/>
      <c r="D38" s="456"/>
      <c r="E38" s="76"/>
      <c r="F38" s="459"/>
    </row>
    <row r="39" spans="2:6" ht="55.5" customHeight="1" x14ac:dyDescent="0.2">
      <c r="B39" s="1492" t="s">
        <v>162</v>
      </c>
      <c r="C39" s="1327"/>
      <c r="D39" s="1327"/>
      <c r="E39" s="1327"/>
      <c r="F39" s="1327"/>
    </row>
    <row r="40" spans="2:6" ht="54.95" customHeight="1" x14ac:dyDescent="0.2">
      <c r="B40" s="1492" t="s">
        <v>161</v>
      </c>
      <c r="C40" s="1327"/>
      <c r="D40" s="1327"/>
      <c r="E40" s="1327"/>
      <c r="F40" s="1327"/>
    </row>
  </sheetData>
  <sheetProtection algorithmName="SHA-512" hashValue="acVdHd++uM10NPQ3o/Z+MT2/QmOjgyV0VurqC9MkDvsplQry0mNkIceZMUZLCFDAG9hrGnoQJD7RXuxRTEQeJg==" saltValue="0mkMdN8ipiYjFbvbjOhbcA==" spinCount="100000" sheet="1" objects="1" scenarios="1"/>
  <mergeCells count="29">
    <mergeCell ref="B40:F40"/>
    <mergeCell ref="C32:D32"/>
    <mergeCell ref="C33:D33"/>
    <mergeCell ref="C34:D34"/>
    <mergeCell ref="C35:D35"/>
    <mergeCell ref="C36:D36"/>
    <mergeCell ref="B39:F39"/>
    <mergeCell ref="C25:D25"/>
    <mergeCell ref="C28:D28"/>
    <mergeCell ref="C29:D29"/>
    <mergeCell ref="C31:D31"/>
    <mergeCell ref="C22:D22"/>
    <mergeCell ref="C23:D23"/>
    <mergeCell ref="C24:D24"/>
    <mergeCell ref="B5:F5"/>
    <mergeCell ref="C7:D7"/>
    <mergeCell ref="C8:D8"/>
    <mergeCell ref="C9:D9"/>
    <mergeCell ref="C10:D10"/>
    <mergeCell ref="C11:D11"/>
    <mergeCell ref="C13:D13"/>
    <mergeCell ref="C20:D20"/>
    <mergeCell ref="C12:D12"/>
    <mergeCell ref="C21:D21"/>
    <mergeCell ref="C14:D14"/>
    <mergeCell ref="C16:D16"/>
    <mergeCell ref="C18:D18"/>
    <mergeCell ref="C19:D19"/>
    <mergeCell ref="C15:D15"/>
  </mergeCells>
  <phoneticPr fontId="16" type="noConversion"/>
  <printOptions horizontalCentered="1"/>
  <pageMargins left="0.75" right="0.75" top="0.47" bottom="0.51" header="0.42" footer="0.26"/>
  <pageSetup orientation="portrait" horizontalDpi="4294967293"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5"/>
    <pageSetUpPr fitToPage="1"/>
  </sheetPr>
  <dimension ref="B1:N24"/>
  <sheetViews>
    <sheetView showGridLines="0" showRowColHeaders="0" workbookViewId="0">
      <selection activeCell="B2" sqref="B2:M2"/>
    </sheetView>
  </sheetViews>
  <sheetFormatPr defaultRowHeight="12.75" x14ac:dyDescent="0.2"/>
  <cols>
    <col min="1" max="1" width="2.5703125" customWidth="1"/>
    <col min="4" max="4" width="13.7109375" customWidth="1"/>
    <col min="5" max="13" width="6.7109375" customWidth="1"/>
  </cols>
  <sheetData>
    <row r="1" spans="2:14" ht="58.5" customHeight="1" x14ac:dyDescent="0.25">
      <c r="B1" s="1506" t="s">
        <v>356</v>
      </c>
      <c r="C1" s="1507"/>
      <c r="D1" s="1507"/>
      <c r="E1" s="1507"/>
      <c r="F1" s="1507"/>
      <c r="G1" s="1507"/>
      <c r="H1" s="1507"/>
      <c r="I1" s="1507"/>
      <c r="J1" s="1507"/>
      <c r="K1" s="1327"/>
      <c r="L1" s="1327"/>
      <c r="M1" s="1327"/>
      <c r="N1" s="7"/>
    </row>
    <row r="2" spans="2:14" ht="44.25" customHeight="1" x14ac:dyDescent="0.25">
      <c r="B2" s="1508" t="s">
        <v>253</v>
      </c>
      <c r="C2" s="1326"/>
      <c r="D2" s="1326"/>
      <c r="E2" s="1326"/>
      <c r="F2" s="1326"/>
      <c r="G2" s="1326"/>
      <c r="H2" s="1326"/>
      <c r="I2" s="1326"/>
      <c r="J2" s="1326"/>
      <c r="K2" s="1326"/>
      <c r="L2" s="1326"/>
      <c r="M2" s="1326"/>
      <c r="N2" s="7"/>
    </row>
    <row r="3" spans="2:14" ht="15.75" thickBot="1" x14ac:dyDescent="0.3">
      <c r="B3" s="148" t="s">
        <v>357</v>
      </c>
      <c r="C3" s="147"/>
      <c r="D3" s="147"/>
      <c r="E3" s="448"/>
      <c r="F3" s="448"/>
      <c r="G3" s="448"/>
      <c r="H3" s="448"/>
      <c r="I3" s="448"/>
      <c r="J3" s="448"/>
      <c r="K3" s="448"/>
      <c r="L3" s="448"/>
      <c r="M3" s="448"/>
      <c r="N3" s="447"/>
    </row>
    <row r="4" spans="2:14" ht="47.25" customHeight="1" thickTop="1" x14ac:dyDescent="0.25">
      <c r="B4" s="143"/>
      <c r="C4" s="82"/>
      <c r="D4" s="141" t="s">
        <v>289</v>
      </c>
      <c r="E4" s="1509" t="s">
        <v>358</v>
      </c>
      <c r="F4" s="1510"/>
      <c r="G4" s="1510"/>
      <c r="H4" s="1510"/>
      <c r="I4" s="1510"/>
      <c r="J4" s="1510"/>
      <c r="K4" s="1510"/>
      <c r="L4" s="1510"/>
      <c r="M4" s="1511"/>
      <c r="N4" s="447"/>
    </row>
    <row r="5" spans="2:14" ht="57" customHeight="1" x14ac:dyDescent="0.25">
      <c r="B5" s="143"/>
      <c r="C5" s="82"/>
      <c r="D5" s="141" t="s">
        <v>291</v>
      </c>
      <c r="E5" s="1499" t="s">
        <v>359</v>
      </c>
      <c r="F5" s="1500"/>
      <c r="G5" s="1500"/>
      <c r="H5" s="1500"/>
      <c r="I5" s="1500"/>
      <c r="J5" s="1500"/>
      <c r="K5" s="1500"/>
      <c r="L5" s="1500"/>
      <c r="M5" s="1501"/>
      <c r="N5" s="447"/>
    </row>
    <row r="6" spans="2:14" ht="43.5" customHeight="1" x14ac:dyDescent="0.25">
      <c r="B6" s="143"/>
      <c r="C6" s="82"/>
      <c r="D6" s="141" t="s">
        <v>292</v>
      </c>
      <c r="E6" s="1499" t="s">
        <v>360</v>
      </c>
      <c r="F6" s="1500"/>
      <c r="G6" s="1500"/>
      <c r="H6" s="1500"/>
      <c r="I6" s="1500"/>
      <c r="J6" s="1500"/>
      <c r="K6" s="1500"/>
      <c r="L6" s="1500"/>
      <c r="M6" s="1501"/>
      <c r="N6" s="447"/>
    </row>
    <row r="7" spans="2:14" ht="55.5" customHeight="1" x14ac:dyDescent="0.25">
      <c r="B7" s="143"/>
      <c r="C7" s="82"/>
      <c r="D7" s="141" t="s">
        <v>293</v>
      </c>
      <c r="E7" s="1499" t="s">
        <v>361</v>
      </c>
      <c r="F7" s="1500"/>
      <c r="G7" s="1500"/>
      <c r="H7" s="1500"/>
      <c r="I7" s="1500"/>
      <c r="J7" s="1500"/>
      <c r="K7" s="1500"/>
      <c r="L7" s="1500"/>
      <c r="M7" s="1501"/>
      <c r="N7" s="447"/>
    </row>
    <row r="8" spans="2:14" ht="28.5" customHeight="1" thickBot="1" x14ac:dyDescent="0.3">
      <c r="B8" s="144"/>
      <c r="C8" s="145"/>
      <c r="D8" s="146" t="s">
        <v>362</v>
      </c>
      <c r="E8" s="1496" t="s">
        <v>363</v>
      </c>
      <c r="F8" s="1497"/>
      <c r="G8" s="1497"/>
      <c r="H8" s="1497"/>
      <c r="I8" s="1497"/>
      <c r="J8" s="1497"/>
      <c r="K8" s="1497"/>
      <c r="L8" s="1497"/>
      <c r="M8" s="1498"/>
      <c r="N8" s="447"/>
    </row>
    <row r="9" spans="2:14" ht="13.5" thickTop="1" x14ac:dyDescent="0.2">
      <c r="B9" s="447"/>
      <c r="C9" s="447"/>
      <c r="D9" s="447"/>
      <c r="E9" s="447"/>
      <c r="F9" s="447"/>
      <c r="G9" s="447"/>
      <c r="H9" s="447"/>
      <c r="I9" s="447"/>
      <c r="J9" s="447"/>
      <c r="K9" s="447"/>
      <c r="L9" s="447"/>
      <c r="M9" s="447"/>
      <c r="N9" s="447"/>
    </row>
    <row r="10" spans="2:14" x14ac:dyDescent="0.2">
      <c r="B10" s="447"/>
      <c r="C10" s="447"/>
      <c r="D10" s="142"/>
      <c r="E10" s="447"/>
      <c r="F10" s="447"/>
      <c r="G10" s="447"/>
      <c r="H10" s="447"/>
      <c r="I10" s="447"/>
      <c r="J10" s="447"/>
      <c r="K10" s="447"/>
      <c r="L10" s="447"/>
      <c r="M10" s="447"/>
      <c r="N10" s="447"/>
    </row>
    <row r="11" spans="2:14" ht="15.75" thickBot="1" x14ac:dyDescent="0.3">
      <c r="B11" s="154" t="s">
        <v>364</v>
      </c>
      <c r="C11" s="152"/>
      <c r="D11" s="153"/>
      <c r="E11" s="288"/>
      <c r="F11" s="447"/>
      <c r="G11" s="447"/>
      <c r="H11" s="447"/>
      <c r="I11" s="447"/>
      <c r="J11" s="447"/>
      <c r="K11" s="447"/>
      <c r="L11" s="447"/>
      <c r="M11" s="447"/>
      <c r="N11" s="447"/>
    </row>
    <row r="12" spans="2:14" ht="69.75" customHeight="1" thickTop="1" x14ac:dyDescent="0.25">
      <c r="B12" s="149"/>
      <c r="C12" s="150"/>
      <c r="D12" s="151" t="s">
        <v>299</v>
      </c>
      <c r="E12" s="1503" t="s">
        <v>365</v>
      </c>
      <c r="F12" s="1504"/>
      <c r="G12" s="1504"/>
      <c r="H12" s="1504"/>
      <c r="I12" s="1504"/>
      <c r="J12" s="1504"/>
      <c r="K12" s="1504"/>
      <c r="L12" s="1504"/>
      <c r="M12" s="1505"/>
      <c r="N12" s="447"/>
    </row>
    <row r="13" spans="2:14" ht="57" customHeight="1" x14ac:dyDescent="0.25">
      <c r="B13" s="143"/>
      <c r="C13" s="82"/>
      <c r="D13" s="141" t="s">
        <v>291</v>
      </c>
      <c r="E13" s="1499" t="s">
        <v>359</v>
      </c>
      <c r="F13" s="1500"/>
      <c r="G13" s="1500"/>
      <c r="H13" s="1500"/>
      <c r="I13" s="1500"/>
      <c r="J13" s="1500"/>
      <c r="K13" s="1500"/>
      <c r="L13" s="1500"/>
      <c r="M13" s="1501"/>
      <c r="N13" s="447"/>
    </row>
    <row r="14" spans="2:14" ht="56.25" customHeight="1" x14ac:dyDescent="0.25">
      <c r="B14" s="143"/>
      <c r="C14" s="82"/>
      <c r="D14" s="141" t="s">
        <v>301</v>
      </c>
      <c r="E14" s="1499" t="s">
        <v>366</v>
      </c>
      <c r="F14" s="1500"/>
      <c r="G14" s="1500"/>
      <c r="H14" s="1500"/>
      <c r="I14" s="1500"/>
      <c r="J14" s="1500"/>
      <c r="K14" s="1500"/>
      <c r="L14" s="1500"/>
      <c r="M14" s="1501"/>
      <c r="N14" s="447"/>
    </row>
    <row r="15" spans="2:14" ht="55.5" customHeight="1" thickBot="1" x14ac:dyDescent="0.3">
      <c r="B15" s="144"/>
      <c r="C15" s="145"/>
      <c r="D15" s="146" t="s">
        <v>293</v>
      </c>
      <c r="E15" s="1502" t="s">
        <v>361</v>
      </c>
      <c r="F15" s="1497"/>
      <c r="G15" s="1497"/>
      <c r="H15" s="1497"/>
      <c r="I15" s="1497"/>
      <c r="J15" s="1497"/>
      <c r="K15" s="1497"/>
      <c r="L15" s="1497"/>
      <c r="M15" s="1498"/>
      <c r="N15" s="447"/>
    </row>
    <row r="16" spans="2:14" ht="13.5" thickTop="1" x14ac:dyDescent="0.2">
      <c r="B16" s="447"/>
      <c r="C16" s="447"/>
      <c r="D16" s="447"/>
      <c r="E16" s="447"/>
      <c r="F16" s="447"/>
      <c r="G16" s="447"/>
      <c r="H16" s="447"/>
      <c r="I16" s="447"/>
      <c r="J16" s="447"/>
      <c r="K16" s="447"/>
      <c r="L16" s="447"/>
      <c r="M16" s="447"/>
      <c r="N16" s="447"/>
    </row>
    <row r="17" spans="2:13" ht="13.5" thickBot="1" x14ac:dyDescent="0.25">
      <c r="B17" s="447"/>
      <c r="C17" s="447"/>
      <c r="D17" s="447"/>
      <c r="E17" s="447"/>
      <c r="F17" s="447"/>
      <c r="G17" s="447"/>
      <c r="H17" s="447"/>
      <c r="I17" s="447"/>
      <c r="J17" s="447"/>
      <c r="K17" s="447"/>
      <c r="L17" s="447"/>
      <c r="M17" s="447"/>
    </row>
    <row r="18" spans="2:13" ht="45" customHeight="1" thickTop="1" thickBot="1" x14ac:dyDescent="0.25">
      <c r="B18" s="155" t="s">
        <v>367</v>
      </c>
      <c r="C18" s="156"/>
      <c r="D18" s="156"/>
      <c r="E18" s="1493" t="s">
        <v>368</v>
      </c>
      <c r="F18" s="1493"/>
      <c r="G18" s="1493"/>
      <c r="H18" s="1493"/>
      <c r="I18" s="1493"/>
      <c r="J18" s="1493"/>
      <c r="K18" s="1493"/>
      <c r="L18" s="1493"/>
      <c r="M18" s="1494"/>
    </row>
    <row r="19" spans="2:13" ht="14.25" thickTop="1" thickBot="1" x14ac:dyDescent="0.25">
      <c r="B19" s="447"/>
      <c r="C19" s="447"/>
      <c r="D19" s="447"/>
      <c r="E19" s="447"/>
      <c r="F19" s="447"/>
      <c r="G19" s="447"/>
      <c r="H19" s="447"/>
      <c r="I19" s="447"/>
      <c r="J19" s="447"/>
      <c r="K19" s="447"/>
      <c r="L19" s="447"/>
      <c r="M19" s="447"/>
    </row>
    <row r="20" spans="2:13" ht="43.5" customHeight="1" thickTop="1" thickBot="1" x14ac:dyDescent="0.25">
      <c r="B20" s="184"/>
      <c r="C20" s="185"/>
      <c r="D20" s="186" t="s">
        <v>369</v>
      </c>
      <c r="E20" s="1495" t="s">
        <v>370</v>
      </c>
      <c r="F20" s="1336"/>
      <c r="G20" s="1336"/>
      <c r="H20" s="1336"/>
      <c r="I20" s="1336"/>
      <c r="J20" s="1336"/>
      <c r="K20" s="1336"/>
      <c r="L20" s="1336"/>
      <c r="M20" s="1337"/>
    </row>
    <row r="21" spans="2:13" ht="13.5" thickTop="1" x14ac:dyDescent="0.2">
      <c r="B21" s="447"/>
      <c r="C21" s="447"/>
      <c r="D21" s="447"/>
      <c r="E21" s="447"/>
      <c r="F21" s="447"/>
      <c r="G21" s="447"/>
      <c r="H21" s="447"/>
      <c r="I21" s="447"/>
      <c r="J21" s="447"/>
      <c r="K21" s="447"/>
      <c r="L21" s="447"/>
      <c r="M21" s="447"/>
    </row>
    <row r="22" spans="2:13" ht="43.5" customHeight="1" x14ac:dyDescent="0.2">
      <c r="B22" s="1393" t="s">
        <v>162</v>
      </c>
      <c r="C22" s="1393"/>
      <c r="D22" s="1393"/>
      <c r="E22" s="1393"/>
      <c r="F22" s="1393"/>
      <c r="G22" s="1393"/>
      <c r="H22" s="1393"/>
      <c r="I22" s="1393"/>
      <c r="J22" s="1393"/>
      <c r="K22" s="1393"/>
      <c r="L22" s="1393"/>
      <c r="M22" s="1393"/>
    </row>
    <row r="24" spans="2:13" ht="43.5" customHeight="1" x14ac:dyDescent="0.2">
      <c r="B24" s="1393" t="s">
        <v>161</v>
      </c>
      <c r="C24" s="1393"/>
      <c r="D24" s="1393"/>
      <c r="E24" s="1393"/>
      <c r="F24" s="1393"/>
      <c r="G24" s="1393"/>
      <c r="H24" s="1393"/>
      <c r="I24" s="1393"/>
      <c r="J24" s="1393"/>
      <c r="K24" s="1393"/>
      <c r="L24" s="1393"/>
      <c r="M24" s="1393"/>
    </row>
  </sheetData>
  <sheetProtection algorithmName="SHA-512" hashValue="WRkAzYL841wDvpp4C6yPVi8aMwJuabzp1gytzyjxqgr6OiNyiA3z+hJcGr0BVpETmFEFpqDIe7t3DlHHt3xZDQ==" saltValue="Ge3mp5as4sc7+fG1cN1ePw==" spinCount="100000" sheet="1" objects="1" scenarios="1"/>
  <mergeCells count="15">
    <mergeCell ref="B1:M1"/>
    <mergeCell ref="E5:M5"/>
    <mergeCell ref="E6:M6"/>
    <mergeCell ref="E7:M7"/>
    <mergeCell ref="B2:M2"/>
    <mergeCell ref="E4:M4"/>
    <mergeCell ref="B24:M24"/>
    <mergeCell ref="E18:M18"/>
    <mergeCell ref="E20:M20"/>
    <mergeCell ref="B22:M22"/>
    <mergeCell ref="E8:M8"/>
    <mergeCell ref="E14:M14"/>
    <mergeCell ref="E13:M13"/>
    <mergeCell ref="E15:M15"/>
    <mergeCell ref="E12:M12"/>
  </mergeCells>
  <phoneticPr fontId="16" type="noConversion"/>
  <printOptions horizontalCentered="1"/>
  <pageMargins left="0.75" right="0.75" top="0.56000000000000005" bottom="1" header="0.5" footer="0.5"/>
  <pageSetup scale="88" orientation="portrait" horizontalDpi="4294967293"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5"/>
    <pageSetUpPr autoPageBreaks="0"/>
  </sheetPr>
  <dimension ref="B1:I21"/>
  <sheetViews>
    <sheetView showGridLines="0" workbookViewId="0">
      <selection activeCell="E3" sqref="E3:F3"/>
    </sheetView>
  </sheetViews>
  <sheetFormatPr defaultRowHeight="12.75" x14ac:dyDescent="0.2"/>
  <cols>
    <col min="1" max="1" width="5" customWidth="1"/>
  </cols>
  <sheetData>
    <row r="1" spans="2:9" ht="47.25" customHeight="1" x14ac:dyDescent="0.3">
      <c r="B1" s="1512" t="s">
        <v>371</v>
      </c>
      <c r="C1" s="1513"/>
      <c r="D1" s="1513"/>
      <c r="E1" s="1513"/>
      <c r="F1" s="1513"/>
      <c r="G1" s="1513"/>
      <c r="H1" s="1513"/>
      <c r="I1" s="1513"/>
    </row>
    <row r="3" spans="2:9" ht="18.75" x14ac:dyDescent="0.3">
      <c r="B3" s="65"/>
      <c r="C3" s="66"/>
      <c r="D3" s="66"/>
      <c r="E3" s="1514" t="s">
        <v>372</v>
      </c>
      <c r="F3" s="1514"/>
      <c r="G3" s="66"/>
      <c r="H3" s="66"/>
      <c r="I3" s="66"/>
    </row>
    <row r="4" spans="2:9" ht="18.75" x14ac:dyDescent="0.3">
      <c r="B4" s="79" t="s">
        <v>373</v>
      </c>
      <c r="C4" s="66"/>
      <c r="D4" s="66"/>
      <c r="E4" s="463"/>
      <c r="F4" s="463"/>
      <c r="G4" s="66"/>
      <c r="H4" s="66"/>
      <c r="I4" s="66"/>
    </row>
    <row r="5" spans="2:9" ht="48.75" customHeight="1" x14ac:dyDescent="0.25">
      <c r="B5" s="1517" t="s">
        <v>374</v>
      </c>
      <c r="C5" s="1518"/>
      <c r="D5" s="1518"/>
      <c r="E5" s="1518"/>
      <c r="F5" s="1518"/>
      <c r="G5" s="1518"/>
      <c r="H5" s="1518"/>
      <c r="I5" s="1518"/>
    </row>
    <row r="6" spans="2:9" ht="48.75" customHeight="1" x14ac:dyDescent="0.25">
      <c r="B6" s="1517" t="s">
        <v>375</v>
      </c>
      <c r="C6" s="1327"/>
      <c r="D6" s="1327"/>
      <c r="E6" s="1327"/>
      <c r="F6" s="1327"/>
      <c r="G6" s="1327"/>
      <c r="H6" s="1327"/>
      <c r="I6" s="1327"/>
    </row>
    <row r="7" spans="2:9" ht="101.25" customHeight="1" x14ac:dyDescent="0.25">
      <c r="B7" s="1329" t="s">
        <v>376</v>
      </c>
      <c r="C7" s="1393"/>
      <c r="D7" s="1393"/>
      <c r="E7" s="1393"/>
      <c r="F7" s="1393"/>
      <c r="G7" s="1393"/>
      <c r="H7" s="1393"/>
      <c r="I7" s="1393"/>
    </row>
    <row r="8" spans="2:9" ht="33" customHeight="1" x14ac:dyDescent="0.25">
      <c r="B8" s="1515" t="s">
        <v>377</v>
      </c>
      <c r="C8" s="1516"/>
      <c r="D8" s="1516"/>
      <c r="E8" s="1516"/>
      <c r="F8" s="1516"/>
      <c r="G8" s="1516"/>
      <c r="H8" s="1516"/>
      <c r="I8" s="1516"/>
    </row>
    <row r="9" spans="2:9" ht="48.75" customHeight="1" x14ac:dyDescent="0.25">
      <c r="B9" s="1329" t="s">
        <v>378</v>
      </c>
      <c r="C9" s="1327"/>
      <c r="D9" s="1327"/>
      <c r="E9" s="1327"/>
      <c r="F9" s="1327"/>
      <c r="G9" s="1327"/>
      <c r="H9" s="1327"/>
      <c r="I9" s="1327"/>
    </row>
    <row r="10" spans="2:9" ht="35.25" customHeight="1" x14ac:dyDescent="0.25">
      <c r="B10" s="1329" t="s">
        <v>379</v>
      </c>
      <c r="C10" s="1327"/>
      <c r="D10" s="1327"/>
      <c r="E10" s="1327"/>
      <c r="F10" s="1327"/>
      <c r="G10" s="1327"/>
      <c r="H10" s="1327"/>
      <c r="I10" s="1327"/>
    </row>
    <row r="11" spans="2:9" ht="63" customHeight="1" x14ac:dyDescent="0.25">
      <c r="B11" s="1329" t="s">
        <v>380</v>
      </c>
      <c r="C11" s="1327"/>
      <c r="D11" s="1327"/>
      <c r="E11" s="1327"/>
      <c r="F11" s="1327"/>
      <c r="G11" s="1327"/>
      <c r="H11" s="1327"/>
      <c r="I11" s="1327"/>
    </row>
    <row r="12" spans="2:9" ht="37.5" customHeight="1" x14ac:dyDescent="0.25">
      <c r="B12" s="1329" t="s">
        <v>381</v>
      </c>
      <c r="C12" s="1327"/>
      <c r="D12" s="1327"/>
      <c r="E12" s="1327"/>
      <c r="F12" s="1327"/>
      <c r="G12" s="1327"/>
      <c r="H12" s="1327"/>
      <c r="I12" s="1327"/>
    </row>
    <row r="13" spans="2:9" ht="48.75" customHeight="1" x14ac:dyDescent="0.25">
      <c r="B13" s="1329" t="s">
        <v>382</v>
      </c>
      <c r="C13" s="1327"/>
      <c r="D13" s="1327"/>
      <c r="E13" s="1327"/>
      <c r="F13" s="1327"/>
      <c r="G13" s="1327"/>
      <c r="H13" s="1327"/>
      <c r="I13" s="1327"/>
    </row>
    <row r="14" spans="2:9" ht="32.25" customHeight="1" x14ac:dyDescent="0.25">
      <c r="B14" s="1515" t="s">
        <v>383</v>
      </c>
      <c r="C14" s="1516"/>
      <c r="D14" s="1516"/>
      <c r="E14" s="1516"/>
      <c r="F14" s="1516"/>
      <c r="G14" s="1516"/>
      <c r="H14" s="1516"/>
      <c r="I14" s="1516"/>
    </row>
    <row r="15" spans="2:9" ht="48.75" customHeight="1" x14ac:dyDescent="0.25">
      <c r="B15" s="1329" t="s">
        <v>384</v>
      </c>
      <c r="C15" s="1327"/>
      <c r="D15" s="1327"/>
      <c r="E15" s="1327"/>
      <c r="F15" s="1327"/>
      <c r="G15" s="1327"/>
      <c r="H15" s="1327"/>
      <c r="I15" s="1327"/>
    </row>
    <row r="16" spans="2:9" ht="35.25" customHeight="1" x14ac:dyDescent="0.25">
      <c r="B16" s="1329" t="s">
        <v>385</v>
      </c>
      <c r="C16" s="1327"/>
      <c r="D16" s="1327"/>
      <c r="E16" s="1327"/>
      <c r="F16" s="1327"/>
      <c r="G16" s="1327"/>
      <c r="H16" s="1327"/>
      <c r="I16" s="1327"/>
    </row>
    <row r="17" spans="2:9" ht="37.5" customHeight="1" x14ac:dyDescent="0.25">
      <c r="B17" s="1329" t="s">
        <v>386</v>
      </c>
      <c r="C17" s="1327"/>
      <c r="D17" s="1327"/>
      <c r="E17" s="1327"/>
      <c r="F17" s="1327"/>
      <c r="G17" s="1327"/>
      <c r="H17" s="1327"/>
      <c r="I17" s="1327"/>
    </row>
    <row r="18" spans="2:9" ht="63" customHeight="1" x14ac:dyDescent="0.25">
      <c r="B18" s="1329" t="s">
        <v>387</v>
      </c>
      <c r="C18" s="1327"/>
      <c r="D18" s="1327"/>
      <c r="E18" s="1327"/>
      <c r="F18" s="1327"/>
      <c r="G18" s="1327"/>
      <c r="H18" s="1327"/>
      <c r="I18" s="1327"/>
    </row>
    <row r="19" spans="2:9" ht="31.5" customHeight="1" x14ac:dyDescent="0.25">
      <c r="B19" s="1515" t="s">
        <v>388</v>
      </c>
      <c r="C19" s="1516"/>
      <c r="D19" s="1516"/>
      <c r="E19" s="1516"/>
      <c r="F19" s="1516"/>
      <c r="G19" s="1516"/>
      <c r="H19" s="1516"/>
      <c r="I19" s="1516"/>
    </row>
    <row r="20" spans="2:9" ht="24" customHeight="1" x14ac:dyDescent="0.25">
      <c r="B20" s="1329" t="s">
        <v>389</v>
      </c>
      <c r="C20" s="1327"/>
      <c r="D20" s="1327"/>
      <c r="E20" s="1327"/>
      <c r="F20" s="1327"/>
      <c r="G20" s="1327"/>
      <c r="H20" s="1327"/>
      <c r="I20" s="1327"/>
    </row>
    <row r="21" spans="2:9" ht="33.75" customHeight="1" x14ac:dyDescent="0.25">
      <c r="B21" s="1329" t="s">
        <v>390</v>
      </c>
      <c r="C21" s="1327"/>
      <c r="D21" s="1327"/>
      <c r="E21" s="1327"/>
      <c r="F21" s="1327"/>
      <c r="G21" s="1327"/>
      <c r="H21" s="1327"/>
      <c r="I21" s="1327"/>
    </row>
  </sheetData>
  <sheetProtection algorithmName="SHA-512" hashValue="9WhaTGiLScsqCTA4hCyiftt5sfxXM08QfGxy06kzWqlOH2qRynVQhvlIxbEZe7KGfxm0raJuE/LsuzmN7uvguw==" saltValue="502dvOZGuxSCVz4fDNzlJg==" spinCount="100000" sheet="1" objects="1" scenarios="1"/>
  <mergeCells count="19">
    <mergeCell ref="B10:I10"/>
    <mergeCell ref="B11:I11"/>
    <mergeCell ref="B12:I12"/>
    <mergeCell ref="B13:I13"/>
    <mergeCell ref="B19:I19"/>
    <mergeCell ref="B21:I21"/>
    <mergeCell ref="B14:I14"/>
    <mergeCell ref="B15:I15"/>
    <mergeCell ref="B16:I16"/>
    <mergeCell ref="B17:I17"/>
    <mergeCell ref="B18:I18"/>
    <mergeCell ref="B20:I20"/>
    <mergeCell ref="B1:I1"/>
    <mergeCell ref="E3:F3"/>
    <mergeCell ref="B8:I8"/>
    <mergeCell ref="B9:I9"/>
    <mergeCell ref="B7:I7"/>
    <mergeCell ref="B5:I5"/>
    <mergeCell ref="B6:I6"/>
  </mergeCells>
  <phoneticPr fontId="16" type="noConversion"/>
  <pageMargins left="0.75" right="0.75" top="0.64" bottom="1" header="0.5" footer="0.5"/>
  <pageSetup orientation="portrait" horizontalDpi="4294967293"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8DAFB776D4764AB1C29C59278F15B1" ma:contentTypeVersion="4" ma:contentTypeDescription="Create a new document." ma:contentTypeScope="" ma:versionID="24f45a5f8b1c531af2c021124a681dc9">
  <xsd:schema xmlns:xsd="http://www.w3.org/2001/XMLSchema" xmlns:xs="http://www.w3.org/2001/XMLSchema" xmlns:p="http://schemas.microsoft.com/office/2006/metadata/properties" xmlns:ns2="3ba4763c-5c25-4e7f-bb5a-d1e450313d55" targetNamespace="http://schemas.microsoft.com/office/2006/metadata/properties" ma:root="true" ma:fieldsID="d4d96e53a6e804b8bffcf69e4d150e22" ns2:_="">
    <xsd:import namespace="3ba4763c-5c25-4e7f-bb5a-d1e450313d5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4763c-5c25-4e7f-bb5a-d1e450313d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Y V i E V k i y 5 f i k A A A A 9 g A A A B I A H A B D b 2 5 m a W c v U G F j a 2 F n Z S 5 4 b W w g o h g A K K A U A A A A A A A A A A A A A A A A A A A A A A A A A A A A h Y 8 x D o I w G I W v Q r r T l m o M I a U M r p K Y E I 1 r U y o 0 w o + h x X I 3 B 4 / k F c Q o 6 u b 4 v v c N 7 9 2 v N 5 6 N b R N c d G 9 N B y m K M E W B B t W V B q o U D e 4 Y x i g T f C v V S V Y 6 m G S w y W j L F N X O n R N C v P f Y L 3 D X V 4 R R G p F D v i l U r V u J P r L 5 L 4 c G r J O g N B J 8 / x o j G I 6 i J Y 5 X D F N O Z s h z A 1 + B T X u f 7 Q / k 6 6 F x Q 6 + F h n B X c D J H T t 4 f x A N Q S w M E F A A C A A g A Y V i E 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F Y h F Y o i k e 4 D g A A A B E A A A A T A B w A R m 9 y b X V s Y X M v U 2 V j d G l v b j E u b S C i G A A o o B Q A A A A A A A A A A A A A A A A A A A A A A A A A A A A r T k 0 u y c z P U w i G 0 I b W A F B L A Q I t A B Q A A g A I A G F Y h F Z I s u X 4 p A A A A P Y A A A A S A A A A A A A A A A A A A A A A A A A A A A B D b 2 5 m a W c v U G F j a 2 F n Z S 5 4 b W x Q S w E C L Q A U A A I A C A B h W I R W D 8 r p q 6 Q A A A D p A A A A E w A A A A A A A A A A A A A A A A D w A A A A W 0 N v b n R l b n R f V H l w Z X N d L n h t b F B L A Q I t A B Q A A g A I A G F Y h 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b o t t J h w P O S p + v p i G d x Q J e A A A A A A I A A A A A A B B m A A A A A Q A A I A A A A F t c b A A Q u 7 h m b 5 P B E a o O J a 2 p t t w 8 l I n F g 7 F C Y A S o h 0 O 5 A A A A A A 6 A A A A A A g A A I A A A A M u y e L f W E c 2 4 m s M X L h c V R U 9 F p 6 O S q l A A R I O 0 P f 0 U M 1 D R U A A A A E s U h f A x C Z R I V I b m l y U U J J E d o p n d e q N 4 P K 3 Z v h n X Z a D 0 s j s E U C i w W E S C o 7 q m n q g c 7 p S w M l 9 A V l l e B h i 3 9 S H f k q 6 D 8 j 8 M O V 9 U A q W V y R z B Y A J g Q A A A A B F y Y N G I V O 4 2 i n 4 B J S 6 Z U 5 / M C t w G k F 8 j 2 3 w e y q s C S 3 x S z 9 c F B v a 7 m 1 b m m T x 8 2 E 5 5 v W e Y B k e 1 E D u O r Y 6 J P W S t k + s = < / D a t a M a s h u p > 
</file>

<file path=customXml/itemProps1.xml><?xml version="1.0" encoding="utf-8"?>
<ds:datastoreItem xmlns:ds="http://schemas.openxmlformats.org/officeDocument/2006/customXml" ds:itemID="{6C347F6E-F4D9-48F5-9BEE-2E196B0DAD9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3ba4763c-5c25-4e7f-bb5a-d1e450313d55"/>
    <ds:schemaRef ds:uri="http://www.w3.org/XML/1998/namespace"/>
  </ds:schemaRefs>
</ds:datastoreItem>
</file>

<file path=customXml/itemProps2.xml><?xml version="1.0" encoding="utf-8"?>
<ds:datastoreItem xmlns:ds="http://schemas.openxmlformats.org/officeDocument/2006/customXml" ds:itemID="{15268EF5-DC8A-4B55-8FF3-B6E716939F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4763c-5c25-4e7f-bb5a-d1e450313d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A22B0A-FC9C-4F8D-8D94-617525D10D15}">
  <ds:schemaRefs>
    <ds:schemaRef ds:uri="http://schemas.microsoft.com/sharepoint/v3/contenttype/forms"/>
  </ds:schemaRefs>
</ds:datastoreItem>
</file>

<file path=customXml/itemProps4.xml><?xml version="1.0" encoding="utf-8"?>
<ds:datastoreItem xmlns:ds="http://schemas.openxmlformats.org/officeDocument/2006/customXml" ds:itemID="{8F09E1A6-970C-428A-B7B3-537C473DEBF7}">
  <ds:schemaRefs>
    <ds:schemaRef ds:uri="http://schemas.microsoft.com/DataMashup"/>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62</vt:i4>
      </vt:variant>
    </vt:vector>
  </HeadingPairs>
  <TitlesOfParts>
    <vt:vector size="117" baseType="lpstr">
      <vt:lpstr>PFASs Nomenclature</vt:lpstr>
      <vt:lpstr>Updates</vt:lpstr>
      <vt:lpstr>1. EAL Surfer - Instructions</vt:lpstr>
      <vt:lpstr>2. EAL Surfer - Summary EALs</vt:lpstr>
      <vt:lpstr>3. EAL Surfer - Detailed EALs</vt:lpstr>
      <vt:lpstr>4. EAL Surfer - Surfer Report</vt:lpstr>
      <vt:lpstr>5.ESL Surfer - Chemical Summary</vt:lpstr>
      <vt:lpstr>6. Advanced EHE Options</vt:lpstr>
      <vt:lpstr>7. EAL Surfer - Glossary</vt:lpstr>
      <vt:lpstr>Surfer Compiler HDOH</vt:lpstr>
      <vt:lpstr>Summary Table A (Soil &amp; GW-DW)</vt:lpstr>
      <vt:lpstr>Summary Table B (Soil &amp; GW-NDW)</vt:lpstr>
      <vt:lpstr>Summary Table C (IA &amp; Soil Vap)</vt:lpstr>
      <vt:lpstr>Summary Table D (SW)</vt:lpstr>
      <vt:lpstr>Summary Table E Leaching SV</vt:lpstr>
      <vt:lpstr>Table A-1 (DW,SW&gt;150m)</vt:lpstr>
      <vt:lpstr>Table A-2 (DW, SW&lt;150m)</vt:lpstr>
      <vt:lpstr>Table B-1 (NDW,SW&gt;150m)</vt:lpstr>
      <vt:lpstr>Table B-2 (NDW, SW&lt;150m)</vt:lpstr>
      <vt:lpstr>Table C-1a (GW to IA)</vt:lpstr>
      <vt:lpstr>Table C-1b (Soil to IA)</vt:lpstr>
      <vt:lpstr>Table C-2 (Soil Vapor to IA)</vt:lpstr>
      <vt:lpstr>Table C-3 (Indoor Air Goals)</vt:lpstr>
      <vt:lpstr>Table D-1a (DW, SW&lt;150m)</vt:lpstr>
      <vt:lpstr>Table D-1b (DW, SW&gt;150m)</vt:lpstr>
      <vt:lpstr>Table D-1c (NDW, SW&lt;150m)</vt:lpstr>
      <vt:lpstr>Table D-1d (NDW, SW&gt;150m)</vt:lpstr>
      <vt:lpstr>Table D-2a (SW-Fresh)</vt:lpstr>
      <vt:lpstr>Table D-2b (SW-Marine)</vt:lpstr>
      <vt:lpstr>Table D-2c (SW-Estuary)</vt:lpstr>
      <vt:lpstr>Table D-3a (Final DW-Toxicity)</vt:lpstr>
      <vt:lpstr>Table D-3b  (Risk-Based DW ALs)</vt:lpstr>
      <vt:lpstr>Table D-4a (Aquatic Goals Sum)</vt:lpstr>
      <vt:lpstr>Table D-4b (Chronic Summary)</vt:lpstr>
      <vt:lpstr>Table D-4c (Acute Summary)</vt:lpstr>
      <vt:lpstr>Table D-4d (Aquatic Hawaii)</vt:lpstr>
      <vt:lpstr>Table D-4e (Aquatic USEPA, etc)</vt:lpstr>
      <vt:lpstr>Table D-4f (Aquatic Bioacc.)</vt:lpstr>
      <vt:lpstr>Table D-5 (Agricultural Use)</vt:lpstr>
      <vt:lpstr>Table E-1 Leaching Soil</vt:lpstr>
      <vt:lpstr>Table E-2 Leaching Soil Vapor</vt:lpstr>
      <vt:lpstr>Table F-1 (Ceiling Level Index)</vt:lpstr>
      <vt:lpstr>Table F-2 (Exposed Soils)</vt:lpstr>
      <vt:lpstr>Table F-3 (Isolated Soils)</vt:lpstr>
      <vt:lpstr>Table G-1 (GW-DW Ceiling)</vt:lpstr>
      <vt:lpstr>Table G-2 (GW-NDW Ceiling)</vt:lpstr>
      <vt:lpstr>Table G-3 (SW-DW Ceiling)</vt:lpstr>
      <vt:lpstr>Table G-4 (SW-NDW Ceiling)</vt:lpstr>
      <vt:lpstr>Table H (Constants)</vt:lpstr>
      <vt:lpstr>Table I-1 (Unrestricted SoilDE)</vt:lpstr>
      <vt:lpstr>Table I-2 (C-I Soil DE)</vt:lpstr>
      <vt:lpstr>Table I-3 (Construction DE)</vt:lpstr>
      <vt:lpstr>Table J (Target Health Effects)</vt:lpstr>
      <vt:lpstr>Table K (Soil Background)</vt:lpstr>
      <vt:lpstr>Table L (Soil Ecotoxicity)</vt:lpstr>
      <vt:lpstr>'1. EAL Surfer - Instructions'!Print_Area</vt:lpstr>
      <vt:lpstr>'2. EAL Surfer - Summary EALs'!Print_Area</vt:lpstr>
      <vt:lpstr>'3. EAL Surfer - Detailed EALs'!Print_Area</vt:lpstr>
      <vt:lpstr>'4. EAL Surfer - Surfer Report'!Print_Area</vt:lpstr>
      <vt:lpstr>'5.ESL Surfer - Chemical Summary'!Print_Area</vt:lpstr>
      <vt:lpstr>'6. Advanced EHE Options'!Print_Area</vt:lpstr>
      <vt:lpstr>'Summary Table A (Soil &amp; GW-DW)'!Print_Area</vt:lpstr>
      <vt:lpstr>'Summary Table E Leaching SV'!Print_Area</vt:lpstr>
      <vt:lpstr>'Table C-3 (Indoor Air Goals)'!Print_Area</vt:lpstr>
      <vt:lpstr>'Table D-1a (DW, SW&lt;150m)'!Print_Area</vt:lpstr>
      <vt:lpstr>'Table D-1b (DW, SW&gt;150m)'!Print_Area</vt:lpstr>
      <vt:lpstr>'Table D-1c (NDW, SW&lt;150m)'!Print_Area</vt:lpstr>
      <vt:lpstr>'Table D-2b (SW-Marine)'!Print_Area</vt:lpstr>
      <vt:lpstr>'Table D-2c (SW-Estuary)'!Print_Area</vt:lpstr>
      <vt:lpstr>'Table D-4e (Aquatic USEPA, etc)'!Print_Area</vt:lpstr>
      <vt:lpstr>'Table H (Constants)'!Print_Area</vt:lpstr>
      <vt:lpstr>'Table J (Target Health Effects)'!Print_Area</vt:lpstr>
      <vt:lpstr>'Table K (Soil Background)'!Print_Area</vt:lpstr>
      <vt:lpstr>'Summary Table A (Soil &amp; GW-DW)'!Print_Titles</vt:lpstr>
      <vt:lpstr>'Summary Table B (Soil &amp; GW-NDW)'!Print_Titles</vt:lpstr>
      <vt:lpstr>'Summary Table C (IA &amp; Soil Vap)'!Print_Titles</vt:lpstr>
      <vt:lpstr>'Summary Table D (SW)'!Print_Titles</vt:lpstr>
      <vt:lpstr>'Summary Table E Leaching SV'!Print_Titles</vt:lpstr>
      <vt:lpstr>'Table A-1 (DW,SW&gt;150m)'!Print_Titles</vt:lpstr>
      <vt:lpstr>'Table A-2 (DW, SW&lt;150m)'!Print_Titles</vt:lpstr>
      <vt:lpstr>'Table B-1 (NDW,SW&gt;150m)'!Print_Titles</vt:lpstr>
      <vt:lpstr>'Table B-2 (NDW, SW&lt;150m)'!Print_Titles</vt:lpstr>
      <vt:lpstr>'Table C-1a (GW to IA)'!Print_Titles</vt:lpstr>
      <vt:lpstr>'Table C-1b (Soil to IA)'!Print_Titles</vt:lpstr>
      <vt:lpstr>'Table C-2 (Soil Vapor to IA)'!Print_Titles</vt:lpstr>
      <vt:lpstr>'Table C-3 (Indoor Air Goals)'!Print_Titles</vt:lpstr>
      <vt:lpstr>'Table D-1a (DW, SW&lt;150m)'!Print_Titles</vt:lpstr>
      <vt:lpstr>'Table D-1b (DW, SW&gt;150m)'!Print_Titles</vt:lpstr>
      <vt:lpstr>'Table D-1c (NDW, SW&lt;150m)'!Print_Titles</vt:lpstr>
      <vt:lpstr>'Table D-1d (NDW, SW&gt;150m)'!Print_Titles</vt:lpstr>
      <vt:lpstr>'Table D-2a (SW-Fresh)'!Print_Titles</vt:lpstr>
      <vt:lpstr>'Table D-2b (SW-Marine)'!Print_Titles</vt:lpstr>
      <vt:lpstr>'Table D-2c (SW-Estuary)'!Print_Titles</vt:lpstr>
      <vt:lpstr>'Table D-3a (Final DW-Toxicity)'!Print_Titles</vt:lpstr>
      <vt:lpstr>'Table D-3b  (Risk-Based DW ALs)'!Print_Titles</vt:lpstr>
      <vt:lpstr>'Table D-4a (Aquatic Goals Sum)'!Print_Titles</vt:lpstr>
      <vt:lpstr>'Table D-4b (Chronic Summary)'!Print_Titles</vt:lpstr>
      <vt:lpstr>'Table D-4c (Acute Summary)'!Print_Titles</vt:lpstr>
      <vt:lpstr>'Table D-4d (Aquatic Hawaii)'!Print_Titles</vt:lpstr>
      <vt:lpstr>'Table D-4e (Aquatic USEPA, etc)'!Print_Titles</vt:lpstr>
      <vt:lpstr>'Table D-4f (Aquatic Bioacc.)'!Print_Titles</vt:lpstr>
      <vt:lpstr>'Table D-5 (Agricultural Use)'!Print_Titles</vt:lpstr>
      <vt:lpstr>'Table E-1 Leaching Soil'!Print_Titles</vt:lpstr>
      <vt:lpstr>'Table E-2 Leaching Soil Vapor'!Print_Titles</vt:lpstr>
      <vt:lpstr>'Table F-2 (Exposed Soils)'!Print_Titles</vt:lpstr>
      <vt:lpstr>'Table F-3 (Isolated Soils)'!Print_Titles</vt:lpstr>
      <vt:lpstr>'Table G-1 (GW-DW Ceiling)'!Print_Titles</vt:lpstr>
      <vt:lpstr>'Table G-2 (GW-NDW Ceiling)'!Print_Titles</vt:lpstr>
      <vt:lpstr>'Table G-3 (SW-DW Ceiling)'!Print_Titles</vt:lpstr>
      <vt:lpstr>'Table G-4 (SW-NDW Ceiling)'!Print_Titles</vt:lpstr>
      <vt:lpstr>'Table H (Constants)'!Print_Titles</vt:lpstr>
      <vt:lpstr>'Table I-1 (Unrestricted SoilDE)'!Print_Titles</vt:lpstr>
      <vt:lpstr>'Table I-2 (C-I Soil DE)'!Print_Titles</vt:lpstr>
      <vt:lpstr>'Table I-3 (Construction DE)'!Print_Titles</vt:lpstr>
      <vt:lpstr>'Table J (Target Health Effects)'!Print_Titles</vt:lpstr>
      <vt:lpstr>'Table K (Soil Background)'!Print_Titles</vt:lpstr>
      <vt:lpstr>'Table L (Soil Ecotoxicity)'!Print_Titles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Brewer</dc:creator>
  <cp:keywords/>
  <dc:description/>
  <cp:lastModifiedBy>Brewer, Roger C</cp:lastModifiedBy>
  <cp:revision/>
  <cp:lastPrinted>2024-11-08T03:54:25Z</cp:lastPrinted>
  <dcterms:created xsi:type="dcterms:W3CDTF">1999-05-06T02:39:42Z</dcterms:created>
  <dcterms:modified xsi:type="dcterms:W3CDTF">2024-11-08T03:55:30Z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0x0101002D8DAFB776D4764AB1C29C59278F15B1</vt:lpwstr>
  </property>
  <property fmtid="{D5CDD505-2E9C-101B-9397-08002B2CF9AE}" pid="3" name="MediaServiceImageTags">
    <vt:lpwstr/>
  </property>
  <property fmtid="{D5CDD505-2E9C-101B-9397-08002B2CF9AE}" pid="4" name="Order">
    <vt:r8>16524000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