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ger.brewer\000 Current\PFASs\PFAS EALs\AA PFAS EALs Guidance\PFAS EALs (April 2024)\Total PFAS Risk\AA Total PFAS Risk Model\"/>
    </mc:Choice>
  </mc:AlternateContent>
  <xr:revisionPtr revIDLastSave="0" documentId="13_ncr:1_{B9E99B0D-F414-4549-8295-9CE0E1DBEBBD}" xr6:coauthVersionLast="44" xr6:coauthVersionMax="47" xr10:uidLastSave="{00000000-0000-0000-0000-000000000000}"/>
  <bookViews>
    <workbookView xWindow="2250" yWindow="1665" windowWidth="23415" windowHeight="13815" tabRatio="876" activeTab="1" xr2:uid="{00000000-000D-0000-FFFF-FFFF00000000}"/>
  </bookViews>
  <sheets>
    <sheet name="Updates" sheetId="89" r:id="rId1"/>
    <sheet name="1. Total PFAS Calculator" sheetId="98" r:id="rId2"/>
    <sheet name="2. Sample Data Input" sheetId="103" r:id="rId3"/>
    <sheet name="3. PFAS Summary Action Levels" sheetId="113" r:id="rId4"/>
    <sheet name="4. Solids Total PFASs Risk" sheetId="114" r:id="rId5"/>
    <sheet name="5. Liquids Total PFASs Risk" sheetId="115" r:id="rId6"/>
    <sheet name="6. Aquatic Toxicity Risk" sheetId="112" r:id="rId7"/>
  </sheets>
  <definedNames>
    <definedName name="_xlnm.Print_Area" localSheetId="1">'1. Total PFAS Calculator'!$B$1:$I$51</definedName>
    <definedName name="_xlnm.Print_Area" localSheetId="2">'2. Sample Data Input'!$B$2:$E$33</definedName>
    <definedName name="_xlnm.Print_Area" localSheetId="3">'3. PFAS Summary Action Levels'!$B$1:$I$29</definedName>
    <definedName name="_xlnm.Print_Area" localSheetId="4">'4. Solids Total PFASs Risk'!$B$1:$N$40</definedName>
    <definedName name="_xlnm.Print_Area" localSheetId="5">'5. Liquids Total PFASs Risk'!$B$1:$N$40</definedName>
    <definedName name="_xlnm.Print_Area" localSheetId="6">'6. Aquatic Toxicity Risk'!$B$1:$J$29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6" i="114" l="1"/>
  <c r="M26" i="115"/>
  <c r="L26" i="115"/>
  <c r="L26" i="114"/>
  <c r="F9" i="114" l="1"/>
  <c r="F10" i="114"/>
  <c r="F18" i="114"/>
  <c r="F12" i="114"/>
  <c r="F14" i="114"/>
  <c r="F16" i="114"/>
  <c r="F20" i="114"/>
  <c r="F22" i="114"/>
  <c r="F24" i="114"/>
  <c r="F11" i="115"/>
  <c r="F15" i="115"/>
  <c r="F19" i="115"/>
  <c r="F23" i="115"/>
  <c r="G7" i="115"/>
  <c r="M7" i="115" s="1"/>
  <c r="H7" i="115"/>
  <c r="L7" i="115" s="1"/>
  <c r="G8" i="115"/>
  <c r="M8" i="115" s="1"/>
  <c r="H8" i="115"/>
  <c r="G9" i="115"/>
  <c r="H9" i="115"/>
  <c r="L9" i="115" s="1"/>
  <c r="G10" i="115"/>
  <c r="M10" i="115" s="1"/>
  <c r="H10" i="115"/>
  <c r="L10" i="115" s="1"/>
  <c r="G11" i="115"/>
  <c r="M11" i="115" s="1"/>
  <c r="H11" i="115"/>
  <c r="L11" i="115" s="1"/>
  <c r="G12" i="115"/>
  <c r="M12" i="115" s="1"/>
  <c r="H12" i="115"/>
  <c r="L12" i="115" s="1"/>
  <c r="G13" i="115"/>
  <c r="H13" i="115"/>
  <c r="L13" i="115" s="1"/>
  <c r="G14" i="115"/>
  <c r="H14" i="115"/>
  <c r="L14" i="115" s="1"/>
  <c r="G15" i="115"/>
  <c r="M15" i="115" s="1"/>
  <c r="H15" i="115"/>
  <c r="L15" i="115" s="1"/>
  <c r="G16" i="115"/>
  <c r="H16" i="115"/>
  <c r="G17" i="115"/>
  <c r="H17" i="115"/>
  <c r="L17" i="115" s="1"/>
  <c r="G18" i="115"/>
  <c r="H18" i="115"/>
  <c r="L18" i="115" s="1"/>
  <c r="G19" i="115"/>
  <c r="H19" i="115"/>
  <c r="L19" i="115" s="1"/>
  <c r="G20" i="115"/>
  <c r="M20" i="115" s="1"/>
  <c r="H20" i="115"/>
  <c r="L20" i="115" s="1"/>
  <c r="G21" i="115"/>
  <c r="H21" i="115"/>
  <c r="L21" i="115" s="1"/>
  <c r="G22" i="115"/>
  <c r="H22" i="115"/>
  <c r="L22" i="115" s="1"/>
  <c r="G23" i="115"/>
  <c r="H23" i="115"/>
  <c r="G24" i="115"/>
  <c r="H24" i="115"/>
  <c r="L28" i="115"/>
  <c r="M16" i="115"/>
  <c r="M22" i="115"/>
  <c r="G8" i="114"/>
  <c r="M8" i="114" s="1"/>
  <c r="H8" i="114"/>
  <c r="G9" i="114"/>
  <c r="M9" i="114" s="1"/>
  <c r="H9" i="114"/>
  <c r="L9" i="114" s="1"/>
  <c r="G10" i="114"/>
  <c r="M10" i="114" s="1"/>
  <c r="H10" i="114"/>
  <c r="L10" i="114" s="1"/>
  <c r="G11" i="114"/>
  <c r="H11" i="114"/>
  <c r="L11" i="114" s="1"/>
  <c r="G12" i="114"/>
  <c r="M12" i="114" s="1"/>
  <c r="H12" i="114"/>
  <c r="L12" i="114" s="1"/>
  <c r="G13" i="114"/>
  <c r="M13" i="114" s="1"/>
  <c r="H13" i="114"/>
  <c r="L13" i="114" s="1"/>
  <c r="G14" i="114"/>
  <c r="H14" i="114"/>
  <c r="L14" i="114" s="1"/>
  <c r="G15" i="114"/>
  <c r="M15" i="114" s="1"/>
  <c r="H15" i="114"/>
  <c r="L15" i="114" s="1"/>
  <c r="G16" i="114"/>
  <c r="H16" i="114"/>
  <c r="L16" i="114" s="1"/>
  <c r="G17" i="114"/>
  <c r="M17" i="114" s="1"/>
  <c r="H17" i="114"/>
  <c r="L17" i="114" s="1"/>
  <c r="G18" i="114"/>
  <c r="H18" i="114"/>
  <c r="L18" i="114" s="1"/>
  <c r="G19" i="114"/>
  <c r="H19" i="114"/>
  <c r="L19" i="114" s="1"/>
  <c r="G20" i="114"/>
  <c r="H20" i="114"/>
  <c r="L20" i="114" s="1"/>
  <c r="G21" i="114"/>
  <c r="H21" i="114"/>
  <c r="L21" i="114" s="1"/>
  <c r="G22" i="114"/>
  <c r="M22" i="114" s="1"/>
  <c r="H22" i="114"/>
  <c r="L22" i="114" s="1"/>
  <c r="G23" i="114"/>
  <c r="H23" i="114"/>
  <c r="L23" i="114" s="1"/>
  <c r="G24" i="114"/>
  <c r="H24" i="114"/>
  <c r="L24" i="114" s="1"/>
  <c r="G7" i="114"/>
  <c r="H7" i="114"/>
  <c r="L7" i="114" s="1"/>
  <c r="L28" i="114"/>
  <c r="F15" i="114"/>
  <c r="F8" i="115"/>
  <c r="F9" i="115"/>
  <c r="F10" i="115"/>
  <c r="F12" i="115"/>
  <c r="F13" i="115"/>
  <c r="F14" i="115"/>
  <c r="F16" i="115"/>
  <c r="F17" i="115"/>
  <c r="F18" i="115"/>
  <c r="F20" i="115"/>
  <c r="F21" i="115"/>
  <c r="F22" i="115"/>
  <c r="F24" i="115"/>
  <c r="F7" i="115"/>
  <c r="F8" i="114"/>
  <c r="F11" i="114"/>
  <c r="F13" i="114"/>
  <c r="F17" i="114"/>
  <c r="F19" i="114"/>
  <c r="F21" i="114"/>
  <c r="F23" i="114"/>
  <c r="F7" i="114"/>
  <c r="D8" i="103"/>
  <c r="H8" i="112"/>
  <c r="I8" i="112"/>
  <c r="H9" i="112"/>
  <c r="I9" i="112"/>
  <c r="H10" i="112"/>
  <c r="I10" i="112"/>
  <c r="H11" i="112"/>
  <c r="I11" i="112"/>
  <c r="H12" i="112"/>
  <c r="I12" i="112"/>
  <c r="H13" i="112"/>
  <c r="I13" i="112"/>
  <c r="H14" i="112"/>
  <c r="I14" i="112"/>
  <c r="H15" i="112"/>
  <c r="I15" i="112"/>
  <c r="H16" i="112"/>
  <c r="I16" i="112"/>
  <c r="H17" i="112"/>
  <c r="I17" i="112"/>
  <c r="H18" i="112"/>
  <c r="I18" i="112"/>
  <c r="H19" i="112"/>
  <c r="I19" i="112"/>
  <c r="H20" i="112"/>
  <c r="I20" i="112"/>
  <c r="H21" i="112"/>
  <c r="I21" i="112"/>
  <c r="H22" i="112"/>
  <c r="I22" i="112"/>
  <c r="H23" i="112"/>
  <c r="I23" i="112"/>
  <c r="H24" i="112"/>
  <c r="I24" i="112"/>
  <c r="I7" i="112"/>
  <c r="H7" i="112"/>
  <c r="E33" i="98"/>
  <c r="E8" i="112"/>
  <c r="F8" i="112"/>
  <c r="E9" i="112"/>
  <c r="F9" i="112"/>
  <c r="E10" i="112"/>
  <c r="F10" i="112"/>
  <c r="E11" i="112"/>
  <c r="F11" i="112"/>
  <c r="E12" i="112"/>
  <c r="F12" i="112"/>
  <c r="E13" i="112"/>
  <c r="F13" i="112"/>
  <c r="E14" i="112"/>
  <c r="F14" i="112"/>
  <c r="E15" i="112"/>
  <c r="F15" i="112"/>
  <c r="E16" i="112"/>
  <c r="F16" i="112"/>
  <c r="E17" i="112"/>
  <c r="F17" i="112"/>
  <c r="E18" i="112"/>
  <c r="F18" i="112"/>
  <c r="E19" i="112"/>
  <c r="F19" i="112"/>
  <c r="E20" i="112"/>
  <c r="F20" i="112"/>
  <c r="E21" i="112"/>
  <c r="F21" i="112"/>
  <c r="E22" i="112"/>
  <c r="F22" i="112"/>
  <c r="E23" i="112"/>
  <c r="F23" i="112"/>
  <c r="E24" i="112"/>
  <c r="F24" i="112"/>
  <c r="E7" i="112"/>
  <c r="F7" i="112"/>
  <c r="D27" i="103"/>
  <c r="E34" i="98" s="1"/>
  <c r="E27" i="103"/>
  <c r="C27" i="103"/>
  <c r="B4" i="103"/>
  <c r="E8" i="103"/>
  <c r="E27" i="98"/>
  <c r="I8" i="115" l="1"/>
  <c r="N8" i="115" s="1"/>
  <c r="L8" i="115"/>
  <c r="I8" i="114"/>
  <c r="N8" i="114" s="1"/>
  <c r="L8" i="114"/>
  <c r="I23" i="115"/>
  <c r="N23" i="115" s="1"/>
  <c r="L23" i="115"/>
  <c r="I24" i="115"/>
  <c r="N24" i="115" s="1"/>
  <c r="L24" i="115"/>
  <c r="I16" i="115"/>
  <c r="N16" i="115" s="1"/>
  <c r="L16" i="115"/>
  <c r="M20" i="114"/>
  <c r="M18" i="114"/>
  <c r="M23" i="114"/>
  <c r="M21" i="114"/>
  <c r="M19" i="114"/>
  <c r="M11" i="114"/>
  <c r="G20" i="112"/>
  <c r="J20" i="112" s="1"/>
  <c r="G18" i="112"/>
  <c r="J18" i="112" s="1"/>
  <c r="G16" i="112"/>
  <c r="J16" i="112" s="1"/>
  <c r="G14" i="112"/>
  <c r="J14" i="112" s="1"/>
  <c r="G12" i="112"/>
  <c r="J12" i="112" s="1"/>
  <c r="J24" i="115"/>
  <c r="J22" i="115"/>
  <c r="I23" i="114"/>
  <c r="N23" i="114" s="1"/>
  <c r="I16" i="114"/>
  <c r="N16" i="114" s="1"/>
  <c r="I24" i="114"/>
  <c r="N24" i="114" s="1"/>
  <c r="I22" i="114"/>
  <c r="N22" i="114" s="1"/>
  <c r="G19" i="112"/>
  <c r="J19" i="112" s="1"/>
  <c r="G15" i="112"/>
  <c r="J15" i="112" s="1"/>
  <c r="G13" i="112"/>
  <c r="J13" i="112" s="1"/>
  <c r="I19" i="115"/>
  <c r="N19" i="115" s="1"/>
  <c r="I15" i="115"/>
  <c r="N15" i="115" s="1"/>
  <c r="I11" i="115"/>
  <c r="N11" i="115" s="1"/>
  <c r="M24" i="115"/>
  <c r="I7" i="115"/>
  <c r="G7" i="112"/>
  <c r="J7" i="112" s="1"/>
  <c r="G9" i="112"/>
  <c r="J9" i="112" s="1"/>
  <c r="I7" i="114"/>
  <c r="N7" i="114" s="1"/>
  <c r="I21" i="114"/>
  <c r="N21" i="114" s="1"/>
  <c r="I19" i="114"/>
  <c r="N19" i="114" s="1"/>
  <c r="I17" i="114"/>
  <c r="N17" i="114" s="1"/>
  <c r="I15" i="114"/>
  <c r="N15" i="114" s="1"/>
  <c r="I13" i="114"/>
  <c r="N13" i="114" s="1"/>
  <c r="I11" i="114"/>
  <c r="N11" i="114" s="1"/>
  <c r="I9" i="114"/>
  <c r="N9" i="114" s="1"/>
  <c r="G23" i="112"/>
  <c r="J23" i="112" s="1"/>
  <c r="G21" i="112"/>
  <c r="J21" i="112" s="1"/>
  <c r="G17" i="112"/>
  <c r="J17" i="112" s="1"/>
  <c r="G10" i="112"/>
  <c r="J10" i="112" s="1"/>
  <c r="G8" i="112"/>
  <c r="J8" i="112" s="1"/>
  <c r="I20" i="115"/>
  <c r="N20" i="115" s="1"/>
  <c r="I12" i="115"/>
  <c r="N12" i="115" s="1"/>
  <c r="G24" i="112"/>
  <c r="J24" i="112" s="1"/>
  <c r="G22" i="112"/>
  <c r="J22" i="112" s="1"/>
  <c r="G11" i="112"/>
  <c r="J11" i="112" s="1"/>
  <c r="M14" i="114"/>
  <c r="G25" i="114"/>
  <c r="J14" i="114" s="1"/>
  <c r="M7" i="114"/>
  <c r="M24" i="114"/>
  <c r="M16" i="114"/>
  <c r="I13" i="115"/>
  <c r="N13" i="115" s="1"/>
  <c r="I9" i="115"/>
  <c r="I20" i="114"/>
  <c r="I18" i="114"/>
  <c r="I14" i="114"/>
  <c r="I12" i="114"/>
  <c r="I10" i="114"/>
  <c r="I22" i="115"/>
  <c r="N22" i="115" s="1"/>
  <c r="I18" i="115"/>
  <c r="N18" i="115" s="1"/>
  <c r="H25" i="114"/>
  <c r="I14" i="115"/>
  <c r="N14" i="115" s="1"/>
  <c r="I10" i="115"/>
  <c r="N10" i="115" s="1"/>
  <c r="I21" i="115"/>
  <c r="I17" i="115"/>
  <c r="H25" i="115"/>
  <c r="M19" i="115"/>
  <c r="M14" i="115"/>
  <c r="M23" i="115"/>
  <c r="M18" i="115"/>
  <c r="G25" i="115"/>
  <c r="J7" i="115" s="1"/>
  <c r="M21" i="115"/>
  <c r="M17" i="115"/>
  <c r="M13" i="115"/>
  <c r="M9" i="115"/>
  <c r="K8" i="114"/>
  <c r="K8" i="115" l="1"/>
  <c r="J16" i="115"/>
  <c r="J23" i="115"/>
  <c r="J16" i="114"/>
  <c r="J23" i="114"/>
  <c r="J22" i="114"/>
  <c r="J24" i="114"/>
  <c r="J21" i="114"/>
  <c r="J18" i="114"/>
  <c r="J12" i="114"/>
  <c r="J20" i="114"/>
  <c r="J7" i="114"/>
  <c r="J13" i="114"/>
  <c r="J17" i="114"/>
  <c r="N7" i="115"/>
  <c r="N14" i="114"/>
  <c r="K12" i="115"/>
  <c r="N18" i="114"/>
  <c r="N10" i="114"/>
  <c r="N20" i="114"/>
  <c r="N12" i="114"/>
  <c r="K10" i="114"/>
  <c r="N9" i="115"/>
  <c r="N21" i="115"/>
  <c r="N17" i="115"/>
  <c r="M25" i="114"/>
  <c r="J8" i="114"/>
  <c r="J15" i="114"/>
  <c r="J11" i="114"/>
  <c r="J10" i="114"/>
  <c r="J19" i="114"/>
  <c r="J9" i="114"/>
  <c r="I25" i="114"/>
  <c r="K12" i="114"/>
  <c r="J8" i="115"/>
  <c r="J11" i="115"/>
  <c r="J13" i="115"/>
  <c r="J21" i="115"/>
  <c r="J20" i="115"/>
  <c r="J14" i="115"/>
  <c r="J17" i="115"/>
  <c r="J15" i="115"/>
  <c r="M25" i="115"/>
  <c r="J10" i="115"/>
  <c r="J18" i="115"/>
  <c r="J12" i="115"/>
  <c r="J9" i="115"/>
  <c r="J19" i="115"/>
  <c r="K22" i="115"/>
  <c r="K10" i="115"/>
  <c r="I25" i="115"/>
  <c r="E35" i="98" l="1"/>
  <c r="K13" i="115"/>
  <c r="K24" i="115"/>
  <c r="K23" i="115"/>
  <c r="K16" i="115"/>
  <c r="K7" i="115"/>
  <c r="K9" i="115"/>
  <c r="K11" i="115"/>
  <c r="N25" i="114"/>
  <c r="K15" i="114"/>
  <c r="K24" i="114"/>
  <c r="K16" i="114"/>
  <c r="K23" i="114"/>
  <c r="K22" i="114"/>
  <c r="K7" i="114"/>
  <c r="K11" i="114"/>
  <c r="K9" i="114"/>
  <c r="K13" i="114"/>
  <c r="J25" i="114"/>
  <c r="N25" i="115"/>
  <c r="K17" i="114"/>
  <c r="K21" i="114"/>
  <c r="K20" i="114"/>
  <c r="K14" i="114"/>
  <c r="K18" i="114"/>
  <c r="F34" i="98"/>
  <c r="K19" i="114"/>
  <c r="L25" i="114"/>
  <c r="L25" i="115"/>
  <c r="L27" i="115" s="1"/>
  <c r="L29" i="115" s="1"/>
  <c r="J25" i="115"/>
  <c r="K19" i="115"/>
  <c r="K15" i="115"/>
  <c r="K20" i="115"/>
  <c r="K17" i="115"/>
  <c r="K18" i="115"/>
  <c r="K14" i="115"/>
  <c r="K21" i="115"/>
  <c r="L30" i="115" l="1"/>
  <c r="M27" i="115"/>
  <c r="M27" i="114"/>
  <c r="L27" i="114"/>
  <c r="L29" i="114" s="1"/>
  <c r="E36" i="98" s="1"/>
  <c r="F36" i="98" s="1"/>
  <c r="F35" i="98"/>
  <c r="K25" i="114"/>
  <c r="K25" i="115"/>
  <c r="L30" i="114" l="1"/>
  <c r="E38" i="98"/>
  <c r="B40" i="98" s="1"/>
  <c r="F38" i="98"/>
  <c r="B41" i="98" s="1"/>
</calcChain>
</file>

<file path=xl/sharedStrings.xml><?xml version="1.0" encoding="utf-8"?>
<sst xmlns="http://schemas.openxmlformats.org/spreadsheetml/2006/main" count="397" uniqueCount="184">
  <si>
    <t>Notes</t>
  </si>
  <si>
    <t>Commercial/Industrial</t>
  </si>
  <si>
    <t>Construction/Trench Worker</t>
  </si>
  <si>
    <t xml:space="preserve">References: </t>
  </si>
  <si>
    <t>45187-15-3</t>
  </si>
  <si>
    <t>108427-53-8</t>
  </si>
  <si>
    <t>146689-46-5</t>
  </si>
  <si>
    <t>45298-90-6</t>
  </si>
  <si>
    <t>126105-34-8</t>
  </si>
  <si>
    <t>45048-62-2</t>
  </si>
  <si>
    <t>45167-47-3</t>
  </si>
  <si>
    <t>92612-52-7</t>
  </si>
  <si>
    <t>120885-29-2</t>
  </si>
  <si>
    <t>45285-51-6</t>
  </si>
  <si>
    <t>72007-68-2</t>
  </si>
  <si>
    <t>73829-36-4</t>
  </si>
  <si>
    <t>196859-54-8</t>
  </si>
  <si>
    <t>171978-95-3</t>
  </si>
  <si>
    <t>862374-87-6</t>
  </si>
  <si>
    <t>365971-87-5</t>
  </si>
  <si>
    <t>Molecular
Weight</t>
  </si>
  <si>
    <t>Liquid</t>
  </si>
  <si>
    <t>Solid</t>
  </si>
  <si>
    <r>
      <t>Perfluorobutane sulfonate (PFBS</t>
    </r>
    <r>
      <rPr>
        <vertAlign val="superscript"/>
        <sz val="10"/>
        <rFont val="Calibri"/>
        <family val="2"/>
      </rPr>
      <t>-</t>
    </r>
    <r>
      <rPr>
        <sz val="10"/>
        <rFont val="Calibri"/>
        <family val="2"/>
      </rPr>
      <t>)</t>
    </r>
  </si>
  <si>
    <r>
      <t>Perfluorohexane sulfonate (PFHxS</t>
    </r>
    <r>
      <rPr>
        <vertAlign val="superscript"/>
        <sz val="10"/>
        <rFont val="Calibri"/>
        <family val="2"/>
      </rPr>
      <t>-</t>
    </r>
    <r>
      <rPr>
        <sz val="10"/>
        <rFont val="Calibri"/>
        <family val="2"/>
      </rPr>
      <t>)</t>
    </r>
  </si>
  <si>
    <r>
      <t>Perfluorooctane sulfonate (PFOS</t>
    </r>
    <r>
      <rPr>
        <vertAlign val="superscript"/>
        <sz val="10"/>
        <rFont val="Calibri"/>
        <family val="2"/>
      </rPr>
      <t>-</t>
    </r>
    <r>
      <rPr>
        <sz val="10"/>
        <rFont val="Calibri"/>
        <family val="2"/>
      </rPr>
      <t>)</t>
    </r>
  </si>
  <si>
    <r>
      <t>Perfluorodecane sulfonate (PFDS</t>
    </r>
    <r>
      <rPr>
        <vertAlign val="superscript"/>
        <sz val="10"/>
        <rFont val="Calibri"/>
        <family val="2"/>
      </rPr>
      <t>-</t>
    </r>
    <r>
      <rPr>
        <sz val="10"/>
        <rFont val="Calibri"/>
        <family val="2"/>
      </rPr>
      <t>)</t>
    </r>
  </si>
  <si>
    <r>
      <t>Perfluoro butanoate (PFBA</t>
    </r>
    <r>
      <rPr>
        <vertAlign val="superscript"/>
        <sz val="10"/>
        <rFont val="Calibri"/>
        <family val="2"/>
      </rPr>
      <t>-</t>
    </r>
    <r>
      <rPr>
        <sz val="10"/>
        <rFont val="Calibri"/>
        <family val="2"/>
      </rPr>
      <t>)</t>
    </r>
  </si>
  <si>
    <r>
      <t>Perfluoro pentanoate (PFPeA</t>
    </r>
    <r>
      <rPr>
        <vertAlign val="superscript"/>
        <sz val="10"/>
        <rFont val="Calibri"/>
        <family val="2"/>
      </rPr>
      <t>-</t>
    </r>
    <r>
      <rPr>
        <sz val="10"/>
        <rFont val="Calibri"/>
        <family val="2"/>
      </rPr>
      <t>)</t>
    </r>
  </si>
  <si>
    <r>
      <t>Perfluoro hexanoate (PFHxA</t>
    </r>
    <r>
      <rPr>
        <vertAlign val="superscript"/>
        <sz val="10"/>
        <rFont val="Calibri"/>
        <family val="2"/>
      </rPr>
      <t>-</t>
    </r>
    <r>
      <rPr>
        <sz val="10"/>
        <rFont val="Calibri"/>
        <family val="2"/>
      </rPr>
      <t>)</t>
    </r>
  </si>
  <si>
    <r>
      <t>Perfluoro heptanoate (PFHpA</t>
    </r>
    <r>
      <rPr>
        <vertAlign val="superscript"/>
        <sz val="10"/>
        <rFont val="Calibri"/>
        <family val="2"/>
      </rPr>
      <t>-</t>
    </r>
    <r>
      <rPr>
        <sz val="10"/>
        <rFont val="Calibri"/>
        <family val="2"/>
      </rPr>
      <t>)</t>
    </r>
  </si>
  <si>
    <r>
      <t>Perfluoro octanoate (PFOA</t>
    </r>
    <r>
      <rPr>
        <vertAlign val="superscript"/>
        <sz val="10"/>
        <rFont val="Calibri"/>
        <family val="2"/>
      </rPr>
      <t>-</t>
    </r>
    <r>
      <rPr>
        <sz val="10"/>
        <rFont val="Calibri"/>
        <family val="2"/>
      </rPr>
      <t>)</t>
    </r>
  </si>
  <si>
    <r>
      <t>Perfluoro nonanoate (PFNA</t>
    </r>
    <r>
      <rPr>
        <vertAlign val="superscript"/>
        <sz val="10"/>
        <rFont val="Calibri"/>
        <family val="2"/>
      </rPr>
      <t>-</t>
    </r>
    <r>
      <rPr>
        <sz val="10"/>
        <rFont val="Calibri"/>
        <family val="2"/>
      </rPr>
      <t>)</t>
    </r>
  </si>
  <si>
    <r>
      <t>Perfluoro decanoate (PFDA</t>
    </r>
    <r>
      <rPr>
        <vertAlign val="superscript"/>
        <sz val="10"/>
        <rFont val="Calibri"/>
        <family val="2"/>
      </rPr>
      <t>-</t>
    </r>
    <r>
      <rPr>
        <sz val="10"/>
        <rFont val="Calibri"/>
        <family val="2"/>
      </rPr>
      <t>)</t>
    </r>
  </si>
  <si>
    <r>
      <t>Perfluoro undecanoate (PFUnDA</t>
    </r>
    <r>
      <rPr>
        <vertAlign val="superscript"/>
        <sz val="10"/>
        <rFont val="Calibri"/>
        <family val="2"/>
      </rPr>
      <t>-</t>
    </r>
    <r>
      <rPr>
        <sz val="10"/>
        <rFont val="Calibri"/>
        <family val="2"/>
      </rPr>
      <t>)</t>
    </r>
  </si>
  <si>
    <r>
      <t>Perfluoro dodecanoate (PFDoDA</t>
    </r>
    <r>
      <rPr>
        <vertAlign val="superscript"/>
        <sz val="10"/>
        <rFont val="Calibri"/>
        <family val="2"/>
      </rPr>
      <t>-</t>
    </r>
    <r>
      <rPr>
        <sz val="10"/>
        <rFont val="Calibri"/>
        <family val="2"/>
      </rPr>
      <t>)</t>
    </r>
  </si>
  <si>
    <r>
      <t>Perfluoro tridecanoate (PFTrDA</t>
    </r>
    <r>
      <rPr>
        <vertAlign val="superscript"/>
        <sz val="10"/>
        <rFont val="Calibri"/>
        <family val="2"/>
      </rPr>
      <t>-</t>
    </r>
    <r>
      <rPr>
        <sz val="10"/>
        <rFont val="Calibri"/>
        <family val="2"/>
      </rPr>
      <t>)</t>
    </r>
  </si>
  <si>
    <r>
      <t>Perfluoro tetradecanoate (PFTeDA</t>
    </r>
    <r>
      <rPr>
        <vertAlign val="superscript"/>
        <sz val="10"/>
        <rFont val="Calibri"/>
        <family val="2"/>
      </rPr>
      <t>-</t>
    </r>
    <r>
      <rPr>
        <sz val="10"/>
        <rFont val="Calibri"/>
        <family val="2"/>
      </rPr>
      <t>)</t>
    </r>
  </si>
  <si>
    <t>Unrestricted (e.g., Residential)</t>
  </si>
  <si>
    <r>
      <t xml:space="preserve">HIDOH, 2017, </t>
    </r>
    <r>
      <rPr>
        <i/>
        <sz val="12"/>
        <rFont val="Times New Roman"/>
        <family val="1"/>
      </rPr>
      <t>Evaluation of Environmental Hazards at Sites with Contaminated Soil and Groundwater – Hawaii Editio</t>
    </r>
    <r>
      <rPr>
        <sz val="12"/>
        <rFont val="Times New Roman"/>
        <family val="1"/>
      </rPr>
      <t>n (Fall 2017 and updates): Hawai’i Department of Health, Office of Hazard Evaluation and Emergency Response. https://health.hawaii.gov/heer/guidance/ehe-and-eals/</t>
    </r>
  </si>
  <si>
    <r>
      <t>Perfluoroheptane sulfonate (PFHpS</t>
    </r>
    <r>
      <rPr>
        <vertAlign val="superscript"/>
        <sz val="10"/>
        <color theme="1"/>
        <rFont val="Calibri"/>
        <family val="2"/>
      </rPr>
      <t>-</t>
    </r>
    <r>
      <rPr>
        <sz val="10"/>
        <color theme="1"/>
        <rFont val="Calibri"/>
        <family val="2"/>
      </rPr>
      <t>)</t>
    </r>
  </si>
  <si>
    <r>
      <t>Perfluoro propanoate (PFPrA</t>
    </r>
    <r>
      <rPr>
        <vertAlign val="superscript"/>
        <sz val="10"/>
        <rFont val="Calibri"/>
        <family val="2"/>
      </rPr>
      <t>-</t>
    </r>
    <r>
      <rPr>
        <sz val="10"/>
        <rFont val="Calibri"/>
        <family val="2"/>
      </rPr>
      <t>)</t>
    </r>
  </si>
  <si>
    <t>INPUT INFORMATION</t>
  </si>
  <si>
    <r>
      <t>C4F9SO3</t>
    </r>
    <r>
      <rPr>
        <vertAlign val="superscript"/>
        <sz val="10"/>
        <color rgb="FF231F20"/>
        <rFont val="Calibri"/>
        <family val="2"/>
        <scheme val="minor"/>
      </rPr>
      <t>-</t>
    </r>
  </si>
  <si>
    <r>
      <t>C6F13SO3</t>
    </r>
    <r>
      <rPr>
        <vertAlign val="superscript"/>
        <sz val="10"/>
        <color rgb="FF231F20"/>
        <rFont val="Calibri"/>
        <family val="2"/>
        <scheme val="minor"/>
      </rPr>
      <t>-</t>
    </r>
  </si>
  <si>
    <r>
      <t>C7F15SO3</t>
    </r>
    <r>
      <rPr>
        <vertAlign val="superscript"/>
        <sz val="10"/>
        <color rgb="FF231F20"/>
        <rFont val="Calibri"/>
        <family val="2"/>
        <scheme val="minor"/>
      </rPr>
      <t>-</t>
    </r>
  </si>
  <si>
    <r>
      <t>C8F17SO3</t>
    </r>
    <r>
      <rPr>
        <vertAlign val="superscript"/>
        <sz val="10"/>
        <color rgb="FF231F20"/>
        <rFont val="Calibri"/>
        <family val="2"/>
        <scheme val="minor"/>
      </rPr>
      <t>-</t>
    </r>
  </si>
  <si>
    <r>
      <t>C10F21SO3</t>
    </r>
    <r>
      <rPr>
        <vertAlign val="superscript"/>
        <sz val="10"/>
        <color rgb="FF231F20"/>
        <rFont val="Calibri"/>
        <family val="2"/>
        <scheme val="minor"/>
      </rPr>
      <t>-</t>
    </r>
  </si>
  <si>
    <r>
      <t>C3F7COO</t>
    </r>
    <r>
      <rPr>
        <vertAlign val="superscript"/>
        <sz val="10"/>
        <color rgb="FF231F20"/>
        <rFont val="Calibri"/>
        <family val="2"/>
        <scheme val="minor"/>
      </rPr>
      <t>-</t>
    </r>
  </si>
  <si>
    <r>
      <t>C4F9COO</t>
    </r>
    <r>
      <rPr>
        <vertAlign val="superscript"/>
        <sz val="10"/>
        <color rgb="FF231F20"/>
        <rFont val="Calibri"/>
        <family val="2"/>
        <scheme val="minor"/>
      </rPr>
      <t>-</t>
    </r>
  </si>
  <si>
    <r>
      <t>C3F5O2</t>
    </r>
    <r>
      <rPr>
        <vertAlign val="superscript"/>
        <sz val="10"/>
        <rFont val="Calibri"/>
        <family val="2"/>
        <scheme val="minor"/>
      </rPr>
      <t>-</t>
    </r>
  </si>
  <si>
    <r>
      <t>C5F11CO2</t>
    </r>
    <r>
      <rPr>
        <vertAlign val="superscript"/>
        <sz val="10"/>
        <color rgb="FF231F20"/>
        <rFont val="Calibri"/>
        <family val="2"/>
        <scheme val="minor"/>
      </rPr>
      <t>-</t>
    </r>
  </si>
  <si>
    <r>
      <t>C6F13CO2</t>
    </r>
    <r>
      <rPr>
        <vertAlign val="superscript"/>
        <sz val="10"/>
        <color rgb="FF231F20"/>
        <rFont val="Calibri"/>
        <family val="2"/>
        <scheme val="minor"/>
      </rPr>
      <t>-</t>
    </r>
  </si>
  <si>
    <r>
      <t>C7F15CO2</t>
    </r>
    <r>
      <rPr>
        <vertAlign val="superscript"/>
        <sz val="10"/>
        <color rgb="FF231F20"/>
        <rFont val="Calibri"/>
        <family val="2"/>
        <scheme val="minor"/>
      </rPr>
      <t>-</t>
    </r>
  </si>
  <si>
    <r>
      <t>C8F17CO2</t>
    </r>
    <r>
      <rPr>
        <vertAlign val="superscript"/>
        <sz val="10"/>
        <color rgb="FF231F20"/>
        <rFont val="Calibri"/>
        <family val="2"/>
        <scheme val="minor"/>
      </rPr>
      <t>-</t>
    </r>
  </si>
  <si>
    <r>
      <t>C9F19CO2</t>
    </r>
    <r>
      <rPr>
        <vertAlign val="superscript"/>
        <sz val="10"/>
        <color rgb="FF231F20"/>
        <rFont val="Calibri"/>
        <family val="2"/>
        <scheme val="minor"/>
      </rPr>
      <t>-</t>
    </r>
  </si>
  <si>
    <r>
      <t>C10F21CO2</t>
    </r>
    <r>
      <rPr>
        <vertAlign val="superscript"/>
        <sz val="10"/>
        <color rgb="FF231F20"/>
        <rFont val="Calibri"/>
        <family val="2"/>
        <scheme val="minor"/>
      </rPr>
      <t>-</t>
    </r>
  </si>
  <si>
    <r>
      <t>C11F23CO2</t>
    </r>
    <r>
      <rPr>
        <vertAlign val="superscript"/>
        <sz val="10"/>
        <color rgb="FF231F20"/>
        <rFont val="Calibri"/>
        <family val="2"/>
        <scheme val="minor"/>
      </rPr>
      <t>-</t>
    </r>
  </si>
  <si>
    <r>
      <t>C12F25CO2</t>
    </r>
    <r>
      <rPr>
        <vertAlign val="superscript"/>
        <sz val="10"/>
        <color rgb="FF231F20"/>
        <rFont val="Calibri"/>
        <family val="2"/>
        <scheme val="minor"/>
      </rPr>
      <t>-</t>
    </r>
  </si>
  <si>
    <r>
      <t>C13F27CO2</t>
    </r>
    <r>
      <rPr>
        <vertAlign val="superscript"/>
        <sz val="10"/>
        <color rgb="FF231F20"/>
        <rFont val="Calibri"/>
        <family val="2"/>
        <scheme val="minor"/>
      </rPr>
      <t>-</t>
    </r>
  </si>
  <si>
    <r>
      <rPr>
        <b/>
        <vertAlign val="superscript"/>
        <sz val="12"/>
        <color theme="1"/>
        <rFont val="Calibri"/>
        <family val="2"/>
      </rPr>
      <t>2</t>
    </r>
    <r>
      <rPr>
        <b/>
        <sz val="12"/>
        <color theme="1"/>
        <rFont val="Calibri"/>
        <family val="2"/>
      </rPr>
      <t>Media Type:</t>
    </r>
  </si>
  <si>
    <t># Fluorines</t>
  </si>
  <si>
    <r>
      <t>C7F15SO3</t>
    </r>
    <r>
      <rPr>
        <vertAlign val="superscript"/>
        <sz val="10"/>
        <rFont val="Calibri"/>
        <family val="2"/>
      </rPr>
      <t>-</t>
    </r>
  </si>
  <si>
    <r>
      <rPr>
        <vertAlign val="superscript"/>
        <sz val="10"/>
        <rFont val="Calibri"/>
        <family val="2"/>
      </rPr>
      <t>7</t>
    </r>
    <r>
      <rPr>
        <sz val="10"/>
        <rFont val="Calibri"/>
        <family val="2"/>
      </rPr>
      <t>Perfluoropentanesulfonate (PFPeS-)</t>
    </r>
  </si>
  <si>
    <t>Sample ID:</t>
  </si>
  <si>
    <t>44864-55-3</t>
  </si>
  <si>
    <t>Chemical
Formula</t>
  </si>
  <si>
    <t>Project Name:</t>
  </si>
  <si>
    <t>Step 1. Sample Information:</t>
  </si>
  <si>
    <t>Step 3. Select Current or Anticipated Land Use from pulldown list (Receptor):</t>
  </si>
  <si>
    <t>1. CAS # and compound name refer to anion form of PFAS, assumed to be dominant in environmental samples (noted by "-" sign after abbreviation; refer to "PFASs Nomenclature -Anions" worksheet and accompanying Technical Memorandum.</t>
  </si>
  <si>
    <r>
      <rPr>
        <b/>
        <vertAlign val="superscript"/>
        <sz val="10"/>
        <color rgb="FF000000"/>
        <rFont val="Calibri"/>
        <family val="2"/>
      </rPr>
      <t>1</t>
    </r>
    <r>
      <rPr>
        <b/>
        <sz val="10"/>
        <color rgb="FF000000"/>
        <rFont val="Calibri"/>
        <family val="2"/>
      </rPr>
      <t>CAS #</t>
    </r>
  </si>
  <si>
    <r>
      <rPr>
        <b/>
        <vertAlign val="superscript"/>
        <sz val="10"/>
        <color rgb="FF000000"/>
        <rFont val="Calibri"/>
        <family val="2"/>
      </rPr>
      <t>1</t>
    </r>
    <r>
      <rPr>
        <b/>
        <sz val="10"/>
        <color rgb="FF000000"/>
        <rFont val="Calibri"/>
        <family val="2"/>
      </rPr>
      <t>Chemical</t>
    </r>
  </si>
  <si>
    <t>Date:</t>
  </si>
  <si>
    <t>Totals:</t>
  </si>
  <si>
    <t>Calculations</t>
  </si>
  <si>
    <t>Total PFASs:</t>
  </si>
  <si>
    <t>Pre- &amp; Post-TOPs Data</t>
  </si>
  <si>
    <t>Input Pre-TOPs Concentration (ng/L)</t>
  </si>
  <si>
    <t>Input Pre-TOPs Concentration (µg/Kg)</t>
  </si>
  <si>
    <t>Input Post-TOPs Concentration (ng/L)</t>
  </si>
  <si>
    <t>Input Post-TOPs Concentration (µg/Kg)</t>
  </si>
  <si>
    <t>INPUT SAMPLE DATA</t>
  </si>
  <si>
    <t>Total Post-TOPs PFASs (ng/L):</t>
  </si>
  <si>
    <t>Total Post-TOPs PFASs (µg/Kg):</t>
  </si>
  <si>
    <t>Heading Options</t>
  </si>
  <si>
    <t>Precursor PFASs: Post-TOPs Makeup (ng/L)</t>
  </si>
  <si>
    <t>Tapwater Action Level (ng/L)</t>
  </si>
  <si>
    <t>Reference</t>
  </si>
  <si>
    <t>Soil Action Level (µg/Kg)</t>
  </si>
  <si>
    <t>Concentration (µg/kg)</t>
  </si>
  <si>
    <t>Concentration (ng/L)</t>
  </si>
  <si>
    <t>Total PFASs Risk Calculator</t>
  </si>
  <si>
    <t>Caution! Final Hazard Index &gt;1; additional review of potential health risk required.</t>
  </si>
  <si>
    <r>
      <t xml:space="preserve">Final Hazard Index </t>
    </r>
    <r>
      <rPr>
        <b/>
        <u/>
        <sz val="12"/>
        <color rgb="FF000000"/>
        <rFont val="Calibri"/>
        <family val="2"/>
      </rPr>
      <t>&lt;</t>
    </r>
    <r>
      <rPr>
        <b/>
        <sz val="12"/>
        <color rgb="FF000000"/>
        <rFont val="Calibri"/>
        <family val="2"/>
      </rPr>
      <t>1. Input sample data do not indicate a potential health risk.</t>
    </r>
  </si>
  <si>
    <r>
      <rPr>
        <b/>
        <vertAlign val="superscript"/>
        <sz val="10"/>
        <color rgb="FF000000"/>
        <rFont val="Calibri"/>
        <family val="2"/>
      </rPr>
      <t>2</t>
    </r>
    <r>
      <rPr>
        <b/>
        <sz val="10"/>
        <color rgb="FF000000"/>
        <rFont val="Calibri"/>
        <family val="2"/>
      </rPr>
      <t>CAS #</t>
    </r>
  </si>
  <si>
    <r>
      <rPr>
        <b/>
        <vertAlign val="superscript"/>
        <sz val="10"/>
        <color rgb="FF000000"/>
        <rFont val="Calibri"/>
        <family val="2"/>
      </rPr>
      <t>2</t>
    </r>
    <r>
      <rPr>
        <b/>
        <sz val="10"/>
        <color rgb="FF000000"/>
        <rFont val="Calibri"/>
        <family val="2"/>
      </rPr>
      <t>Chemical</t>
    </r>
  </si>
  <si>
    <t>Reference:</t>
  </si>
  <si>
    <t>Aquatic Toxicity
Action Level (Chronic)
(ng/L)</t>
  </si>
  <si>
    <t>Aquatic Toxicity
Action Level (Acute)
(ng/L)</t>
  </si>
  <si>
    <t>Aquatic Toxicity
Action Level (Chronic)</t>
  </si>
  <si>
    <t>Aquatic Toxicity
Action Level (Acute)</t>
  </si>
  <si>
    <t>Input Pre-TOPs Concentration Liquids
(ng/L)</t>
  </si>
  <si>
    <t>Input Post-TOPs
Concentration Liquids
(ng/L)</t>
  </si>
  <si>
    <t>Aquatic Toxicity Risk</t>
  </si>
  <si>
    <t>Step 4. Input TOF and Pre- &amp; Post-TOPs Sample Data on Worksheet 2.</t>
  </si>
  <si>
    <t>Toxicity-Based Drinking Water and Soil Action Levels.</t>
  </si>
  <si>
    <t>Input Absorbable Organic Fluorine Concentration (ng/L):</t>
  </si>
  <si>
    <t>Input Extractable Organic Fluorine Concentration (µg/Kg):</t>
  </si>
  <si>
    <r>
      <rPr>
        <b/>
        <vertAlign val="superscript"/>
        <sz val="10"/>
        <rFont val="Calibri"/>
        <family val="2"/>
        <scheme val="minor"/>
      </rPr>
      <t>1</t>
    </r>
    <r>
      <rPr>
        <b/>
        <sz val="10"/>
        <rFont val="Calibri"/>
        <family val="2"/>
        <scheme val="minor"/>
      </rPr>
      <t>Water Action Levels (ng/L)</t>
    </r>
  </si>
  <si>
    <t>PFAS Group</t>
  </si>
  <si>
    <t>CAS #</t>
  </si>
  <si>
    <t>Chemical</t>
  </si>
  <si>
    <t>Refer to accompaning, PFAS Technical Memorandum for earlier updates</t>
  </si>
  <si>
    <t>Pre-TOPs PFASs
Hazard Quotient</t>
  </si>
  <si>
    <t>PFASs:
Pre-TOPs
Makeup
(%)</t>
  </si>
  <si>
    <t>PFASs:
Post-TOPs
Makeup
(%)</t>
  </si>
  <si>
    <t>Step 2. Select Media Type from pulldown list:</t>
  </si>
  <si>
    <r>
      <rPr>
        <b/>
        <vertAlign val="superscript"/>
        <sz val="12"/>
        <color theme="1"/>
        <rFont val="Calibri"/>
        <family val="2"/>
      </rPr>
      <t>3</t>
    </r>
    <r>
      <rPr>
        <b/>
        <sz val="12"/>
        <color theme="1"/>
        <rFont val="Calibri"/>
        <family val="2"/>
      </rPr>
      <t>Land Use:</t>
    </r>
  </si>
  <si>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Input Excess Fluorine Mass Adjustment Factor (default = 1.73):</t>
    </r>
  </si>
  <si>
    <t>Input Sample TOF (µg/kg):</t>
  </si>
  <si>
    <t>Input Sample TOF (ng/L):</t>
  </si>
  <si>
    <t>Pre-Tops PFASs:</t>
  </si>
  <si>
    <t>Other:</t>
  </si>
  <si>
    <r>
      <rPr>
        <b/>
        <sz val="12"/>
        <rFont val="Calibri"/>
        <family val="2"/>
      </rPr>
      <t>Step 1.</t>
    </r>
    <r>
      <rPr>
        <sz val="12"/>
        <rFont val="Calibri"/>
        <family val="2"/>
      </rPr>
      <t xml:space="preserve"> Input Project Name, Sample Identification Code, Date and other desired information.</t>
    </r>
  </si>
  <si>
    <r>
      <rPr>
        <b/>
        <sz val="12"/>
        <rFont val="Calibri"/>
        <family val="2"/>
      </rPr>
      <t>Step 2.</t>
    </r>
    <r>
      <rPr>
        <sz val="12"/>
        <rFont val="Calibri"/>
        <family val="2"/>
      </rPr>
      <t xml:space="preserve"> Select sample media type ("Solid" = Soil, Biosolids, Sediment, etc.; "Liquid" = Drinking Water, Wastewater, Irrigation Water, Groundwater, etc.).</t>
    </r>
  </si>
  <si>
    <t>Instructions:</t>
  </si>
  <si>
    <r>
      <rPr>
        <b/>
        <sz val="12"/>
        <rFont val="Calibri"/>
        <family val="2"/>
      </rPr>
      <t>Step 3.</t>
    </r>
    <r>
      <rPr>
        <sz val="12"/>
        <rFont val="Calibri"/>
        <family val="2"/>
      </rPr>
      <t xml:space="preserve"> Select Land Use Exposure Scenario from Pulldown List (applies to Soil only).</t>
    </r>
  </si>
  <si>
    <r>
      <rPr>
        <b/>
        <sz val="12"/>
        <rFont val="Calibri"/>
        <family val="2"/>
      </rPr>
      <t>Step 4.</t>
    </r>
    <r>
      <rPr>
        <sz val="12"/>
        <rFont val="Calibri"/>
        <family val="2"/>
      </rPr>
      <t xml:space="preserve"> Input </t>
    </r>
    <r>
      <rPr>
        <vertAlign val="superscript"/>
        <sz val="12"/>
        <rFont val="Calibri"/>
        <family val="2"/>
      </rPr>
      <t>2</t>
    </r>
    <r>
      <rPr>
        <sz val="12"/>
        <rFont val="Calibri"/>
        <family val="2"/>
      </rPr>
      <t xml:space="preserve">Pre-TOPs (optional), </t>
    </r>
    <r>
      <rPr>
        <vertAlign val="superscript"/>
        <sz val="12"/>
        <rFont val="Calibri"/>
        <family val="2"/>
      </rPr>
      <t>3</t>
    </r>
    <r>
      <rPr>
        <sz val="12"/>
        <rFont val="Calibri"/>
        <family val="2"/>
      </rPr>
      <t xml:space="preserve">Post-TOPs and TOF data and </t>
    </r>
    <r>
      <rPr>
        <vertAlign val="superscript"/>
        <sz val="12"/>
        <rFont val="Calibri"/>
        <family val="2"/>
      </rPr>
      <t>4</t>
    </r>
    <r>
      <rPr>
        <sz val="12"/>
        <rFont val="Calibri"/>
        <family val="2"/>
      </rPr>
      <t>Excess Fluorine Mass Adjustment Factor in Worksheet 2 (Liquids: ng/L; Solids: µg/Kg).</t>
    </r>
  </si>
  <si>
    <r>
      <rPr>
        <b/>
        <sz val="12"/>
        <rFont val="Calibri"/>
        <family val="2"/>
      </rPr>
      <t>Step 5.</t>
    </r>
    <r>
      <rPr>
        <sz val="12"/>
        <rFont val="Calibri"/>
        <family val="2"/>
      </rPr>
      <t xml:space="preserve"> Spreadsheet calculates separate noncancer Hazard Index for Pre-TOPs, Post-TOPs and Excess Fluorine PFASs and cumulative Hazard Index for Total PFAS Risk. Input water concentrations additionally compared to Aquatic Toxicity action levels in Worksheet 6 for assessment of discharges to aquatic habitats.</t>
    </r>
  </si>
  <si>
    <r>
      <rPr>
        <b/>
        <sz val="12"/>
        <color rgb="FF000000"/>
        <rFont val="Calibri"/>
        <family val="2"/>
      </rPr>
      <t>2. Total Organic Fluorine (TOF)</t>
    </r>
    <r>
      <rPr>
        <sz val="12"/>
        <color rgb="FF000000"/>
        <rFont val="Calibri"/>
        <family val="2"/>
      </rPr>
      <t xml:space="preserve"> typically reported as Absorbable Organic Fluorine (AOF) for liquids and Extractable Organic Fluorine (EOF) for solids.</t>
    </r>
  </si>
  <si>
    <r>
      <rPr>
        <b/>
        <vertAlign val="superscript"/>
        <sz val="12"/>
        <rFont val="Calibri"/>
        <family val="2"/>
        <scheme val="minor"/>
      </rPr>
      <t>5</t>
    </r>
    <r>
      <rPr>
        <b/>
        <sz val="12"/>
        <rFont val="Calibri"/>
        <family val="2"/>
        <scheme val="minor"/>
      </rPr>
      <t>Hazard Indices</t>
    </r>
  </si>
  <si>
    <t>Hawaii Department of Health, Hazard Evaluation and Emergency Response</t>
  </si>
  <si>
    <r>
      <rPr>
        <b/>
        <sz val="12"/>
        <rFont val="Calibri"/>
        <family val="2"/>
      </rPr>
      <t>Step 6.</t>
    </r>
    <r>
      <rPr>
        <sz val="12"/>
        <rFont val="Calibri"/>
        <family val="2"/>
      </rPr>
      <t xml:space="preserve"> Assess potential soil leaching risk and other potential environmental concerns (e.g., uptake into food crops) separately (refer to accompanying guidance document).</t>
    </r>
  </si>
  <si>
    <r>
      <rPr>
        <b/>
        <vertAlign val="super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>Precursor PFASs Concentration
(ng/L)</t>
    </r>
  </si>
  <si>
    <r>
      <t xml:space="preserve">2. Concentrations of </t>
    </r>
    <r>
      <rPr>
        <b/>
        <sz val="10"/>
        <rFont val="Calibri"/>
        <family val="2"/>
      </rPr>
      <t>Precursor-Related Terminal Endpoint PFAS</t>
    </r>
    <r>
      <rPr>
        <sz val="10"/>
        <rFont val="Calibri"/>
        <family val="2"/>
      </rPr>
      <t xml:space="preserve"> calculated by subtracting Pre-TOPs concentration of compound from Post-TOPs concentration.</t>
    </r>
  </si>
  <si>
    <r>
      <rPr>
        <b/>
        <vertAlign val="super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>Precursor PFASs Concentration
(µg/Kg)</t>
    </r>
  </si>
  <si>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Calculations</t>
    </r>
  </si>
  <si>
    <r>
      <t xml:space="preserve">1. </t>
    </r>
    <r>
      <rPr>
        <b/>
        <sz val="10"/>
        <rFont val="Calibri"/>
        <family val="2"/>
      </rPr>
      <t>CAS # and compound name</t>
    </r>
    <r>
      <rPr>
        <sz val="10"/>
        <rFont val="Calibri"/>
        <family val="2"/>
      </rPr>
      <t xml:space="preserve"> refer to anion form of PFAS, assumed to be dominant in environmental samples (noted by "-" sign after abbreviation; refer to "PFASs Nomenclature -Anions" worksheet and accompanying Technical Memorandum.</t>
    </r>
  </si>
  <si>
    <r>
      <rPr>
        <b/>
        <vertAlign val="superscript"/>
        <sz val="10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Excess Fluorine (µg/kg):</t>
    </r>
  </si>
  <si>
    <r>
      <rPr>
        <b/>
        <vertAlign val="superscript"/>
        <sz val="10"/>
        <color theme="1"/>
        <rFont val="Calibri"/>
        <family val="2"/>
      </rPr>
      <t>5</t>
    </r>
    <r>
      <rPr>
        <b/>
        <sz val="10"/>
        <color theme="1"/>
        <rFont val="Calibri"/>
        <family val="2"/>
      </rPr>
      <t>Excess Fluorine Mass Adjustment Factor:</t>
    </r>
  </si>
  <si>
    <r>
      <rPr>
        <b/>
        <vertAlign val="superscript"/>
        <sz val="10"/>
        <color theme="1"/>
        <rFont val="Calibri"/>
        <family val="2"/>
      </rPr>
      <t>6</t>
    </r>
    <r>
      <rPr>
        <b/>
        <sz val="10"/>
        <color theme="1"/>
        <rFont val="Calibri"/>
        <family val="2"/>
      </rPr>
      <t>Excess Fluorine PFASs (µg/kg):</t>
    </r>
  </si>
  <si>
    <r>
      <t xml:space="preserve">4. Concentration of </t>
    </r>
    <r>
      <rPr>
        <b/>
        <sz val="10"/>
        <rFont val="Calibri"/>
        <family val="2"/>
        <scheme val="minor"/>
      </rPr>
      <t>Excess Fluorine</t>
    </r>
    <r>
      <rPr>
        <sz val="10"/>
        <rFont val="Calibri"/>
        <family val="2"/>
        <scheme val="minor"/>
      </rPr>
      <t xml:space="preserve"> calculated by subtracting the concentration of TOPs-Predicted Total Organic Fluorine from the concentration of Total Organic Fluorine reported for the sample.</t>
    </r>
  </si>
  <si>
    <r>
      <t xml:space="preserve">6. Concentration of </t>
    </r>
    <r>
      <rPr>
        <b/>
        <sz val="10"/>
        <rFont val="Calibri"/>
        <family val="2"/>
        <scheme val="minor"/>
      </rPr>
      <t>PFASs associated with Excess Fluorine</t>
    </r>
    <r>
      <rPr>
        <sz val="10"/>
        <rFont val="Calibri"/>
        <family val="2"/>
        <scheme val="minor"/>
      </rPr>
      <t xml:space="preserve"> estimated as the concentatration of Excess Fluorine in the sample multiplied by the Excess Fluorine Mass Adjustment Factor.</t>
    </r>
  </si>
  <si>
    <t>Worksheet 4: Calculation of Total PFASs Risk - Solids</t>
  </si>
  <si>
    <t>Worksheet 5: Calculation of Total PFASs Risk - Liquids</t>
  </si>
  <si>
    <r>
      <rPr>
        <b/>
        <vertAlign val="superscript"/>
        <sz val="10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Excess Fluorine (ng/L):</t>
    </r>
  </si>
  <si>
    <r>
      <rPr>
        <b/>
        <vertAlign val="superscript"/>
        <sz val="10"/>
        <color theme="1"/>
        <rFont val="Calibri"/>
        <family val="2"/>
      </rPr>
      <t>6</t>
    </r>
    <r>
      <rPr>
        <b/>
        <sz val="10"/>
        <color theme="1"/>
        <rFont val="Calibri"/>
        <family val="2"/>
      </rPr>
      <t>Estimated Excess Fluorine PFASs (ng/L):</t>
    </r>
  </si>
  <si>
    <t>Worksheet 6: Comparison of input liquid (e.g., groundwater or surface water) data to aquatic toxicity action levels.</t>
  </si>
  <si>
    <r>
      <rPr>
        <b/>
        <sz val="10"/>
        <rFont val="Calibri"/>
        <family val="2"/>
      </rPr>
      <t>2. CAS # and compound name</t>
    </r>
    <r>
      <rPr>
        <sz val="10"/>
        <rFont val="Calibri"/>
        <family val="2"/>
      </rPr>
      <t xml:space="preserve"> refer to anion form of PFAS, assumed to be dominant in environmental samples (noted by "-" sign after abbreviation; refer to "PFASs Nomenclature -Anions" worksheet and accompanying Technical Memorandum.</t>
    </r>
  </si>
  <si>
    <t>Total PFAS Risk Calculator</t>
  </si>
  <si>
    <r>
      <rPr>
        <b/>
        <sz val="12"/>
        <rFont val="Calibri"/>
        <family val="2"/>
      </rPr>
      <t>1. Write Protection password "PFAS."</t>
    </r>
    <r>
      <rPr>
        <sz val="12"/>
        <rFont val="Calibri"/>
        <family val="2"/>
      </rPr>
      <t xml:space="preserve"> Remove </t>
    </r>
    <r>
      <rPr>
        <sz val="12"/>
        <color theme="1"/>
        <rFont val="Calibri"/>
        <family val="2"/>
      </rPr>
      <t>Write Protection</t>
    </r>
    <r>
      <rPr>
        <sz val="12"/>
        <rFont val="Calibri"/>
        <family val="2"/>
      </rPr>
      <t xml:space="preserve"> (under Review tab) to input alternative spreadsheet approaches or configuration. Provide in report for review by overseeing agency as necessary.</t>
    </r>
  </si>
  <si>
    <r>
      <rPr>
        <b/>
        <sz val="12"/>
        <color rgb="FF000000"/>
        <rFont val="Calibri"/>
        <family val="2"/>
      </rPr>
      <t>3. Total Oxidizable Precursors (TOPs)</t>
    </r>
    <r>
      <rPr>
        <sz val="12"/>
        <color rgb="FF000000"/>
        <rFont val="Calibri"/>
        <family val="2"/>
      </rPr>
      <t xml:space="preserve"> methods used to strip function groups from precursor PFAS compounds and identify underlying "Termina Endpoint" PFAS compound(s).</t>
    </r>
  </si>
  <si>
    <t>1. Refer to Attachment 3, Table D-3a and Table D-4a of referenced document. Target Hazard Quotient = 1.</t>
  </si>
  <si>
    <t>2.  Refer to Attachment 3, Tables I-1, I-2 and I-3 of referenced document.Target Hazard Quotient = 1.</t>
  </si>
  <si>
    <r>
      <t xml:space="preserve">6. Concentration of </t>
    </r>
    <r>
      <rPr>
        <b/>
        <sz val="10"/>
        <rFont val="Calibri"/>
        <family val="2"/>
        <scheme val="minor"/>
      </rPr>
      <t>PFASs associated with Excess Fluorine</t>
    </r>
    <r>
      <rPr>
        <sz val="10"/>
        <rFont val="Calibri"/>
        <family val="2"/>
        <scheme val="minor"/>
      </rPr>
      <t xml:space="preserve"> estimated as the concentration of Excess Fluorine in the sample multiplied by the Excess Fluorine Mass Adjustment Factor.</t>
    </r>
  </si>
  <si>
    <r>
      <t xml:space="preserve">5. </t>
    </r>
    <r>
      <rPr>
        <b/>
        <sz val="10"/>
        <rFont val="Calibri"/>
        <family val="2"/>
        <scheme val="minor"/>
      </rPr>
      <t>Excess Fluorine-Mass Adjustment Factor</t>
    </r>
    <r>
      <rPr>
        <sz val="10"/>
        <rFont val="Calibri"/>
        <family val="2"/>
        <scheme val="minor"/>
      </rPr>
      <t xml:space="preserve"> input on Sample Data worksheet. Used to estimate the concentration PFASs associated with reported Total Organic Fluorine in excess of that attributable to reported post-TOPs PFAS compounds. Excess Fluorine by default assumed to be related to undefined ultrashort PFAS compounds in the sample. Default Adjustment Factor stoichiometrically estimated as the molecular weight of PFPrA- (162) divided by the atomic mass of fluorine (18.998) = 1.73.</t>
    </r>
  </si>
  <si>
    <r>
      <t>1. CAS # and compound name</t>
    </r>
    <r>
      <rPr>
        <sz val="10"/>
        <rFont val="Calibri"/>
        <family val="2"/>
      </rPr>
      <t xml:space="preserve"> refer to anion form of PFAS, assumed to be dominant in environmental samples (noted by "-" sign after abbreviation; refer to "PFASs Nomenclature -Anions" worksheet and accompanying Technical Memorandum.</t>
    </r>
  </si>
  <si>
    <t>Perfluoropentanesulfonate (PFPeS-)</t>
  </si>
  <si>
    <r>
      <rPr>
        <b/>
        <sz val="10"/>
        <rFont val="Calibri"/>
        <family val="2"/>
      </rPr>
      <t>1. Excess Fluorine-Mass Adjustment Factor</t>
    </r>
    <r>
      <rPr>
        <sz val="10"/>
        <rFont val="Calibri"/>
        <family val="2"/>
      </rPr>
      <t xml:space="preserve"> used to estimate the concentration PFASs associated with reported Total Organic Fluorine in excess of that attributable to reported post-TOPs PFAS compounds. Excess Fluorine by default assumed to be related to undefined ultrashort PFAS compounds in the sample. Default Adjustment Factor stoichiometrically estimated as the molecular weight of PFPrA</t>
    </r>
    <r>
      <rPr>
        <vertAlign val="superscript"/>
        <sz val="10"/>
        <rFont val="Calibri"/>
        <family val="2"/>
      </rPr>
      <t>-</t>
    </r>
    <r>
      <rPr>
        <sz val="10"/>
        <rFont val="Calibri"/>
        <family val="2"/>
      </rPr>
      <t xml:space="preserve"> (162) divided by the atomic mass of fluorine (18.998) = 1.73.</t>
    </r>
  </si>
  <si>
    <r>
      <t xml:space="preserve">4. </t>
    </r>
    <r>
      <rPr>
        <b/>
        <sz val="12"/>
        <color rgb="FF000000"/>
        <rFont val="Calibri"/>
        <family val="2"/>
      </rPr>
      <t>Excess Fluorine PFAS concentration</t>
    </r>
    <r>
      <rPr>
        <sz val="12"/>
        <color rgb="FF000000"/>
        <rFont val="Calibri"/>
        <family val="2"/>
      </rPr>
      <t xml:space="preserve"> estimated as the concentration of Excess Fluorine multiplied by the </t>
    </r>
    <r>
      <rPr>
        <b/>
        <sz val="12"/>
        <color rgb="FF000000"/>
        <rFont val="Calibri"/>
        <family val="2"/>
      </rPr>
      <t>Excess Fluorine Mass Adjustment Factor</t>
    </r>
    <r>
      <rPr>
        <sz val="12"/>
        <color rgb="FF000000"/>
        <rFont val="Calibri"/>
        <family val="2"/>
      </rPr>
      <t xml:space="preserve"> (refer to footnote on Worksheet 2).</t>
    </r>
  </si>
  <si>
    <t>Drinking Water Action Level</t>
  </si>
  <si>
    <t>Unrestricted</t>
  </si>
  <si>
    <r>
      <rPr>
        <b/>
        <vertAlign val="super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>Soil Action Levels (µg/Kg)</t>
    </r>
  </si>
  <si>
    <t>Commercial/
Industrial</t>
  </si>
  <si>
    <t>Construction/
Trench Worker</t>
  </si>
  <si>
    <r>
      <rPr>
        <b/>
        <vertAlign val="superscript"/>
        <sz val="10"/>
        <color rgb="FF000000"/>
        <rFont val="Calibri"/>
        <family val="2"/>
      </rPr>
      <t>3</t>
    </r>
    <r>
      <rPr>
        <b/>
        <sz val="10"/>
        <color rgb="FF000000"/>
        <rFont val="Calibri"/>
        <family val="2"/>
      </rPr>
      <t>Predicted Total Organic Fluorine (ng/L)</t>
    </r>
  </si>
  <si>
    <r>
      <rPr>
        <b/>
        <vertAlign val="superscript"/>
        <sz val="10"/>
        <color rgb="FF000000"/>
        <rFont val="Calibri"/>
        <family val="2"/>
      </rPr>
      <t>3</t>
    </r>
    <r>
      <rPr>
        <b/>
        <sz val="10"/>
        <color rgb="FF000000"/>
        <rFont val="Calibri"/>
        <family val="2"/>
      </rPr>
      <t>TOPs-Predicted Total Organic Fluorine
(µg/Kg)</t>
    </r>
  </si>
  <si>
    <r>
      <rPr>
        <b/>
        <sz val="14"/>
        <rFont val="Calibri"/>
        <family val="2"/>
      </rPr>
      <t xml:space="preserve">Contact: </t>
    </r>
    <r>
      <rPr>
        <sz val="14"/>
        <rFont val="Calibri"/>
        <family val="2"/>
      </rPr>
      <t>Roger Brewer (roger.brewer@doh.hawaii.gov)</t>
    </r>
  </si>
  <si>
    <t>Precursor PFASs:</t>
  </si>
  <si>
    <r>
      <rPr>
        <b/>
        <vertAlign val="superscript"/>
        <sz val="12"/>
        <color theme="1"/>
        <rFont val="Calibri"/>
        <family val="2"/>
      </rPr>
      <t>4</t>
    </r>
    <r>
      <rPr>
        <b/>
        <sz val="12"/>
        <color theme="1"/>
        <rFont val="Calibri"/>
        <family val="2"/>
      </rPr>
      <t>Excess Fluorine PFASs:</t>
    </r>
  </si>
  <si>
    <t>Precursor PFASs
Hazard Quotient</t>
  </si>
  <si>
    <t>Excess Fluorine Hazard Quotient:</t>
  </si>
  <si>
    <r>
      <rPr>
        <b/>
        <sz val="12"/>
        <rFont val="Times New Roman"/>
        <family val="1"/>
      </rPr>
      <t xml:space="preserve">February 10, 2024: </t>
    </r>
    <r>
      <rPr>
        <sz val="12"/>
        <rFont val="Times New Roman"/>
        <family val="1"/>
      </rPr>
      <t>Drinking Water and Soil Action levels for PFBS</t>
    </r>
    <r>
      <rPr>
        <vertAlign val="superscript"/>
        <sz val="12"/>
        <rFont val="Times New Roman"/>
        <family val="1"/>
      </rPr>
      <t>-</t>
    </r>
    <r>
      <rPr>
        <sz val="12"/>
        <rFont val="Times New Roman"/>
        <family val="1"/>
      </rPr>
      <t xml:space="preserve"> and PFPeS</t>
    </r>
    <r>
      <rPr>
        <vertAlign val="superscript"/>
        <sz val="12"/>
        <rFont val="Times New Roman"/>
        <family val="1"/>
      </rPr>
      <t xml:space="preserve">- </t>
    </r>
    <r>
      <rPr>
        <sz val="12"/>
        <rFont val="Times New Roman"/>
        <family val="1"/>
      </rPr>
      <t>corrected.</t>
    </r>
  </si>
  <si>
    <r>
      <t xml:space="preserve">HIDOH, 2024, </t>
    </r>
    <r>
      <rPr>
        <i/>
        <sz val="12"/>
        <rFont val="Times New Roman"/>
        <family val="1"/>
      </rPr>
      <t>Interim Soil and Water Environmental Action Levels (EALs) for Perfluoroalkyl and Polyfluoroalkyl Substances (PFASs)</t>
    </r>
    <r>
      <rPr>
        <sz val="12"/>
        <rFont val="Times New Roman"/>
        <family val="1"/>
      </rPr>
      <t>: Hawaii Department of Health, Hazard Evaluation and Emergency Response, March 2024.https://health.hawaii.gov/heer/guidance/ehe-and-eals/</t>
    </r>
  </si>
  <si>
    <r>
      <rPr>
        <b/>
        <sz val="12"/>
        <rFont val="Calibri"/>
        <family val="2"/>
      </rPr>
      <t>5. Final Total PFAS Risk Hazard Index</t>
    </r>
    <r>
      <rPr>
        <sz val="12"/>
        <rFont val="Calibri"/>
        <family val="2"/>
      </rPr>
      <t xml:space="preserve"> rounded to single digit for decision making. A Hazard Index greater than "1" indicates a potential health risk and the need for additional evaluation. Calculations based on risk-based action levels for PFASs. Laboratory Method Reporting Levels used to establish USEPA drinking water MCLs for PFOA and PFOS not considered (refer to accompanying Technical Memorandum).</t>
    </r>
  </si>
  <si>
    <t>HIDOH, 2024, Interim Soil and Water Environmental Action Levels (EALs) for Perfluoroalkyl and Polyfluoroalkyl Substances (PFASs): Hawaii Department of Health, Hazard Evaluation and Emergency Response, April 2024.</t>
  </si>
  <si>
    <t>Hawai'i  Department of Health
Hawai'i DOH (PFASs April 2024)</t>
  </si>
  <si>
    <r>
      <rPr>
        <b/>
        <sz val="10"/>
        <rFont val="Calibri"/>
        <family val="2"/>
      </rPr>
      <t>Reference</t>
    </r>
    <r>
      <rPr>
        <sz val="10"/>
        <rFont val="Calibri"/>
        <family val="2"/>
      </rPr>
      <t>: HIDOH, 2024, Interim Soil and Water Environmental Action Levels (EALs) for Perfluoroalkyl and Polyfluoroalkyl Substances (PFASs): Hawaii Department of Health, Hazard Evaluation and Emergency Response, April 2024.</t>
    </r>
  </si>
  <si>
    <r>
      <t xml:space="preserve">Reference: </t>
    </r>
    <r>
      <rPr>
        <sz val="10"/>
        <rFont val="Calibri"/>
        <family val="2"/>
      </rPr>
      <t>HIDOH, 2024, Interim Soil and Water Environmental Action Levels (EALs) for Perfluoroalkyl and Polyfluoroalkyl Substances (PFASs): Hawaii Department of Health, Hazard Evaluation and Emergency Response, April 2024.</t>
    </r>
  </si>
  <si>
    <r>
      <t xml:space="preserve">3. </t>
    </r>
    <r>
      <rPr>
        <b/>
        <sz val="10"/>
        <rFont val="Calibri"/>
        <family val="2"/>
        <scheme val="minor"/>
      </rPr>
      <t>TOPs-Predicted Total Organic Fluorine</t>
    </r>
    <r>
      <rPr>
        <sz val="10"/>
        <rFont val="Calibri"/>
        <family val="2"/>
        <scheme val="minor"/>
      </rPr>
      <t xml:space="preserve"> concentration for each compound stoichiometrically calculated as: Input Post-TOPs Concentration x [(Atomic Mass Fluorine x # Fluorines)/Compound Molecular Weight).</t>
    </r>
  </si>
  <si>
    <r>
      <t xml:space="preserve">3. TOPs-Predicted Total Organic Fluorine </t>
    </r>
    <r>
      <rPr>
        <sz val="10"/>
        <rFont val="Calibri"/>
        <family val="2"/>
      </rPr>
      <t>concentration for each compound stoichiometrically calculated as: Input Post-TOPs Concentration x [(Atomic Mass Fluorine x # Fluorines)/Compound Molecular Weight).</t>
    </r>
  </si>
  <si>
    <r>
      <rPr>
        <b/>
        <sz val="12"/>
        <rFont val="Times New Roman"/>
        <family val="1"/>
      </rPr>
      <t>June 18, 2024:</t>
    </r>
    <r>
      <rPr>
        <sz val="12"/>
        <rFont val="Times New Roman"/>
        <family val="1"/>
      </rPr>
      <t xml:space="preserve"> Formatting for input sample Date corrected.</t>
    </r>
  </si>
  <si>
    <r>
      <t>Date:</t>
    </r>
    <r>
      <rPr>
        <sz val="14"/>
        <rFont val="Calibri"/>
        <family val="2"/>
      </rPr>
      <t xml:space="preserve"> April 2024 (last updated June 18, 2024)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</si>
</sst>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E+00"/>
    <numFmt numFmtId="166" formatCode="0.0%"/>
    <numFmt numFmtId="167" formatCode="#,##0.0"/>
  </numFmts>
  <fonts count="64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vertAlign val="superscript"/>
      <sz val="10"/>
      <name val="Arial"/>
      <family val="2"/>
    </font>
    <font>
      <sz val="8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</font>
    <font>
      <b/>
      <sz val="18"/>
      <color rgb="FF000000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2"/>
      <name val="Calibri"/>
      <family val="2"/>
    </font>
    <font>
      <b/>
      <sz val="12"/>
      <color rgb="FFFF0000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vertAlign val="superscript"/>
      <sz val="10"/>
      <color rgb="FF000000"/>
      <name val="Calibri"/>
      <family val="2"/>
    </font>
    <font>
      <b/>
      <sz val="10"/>
      <name val="Calibri"/>
      <family val="2"/>
    </font>
    <font>
      <b/>
      <sz val="10"/>
      <color rgb="FFFF0000"/>
      <name val="Calibri"/>
      <family val="2"/>
    </font>
    <font>
      <vertAlign val="superscript"/>
      <sz val="10"/>
      <name val="Calibri"/>
      <family val="2"/>
    </font>
    <font>
      <b/>
      <sz val="12"/>
      <color rgb="FF000000"/>
      <name val="Calibri"/>
      <family val="2"/>
    </font>
    <font>
      <sz val="10"/>
      <color theme="1"/>
      <name val="Calibri"/>
      <family val="2"/>
    </font>
    <font>
      <vertAlign val="superscript"/>
      <sz val="10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vertAlign val="superscript"/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vertAlign val="superscript"/>
      <sz val="10"/>
      <color rgb="FF231F20"/>
      <name val="Calibri"/>
      <family val="2"/>
      <scheme val="minor"/>
    </font>
    <font>
      <b/>
      <vertAlign val="superscript"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u/>
      <sz val="12"/>
      <name val="Calibri"/>
      <family val="2"/>
    </font>
    <font>
      <b/>
      <sz val="11"/>
      <color theme="1"/>
      <name val="Calibri"/>
      <family val="2"/>
    </font>
    <font>
      <b/>
      <sz val="12"/>
      <name val="Calibri"/>
      <family val="2"/>
      <scheme val="minor"/>
    </font>
    <font>
      <b/>
      <u/>
      <sz val="12"/>
      <color rgb="FF000000"/>
      <name val="Calibri"/>
      <family val="2"/>
    </font>
    <font>
      <b/>
      <sz val="10"/>
      <color theme="1"/>
      <name val="Calibri"/>
      <family val="2"/>
      <scheme val="minor"/>
    </font>
    <font>
      <b/>
      <sz val="18"/>
      <name val="Arial"/>
      <family val="2"/>
    </font>
    <font>
      <b/>
      <vertAlign val="superscript"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FF0000"/>
      <name val="Calibri"/>
      <family val="2"/>
    </font>
    <font>
      <vertAlign val="superscript"/>
      <sz val="12"/>
      <name val="Calibri"/>
      <family val="2"/>
    </font>
    <font>
      <sz val="12"/>
      <name val="Calibri"/>
      <family val="2"/>
      <scheme val="minor"/>
    </font>
    <font>
      <sz val="12"/>
      <color rgb="FF000000"/>
      <name val="Calibri"/>
      <family val="2"/>
    </font>
    <font>
      <sz val="12"/>
      <name val="Arial"/>
      <family val="2"/>
    </font>
    <font>
      <b/>
      <vertAlign val="superscript"/>
      <sz val="12"/>
      <name val="Calibri"/>
      <family val="2"/>
      <scheme val="minor"/>
    </font>
    <font>
      <sz val="12"/>
      <color theme="1"/>
      <name val="Calibri"/>
      <family val="2"/>
    </font>
    <font>
      <b/>
      <vertAlign val="superscript"/>
      <sz val="10"/>
      <color theme="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vertAlign val="superscript"/>
      <sz val="12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rgb="FFE2EFDA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0" tint="-0.14999847407452621"/>
        <bgColor indexed="64"/>
      </patternFill>
    </fill>
  </fills>
  <borders count="97">
    <border>
      <left/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87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0" fillId="0" borderId="0" xfId="0" applyAlignment="1">
      <alignment wrapText="1"/>
    </xf>
    <xf numFmtId="0" fontId="3" fillId="0" borderId="0" xfId="0" applyFont="1" applyAlignment="1">
      <alignment horizontal="left"/>
    </xf>
    <xf numFmtId="0" fontId="0" fillId="0" borderId="0" xfId="0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 applyProtection="1">
      <alignment wrapText="1"/>
      <protection hidden="1"/>
    </xf>
    <xf numFmtId="0" fontId="9" fillId="0" borderId="0" xfId="0" applyFont="1"/>
    <xf numFmtId="0" fontId="13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9" fillId="0" borderId="0" xfId="0" applyFont="1" applyProtection="1">
      <protection hidden="1"/>
    </xf>
    <xf numFmtId="0" fontId="6" fillId="0" borderId="0" xfId="0" applyFont="1" applyAlignment="1">
      <alignment horizontal="centerContinuous" wrapText="1"/>
    </xf>
    <xf numFmtId="0" fontId="9" fillId="0" borderId="0" xfId="0" applyFont="1" applyAlignment="1">
      <alignment horizontal="centerContinuous"/>
    </xf>
    <xf numFmtId="0" fontId="7" fillId="0" borderId="0" xfId="0" applyFont="1"/>
    <xf numFmtId="0" fontId="9" fillId="0" borderId="0" xfId="0" applyFont="1" applyAlignment="1">
      <alignment vertical="center"/>
    </xf>
    <xf numFmtId="0" fontId="1" fillId="0" borderId="0" xfId="0" applyFont="1"/>
    <xf numFmtId="0" fontId="20" fillId="0" borderId="0" xfId="0" applyFont="1" applyAlignment="1">
      <alignment horizontal="center"/>
    </xf>
    <xf numFmtId="0" fontId="21" fillId="0" borderId="0" xfId="0" applyFont="1"/>
    <xf numFmtId="0" fontId="22" fillId="0" borderId="0" xfId="0" applyFont="1"/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20" fillId="0" borderId="0" xfId="0" applyFont="1" applyAlignment="1">
      <alignment horizontal="centerContinuous"/>
    </xf>
    <xf numFmtId="0" fontId="23" fillId="0" borderId="0" xfId="0" applyFont="1" applyAlignment="1">
      <alignment horizontal="left"/>
    </xf>
    <xf numFmtId="0" fontId="18" fillId="0" borderId="0" xfId="0" applyFont="1" applyAlignment="1">
      <alignment horizontal="left" wrapText="1"/>
    </xf>
    <xf numFmtId="0" fontId="22" fillId="0" borderId="0" xfId="0" applyFont="1" applyAlignment="1">
      <alignment wrapText="1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5" fillId="2" borderId="29" xfId="0" applyFont="1" applyFill="1" applyBorder="1" applyAlignment="1">
      <alignment horizontal="center" wrapText="1"/>
    </xf>
    <xf numFmtId="0" fontId="25" fillId="2" borderId="19" xfId="0" applyFont="1" applyFill="1" applyBorder="1" applyAlignment="1">
      <alignment horizontal="left" wrapText="1"/>
    </xf>
    <xf numFmtId="0" fontId="21" fillId="2" borderId="46" xfId="0" applyFont="1" applyFill="1" applyBorder="1" applyAlignment="1">
      <alignment horizontal="center" wrapText="1"/>
    </xf>
    <xf numFmtId="49" fontId="20" fillId="2" borderId="43" xfId="0" applyNumberFormat="1" applyFont="1" applyFill="1" applyBorder="1" applyAlignment="1">
      <alignment horizontal="left"/>
    </xf>
    <xf numFmtId="0" fontId="21" fillId="2" borderId="1" xfId="0" applyFont="1" applyFill="1" applyBorder="1" applyAlignment="1">
      <alignment horizontal="center" wrapText="1"/>
    </xf>
    <xf numFmtId="49" fontId="20" fillId="2" borderId="20" xfId="0" applyNumberFormat="1" applyFont="1" applyFill="1" applyBorder="1" applyAlignment="1">
      <alignment horizontal="left"/>
    </xf>
    <xf numFmtId="0" fontId="21" fillId="0" borderId="0" xfId="0" applyFont="1" applyAlignment="1">
      <alignment horizontal="center" vertical="center" wrapText="1"/>
    </xf>
    <xf numFmtId="11" fontId="29" fillId="0" borderId="0" xfId="0" applyNumberFormat="1" applyFont="1" applyAlignment="1">
      <alignment horizontal="right"/>
    </xf>
    <xf numFmtId="0" fontId="20" fillId="0" borderId="0" xfId="0" applyFont="1"/>
    <xf numFmtId="49" fontId="28" fillId="0" borderId="0" xfId="0" applyNumberFormat="1" applyFont="1" applyAlignment="1">
      <alignment horizontal="left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4" fillId="0" borderId="0" xfId="0" applyFont="1" applyAlignment="1">
      <alignment horizontal="right" vertical="center"/>
    </xf>
    <xf numFmtId="0" fontId="24" fillId="0" borderId="0" xfId="0" applyFont="1"/>
    <xf numFmtId="0" fontId="20" fillId="0" borderId="0" xfId="0" applyFont="1" applyAlignment="1">
      <alignment horizontal="left" vertical="center" wrapText="1"/>
    </xf>
    <xf numFmtId="49" fontId="17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20" fillId="0" borderId="0" xfId="0" applyNumberFormat="1" applyFont="1" applyAlignment="1">
      <alignment horizontal="left" vertical="center" wrapText="1"/>
    </xf>
    <xf numFmtId="49" fontId="32" fillId="2" borderId="20" xfId="0" applyNumberFormat="1" applyFont="1" applyFill="1" applyBorder="1" applyAlignment="1">
      <alignment horizontal="left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Continuous"/>
    </xf>
    <xf numFmtId="0" fontId="35" fillId="0" borderId="0" xfId="0" applyFont="1" applyAlignment="1">
      <alignment wrapText="1"/>
    </xf>
    <xf numFmtId="0" fontId="32" fillId="0" borderId="0" xfId="0" applyFont="1"/>
    <xf numFmtId="0" fontId="17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5" fillId="0" borderId="0" xfId="0" applyFont="1" applyAlignment="1">
      <alignment horizontal="right"/>
    </xf>
    <xf numFmtId="3" fontId="36" fillId="0" borderId="0" xfId="0" applyNumberFormat="1" applyFont="1" applyAlignment="1">
      <alignment horizontal="center"/>
    </xf>
    <xf numFmtId="0" fontId="31" fillId="0" borderId="0" xfId="0" applyFont="1"/>
    <xf numFmtId="165" fontId="32" fillId="0" borderId="0" xfId="0" applyNumberFormat="1" applyFont="1"/>
    <xf numFmtId="0" fontId="21" fillId="2" borderId="6" xfId="0" applyFont="1" applyFill="1" applyBorder="1" applyAlignment="1">
      <alignment horizontal="center" vertical="center" wrapText="1"/>
    </xf>
    <xf numFmtId="0" fontId="21" fillId="8" borderId="2" xfId="0" applyFont="1" applyFill="1" applyBorder="1"/>
    <xf numFmtId="0" fontId="21" fillId="8" borderId="5" xfId="0" applyFont="1" applyFill="1" applyBorder="1"/>
    <xf numFmtId="0" fontId="21" fillId="8" borderId="8" xfId="0" applyFont="1" applyFill="1" applyBorder="1"/>
    <xf numFmtId="0" fontId="34" fillId="8" borderId="0" xfId="0" applyFont="1" applyFill="1" applyAlignment="1">
      <alignment horizontal="left" vertical="center"/>
    </xf>
    <xf numFmtId="0" fontId="34" fillId="8" borderId="0" xfId="0" applyFont="1" applyFill="1" applyAlignment="1">
      <alignment horizontal="right" vertical="center"/>
    </xf>
    <xf numFmtId="3" fontId="44" fillId="8" borderId="0" xfId="0" applyNumberFormat="1" applyFont="1" applyFill="1" applyAlignment="1">
      <alignment horizontal="center"/>
    </xf>
    <xf numFmtId="0" fontId="23" fillId="8" borderId="0" xfId="0" applyFont="1" applyFill="1" applyAlignment="1">
      <alignment horizontal="left"/>
    </xf>
    <xf numFmtId="0" fontId="21" fillId="8" borderId="6" xfId="0" applyFont="1" applyFill="1" applyBorder="1"/>
    <xf numFmtId="0" fontId="24" fillId="8" borderId="0" xfId="0" applyFont="1" applyFill="1" applyAlignment="1">
      <alignment horizontal="right" vertical="center"/>
    </xf>
    <xf numFmtId="0" fontId="18" fillId="8" borderId="4" xfId="0" applyFont="1" applyFill="1" applyBorder="1" applyAlignment="1">
      <alignment horizontal="left" wrapText="1"/>
    </xf>
    <xf numFmtId="0" fontId="22" fillId="8" borderId="4" xfId="0" applyFont="1" applyFill="1" applyBorder="1" applyAlignment="1">
      <alignment wrapText="1"/>
    </xf>
    <xf numFmtId="0" fontId="22" fillId="8" borderId="18" xfId="0" applyFont="1" applyFill="1" applyBorder="1" applyAlignment="1">
      <alignment wrapText="1"/>
    </xf>
    <xf numFmtId="0" fontId="22" fillId="8" borderId="0" xfId="0" applyFont="1" applyFill="1" applyAlignment="1">
      <alignment wrapText="1"/>
    </xf>
    <xf numFmtId="0" fontId="22" fillId="8" borderId="8" xfId="0" applyFont="1" applyFill="1" applyBorder="1" applyAlignment="1">
      <alignment wrapText="1"/>
    </xf>
    <xf numFmtId="0" fontId="18" fillId="8" borderId="0" xfId="0" applyFont="1" applyFill="1" applyAlignment="1">
      <alignment horizontal="left" wrapText="1"/>
    </xf>
    <xf numFmtId="0" fontId="39" fillId="8" borderId="0" xfId="0" applyFont="1" applyFill="1" applyAlignment="1">
      <alignment horizontal="center" wrapText="1"/>
    </xf>
    <xf numFmtId="0" fontId="45" fillId="8" borderId="0" xfId="0" applyFont="1" applyFill="1" applyAlignment="1">
      <alignment horizontal="left"/>
    </xf>
    <xf numFmtId="0" fontId="40" fillId="8" borderId="0" xfId="0" applyFont="1" applyFill="1" applyAlignment="1" applyProtection="1">
      <alignment horizontal="center" vertical="center"/>
      <protection locked="0"/>
    </xf>
    <xf numFmtId="0" fontId="24" fillId="8" borderId="0" xfId="0" applyFont="1" applyFill="1" applyAlignment="1">
      <alignment horizontal="center" vertical="center"/>
    </xf>
    <xf numFmtId="0" fontId="40" fillId="8" borderId="0" xfId="0" applyFont="1" applyFill="1" applyAlignment="1">
      <alignment horizontal="center" vertical="center"/>
    </xf>
    <xf numFmtId="0" fontId="24" fillId="8" borderId="8" xfId="0" applyFont="1" applyFill="1" applyBorder="1"/>
    <xf numFmtId="0" fontId="34" fillId="9" borderId="0" xfId="0" applyFont="1" applyFill="1" applyAlignment="1">
      <alignment horizontal="right" vertical="center"/>
    </xf>
    <xf numFmtId="0" fontId="22" fillId="8" borderId="0" xfId="0" applyFont="1" applyFill="1" applyAlignment="1">
      <alignment horizontal="left" wrapText="1"/>
    </xf>
    <xf numFmtId="0" fontId="21" fillId="11" borderId="5" xfId="0" applyFont="1" applyFill="1" applyBorder="1"/>
    <xf numFmtId="0" fontId="21" fillId="11" borderId="8" xfId="0" applyFont="1" applyFill="1" applyBorder="1"/>
    <xf numFmtId="0" fontId="21" fillId="11" borderId="6" xfId="0" applyFont="1" applyFill="1" applyBorder="1"/>
    <xf numFmtId="0" fontId="20" fillId="11" borderId="7" xfId="0" applyFont="1" applyFill="1" applyBorder="1" applyAlignment="1">
      <alignment horizontal="center"/>
    </xf>
    <xf numFmtId="0" fontId="17" fillId="11" borderId="7" xfId="0" applyFont="1" applyFill="1" applyBorder="1" applyAlignment="1">
      <alignment horizontal="center"/>
    </xf>
    <xf numFmtId="0" fontId="20" fillId="11" borderId="9" xfId="0" applyFont="1" applyFill="1" applyBorder="1" applyAlignment="1">
      <alignment horizontal="center"/>
    </xf>
    <xf numFmtId="11" fontId="38" fillId="0" borderId="0" xfId="0" applyNumberFormat="1" applyFont="1" applyAlignment="1">
      <alignment horizontal="center" wrapText="1"/>
    </xf>
    <xf numFmtId="1" fontId="17" fillId="0" borderId="0" xfId="0" applyNumberFormat="1" applyFont="1" applyAlignment="1">
      <alignment horizontal="center"/>
    </xf>
    <xf numFmtId="164" fontId="17" fillId="0" borderId="0" xfId="0" applyNumberFormat="1" applyFont="1" applyAlignment="1">
      <alignment horizontal="center"/>
    </xf>
    <xf numFmtId="2" fontId="17" fillId="0" borderId="0" xfId="0" applyNumberFormat="1" applyFont="1" applyAlignment="1">
      <alignment horizontal="center"/>
    </xf>
    <xf numFmtId="1" fontId="16" fillId="0" borderId="0" xfId="0" applyNumberFormat="1" applyFont="1" applyAlignment="1">
      <alignment horizontal="center"/>
    </xf>
    <xf numFmtId="2" fontId="16" fillId="0" borderId="0" xfId="0" applyNumberFormat="1" applyFont="1" applyAlignment="1">
      <alignment horizontal="center"/>
    </xf>
    <xf numFmtId="1" fontId="28" fillId="0" borderId="0" xfId="0" applyNumberFormat="1" applyFont="1" applyAlignment="1">
      <alignment horizontal="center"/>
    </xf>
    <xf numFmtId="2" fontId="17" fillId="3" borderId="42" xfId="0" applyNumberFormat="1" applyFont="1" applyFill="1" applyBorder="1" applyAlignment="1">
      <alignment horizontal="center"/>
    </xf>
    <xf numFmtId="0" fontId="25" fillId="13" borderId="29" xfId="0" applyFont="1" applyFill="1" applyBorder="1" applyAlignment="1">
      <alignment horizontal="center" wrapText="1"/>
    </xf>
    <xf numFmtId="0" fontId="25" fillId="13" borderId="19" xfId="0" applyFont="1" applyFill="1" applyBorder="1" applyAlignment="1">
      <alignment horizontal="left" wrapText="1"/>
    </xf>
    <xf numFmtId="0" fontId="41" fillId="13" borderId="19" xfId="0" applyFont="1" applyFill="1" applyBorder="1" applyAlignment="1">
      <alignment horizontal="center" wrapText="1"/>
    </xf>
    <xf numFmtId="11" fontId="38" fillId="13" borderId="34" xfId="0" applyNumberFormat="1" applyFont="1" applyFill="1" applyBorder="1" applyAlignment="1">
      <alignment horizontal="center" wrapText="1"/>
    </xf>
    <xf numFmtId="11" fontId="38" fillId="13" borderId="57" xfId="0" applyNumberFormat="1" applyFont="1" applyFill="1" applyBorder="1" applyAlignment="1">
      <alignment horizontal="center" wrapText="1"/>
    </xf>
    <xf numFmtId="0" fontId="21" fillId="13" borderId="46" xfId="0" applyFont="1" applyFill="1" applyBorder="1" applyAlignment="1">
      <alignment horizontal="center" wrapText="1"/>
    </xf>
    <xf numFmtId="49" fontId="20" fillId="13" borderId="43" xfId="0" applyNumberFormat="1" applyFont="1" applyFill="1" applyBorder="1" applyAlignment="1">
      <alignment horizontal="left"/>
    </xf>
    <xf numFmtId="49" fontId="20" fillId="13" borderId="43" xfId="0" applyNumberFormat="1" applyFont="1" applyFill="1" applyBorder="1" applyAlignment="1">
      <alignment horizontal="center"/>
    </xf>
    <xf numFmtId="0" fontId="21" fillId="13" borderId="1" xfId="0" applyFont="1" applyFill="1" applyBorder="1" applyAlignment="1">
      <alignment horizontal="center" wrapText="1"/>
    </xf>
    <xf numFmtId="49" fontId="20" fillId="13" borderId="20" xfId="0" applyNumberFormat="1" applyFont="1" applyFill="1" applyBorder="1" applyAlignment="1">
      <alignment horizontal="left"/>
    </xf>
    <xf numFmtId="49" fontId="20" fillId="13" borderId="20" xfId="0" applyNumberFormat="1" applyFont="1" applyFill="1" applyBorder="1" applyAlignment="1">
      <alignment horizontal="center"/>
    </xf>
    <xf numFmtId="49" fontId="32" fillId="13" borderId="20" xfId="0" applyNumberFormat="1" applyFont="1" applyFill="1" applyBorder="1" applyAlignment="1">
      <alignment horizontal="left"/>
    </xf>
    <xf numFmtId="49" fontId="32" fillId="13" borderId="20" xfId="0" applyNumberFormat="1" applyFont="1" applyFill="1" applyBorder="1" applyAlignment="1">
      <alignment horizontal="center"/>
    </xf>
    <xf numFmtId="0" fontId="21" fillId="13" borderId="6" xfId="0" applyFont="1" applyFill="1" applyBorder="1" applyAlignment="1">
      <alignment horizontal="center" vertical="center" wrapText="1"/>
    </xf>
    <xf numFmtId="49" fontId="20" fillId="13" borderId="7" xfId="0" applyNumberFormat="1" applyFont="1" applyFill="1" applyBorder="1" applyAlignment="1">
      <alignment horizontal="left" vertical="center" wrapText="1"/>
    </xf>
    <xf numFmtId="49" fontId="28" fillId="13" borderId="7" xfId="0" applyNumberFormat="1" applyFont="1" applyFill="1" applyBorder="1" applyAlignment="1">
      <alignment horizontal="right" vertical="center" wrapText="1"/>
    </xf>
    <xf numFmtId="11" fontId="28" fillId="7" borderId="49" xfId="0" applyNumberFormat="1" applyFont="1" applyFill="1" applyBorder="1" applyAlignment="1">
      <alignment horizontal="center" wrapText="1"/>
    </xf>
    <xf numFmtId="2" fontId="17" fillId="3" borderId="22" xfId="0" applyNumberFormat="1" applyFont="1" applyFill="1" applyBorder="1" applyAlignment="1">
      <alignment horizontal="center"/>
    </xf>
    <xf numFmtId="0" fontId="2" fillId="0" borderId="0" xfId="0" applyFont="1"/>
    <xf numFmtId="0" fontId="22" fillId="0" borderId="0" xfId="0" applyFont="1" applyAlignment="1">
      <alignment horizontal="right"/>
    </xf>
    <xf numFmtId="0" fontId="46" fillId="0" borderId="0" xfId="0" applyFont="1" applyAlignment="1">
      <alignment horizontal="right" wrapText="1"/>
    </xf>
    <xf numFmtId="0" fontId="26" fillId="0" borderId="0" xfId="0" applyFont="1" applyAlignment="1">
      <alignment horizontal="right"/>
    </xf>
    <xf numFmtId="0" fontId="21" fillId="11" borderId="0" xfId="0" applyFont="1" applyFill="1"/>
    <xf numFmtId="0" fontId="20" fillId="11" borderId="0" xfId="0" applyFont="1" applyFill="1" applyAlignment="1">
      <alignment horizontal="center"/>
    </xf>
    <xf numFmtId="0" fontId="20" fillId="11" borderId="8" xfId="0" applyFont="1" applyFill="1" applyBorder="1" applyAlignment="1">
      <alignment horizontal="center"/>
    </xf>
    <xf numFmtId="3" fontId="2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3" fontId="25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11" fontId="38" fillId="5" borderId="64" xfId="0" applyNumberFormat="1" applyFont="1" applyFill="1" applyBorder="1" applyAlignment="1">
      <alignment horizontal="center" wrapText="1"/>
    </xf>
    <xf numFmtId="11" fontId="38" fillId="5" borderId="65" xfId="0" applyNumberFormat="1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8" fillId="2" borderId="7" xfId="0" applyFont="1" applyFill="1" applyBorder="1" applyAlignment="1">
      <alignment horizontal="right" vertical="center" wrapText="1"/>
    </xf>
    <xf numFmtId="0" fontId="25" fillId="0" borderId="0" xfId="0" applyFont="1"/>
    <xf numFmtId="0" fontId="25" fillId="0" borderId="0" xfId="0" applyFont="1" applyAlignment="1">
      <alignment horizontal="left"/>
    </xf>
    <xf numFmtId="0" fontId="24" fillId="8" borderId="9" xfId="0" applyFont="1" applyFill="1" applyBorder="1"/>
    <xf numFmtId="0" fontId="17" fillId="11" borderId="0" xfId="0" applyFont="1" applyFill="1" applyAlignment="1">
      <alignment horizontal="center"/>
    </xf>
    <xf numFmtId="165" fontId="0" fillId="0" borderId="0" xfId="0" applyNumberFormat="1"/>
    <xf numFmtId="165" fontId="21" fillId="0" borderId="0" xfId="0" applyNumberFormat="1" applyFont="1" applyAlignment="1">
      <alignment horizontal="center"/>
    </xf>
    <xf numFmtId="165" fontId="17" fillId="3" borderId="42" xfId="0" applyNumberFormat="1" applyFont="1" applyFill="1" applyBorder="1" applyAlignment="1">
      <alignment horizontal="center"/>
    </xf>
    <xf numFmtId="11" fontId="38" fillId="13" borderId="19" xfId="0" applyNumberFormat="1" applyFont="1" applyFill="1" applyBorder="1" applyAlignment="1">
      <alignment horizontal="center" wrapText="1"/>
    </xf>
    <xf numFmtId="11" fontId="38" fillId="13" borderId="66" xfId="0" applyNumberFormat="1" applyFont="1" applyFill="1" applyBorder="1" applyAlignment="1">
      <alignment horizontal="center" wrapText="1"/>
    </xf>
    <xf numFmtId="0" fontId="34" fillId="11" borderId="0" xfId="0" applyFont="1" applyFill="1" applyAlignment="1">
      <alignment horizontal="right" vertical="center"/>
    </xf>
    <xf numFmtId="3" fontId="47" fillId="11" borderId="0" xfId="0" applyNumberFormat="1" applyFont="1" applyFill="1" applyAlignment="1">
      <alignment horizontal="center"/>
    </xf>
    <xf numFmtId="0" fontId="21" fillId="2" borderId="3" xfId="0" applyFont="1" applyFill="1" applyBorder="1" applyAlignment="1">
      <alignment horizontal="center" wrapText="1"/>
    </xf>
    <xf numFmtId="49" fontId="20" fillId="2" borderId="56" xfId="0" applyNumberFormat="1" applyFont="1" applyFill="1" applyBorder="1" applyAlignment="1">
      <alignment horizontal="left"/>
    </xf>
    <xf numFmtId="3" fontId="28" fillId="12" borderId="67" xfId="0" applyNumberFormat="1" applyFont="1" applyFill="1" applyBorder="1" applyAlignment="1">
      <alignment horizontal="center" vertical="center"/>
    </xf>
    <xf numFmtId="3" fontId="28" fillId="12" borderId="47" xfId="0" applyNumberFormat="1" applyFont="1" applyFill="1" applyBorder="1" applyAlignment="1">
      <alignment horizontal="center" vertical="center"/>
    </xf>
    <xf numFmtId="1" fontId="28" fillId="13" borderId="53" xfId="0" applyNumberFormat="1" applyFont="1" applyFill="1" applyBorder="1" applyAlignment="1">
      <alignment horizontal="center"/>
    </xf>
    <xf numFmtId="49" fontId="20" fillId="13" borderId="56" xfId="0" applyNumberFormat="1" applyFont="1" applyFill="1" applyBorder="1" applyAlignment="1">
      <alignment horizontal="left"/>
    </xf>
    <xf numFmtId="49" fontId="20" fillId="13" borderId="56" xfId="0" applyNumberFormat="1" applyFont="1" applyFill="1" applyBorder="1" applyAlignment="1">
      <alignment horizontal="center"/>
    </xf>
    <xf numFmtId="2" fontId="17" fillId="3" borderId="38" xfId="0" applyNumberFormat="1" applyFont="1" applyFill="1" applyBorder="1" applyAlignment="1">
      <alignment horizontal="center"/>
    </xf>
    <xf numFmtId="2" fontId="17" fillId="3" borderId="30" xfId="0" applyNumberFormat="1" applyFont="1" applyFill="1" applyBorder="1" applyAlignment="1">
      <alignment horizontal="center"/>
    </xf>
    <xf numFmtId="0" fontId="21" fillId="13" borderId="3" xfId="0" applyFont="1" applyFill="1" applyBorder="1" applyAlignment="1">
      <alignment horizontal="center" wrapText="1"/>
    </xf>
    <xf numFmtId="0" fontId="34" fillId="0" borderId="0" xfId="0" applyFont="1" applyAlignment="1">
      <alignment horizontal="left"/>
    </xf>
    <xf numFmtId="0" fontId="23" fillId="11" borderId="0" xfId="0" applyFont="1" applyFill="1" applyAlignment="1">
      <alignment horizontal="right"/>
    </xf>
    <xf numFmtId="0" fontId="21" fillId="11" borderId="46" xfId="0" applyFont="1" applyFill="1" applyBorder="1"/>
    <xf numFmtId="0" fontId="20" fillId="11" borderId="31" xfId="0" applyFont="1" applyFill="1" applyBorder="1" applyAlignment="1">
      <alignment horizontal="center"/>
    </xf>
    <xf numFmtId="0" fontId="34" fillId="11" borderId="31" xfId="0" applyFont="1" applyFill="1" applyBorder="1" applyAlignment="1">
      <alignment horizontal="right" vertical="center"/>
    </xf>
    <xf numFmtId="0" fontId="20" fillId="11" borderId="32" xfId="0" applyFont="1" applyFill="1" applyBorder="1" applyAlignment="1">
      <alignment horizontal="center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left" vertical="center"/>
    </xf>
    <xf numFmtId="11" fontId="28" fillId="7" borderId="63" xfId="0" applyNumberFormat="1" applyFont="1" applyFill="1" applyBorder="1" applyAlignment="1">
      <alignment horizontal="center" wrapText="1"/>
    </xf>
    <xf numFmtId="0" fontId="34" fillId="8" borderId="0" xfId="0" applyFont="1" applyFill="1" applyAlignment="1" applyProtection="1">
      <alignment horizontal="center" vertical="center"/>
      <protection locked="0"/>
    </xf>
    <xf numFmtId="0" fontId="44" fillId="8" borderId="0" xfId="0" applyFont="1" applyFill="1" applyAlignment="1" applyProtection="1">
      <alignment horizontal="center" vertical="center"/>
      <protection locked="0"/>
    </xf>
    <xf numFmtId="0" fontId="46" fillId="0" borderId="0" xfId="0" applyFont="1" applyAlignment="1">
      <alignment horizontal="left"/>
    </xf>
    <xf numFmtId="0" fontId="29" fillId="0" borderId="0" xfId="0" applyFont="1"/>
    <xf numFmtId="3" fontId="17" fillId="6" borderId="51" xfId="0" applyNumberFormat="1" applyFont="1" applyFill="1" applyBorder="1" applyAlignment="1">
      <alignment horizontal="center"/>
    </xf>
    <xf numFmtId="3" fontId="17" fillId="6" borderId="10" xfId="0" applyNumberFormat="1" applyFont="1" applyFill="1" applyBorder="1" applyAlignment="1">
      <alignment horizontal="center"/>
    </xf>
    <xf numFmtId="165" fontId="21" fillId="3" borderId="21" xfId="0" applyNumberFormat="1" applyFont="1" applyFill="1" applyBorder="1" applyAlignment="1">
      <alignment horizontal="center"/>
    </xf>
    <xf numFmtId="11" fontId="28" fillId="7" borderId="19" xfId="0" applyNumberFormat="1" applyFont="1" applyFill="1" applyBorder="1" applyAlignment="1">
      <alignment horizontal="center" wrapText="1"/>
    </xf>
    <xf numFmtId="11" fontId="38" fillId="13" borderId="27" xfId="0" applyNumberFormat="1" applyFont="1" applyFill="1" applyBorder="1" applyAlignment="1">
      <alignment horizontal="left" wrapText="1"/>
    </xf>
    <xf numFmtId="0" fontId="17" fillId="3" borderId="32" xfId="0" applyFont="1" applyFill="1" applyBorder="1" applyAlignment="1">
      <alignment horizontal="left"/>
    </xf>
    <xf numFmtId="165" fontId="21" fillId="3" borderId="42" xfId="0" applyNumberFormat="1" applyFont="1" applyFill="1" applyBorder="1" applyAlignment="1">
      <alignment horizontal="center"/>
    </xf>
    <xf numFmtId="0" fontId="25" fillId="3" borderId="34" xfId="0" applyFont="1" applyFill="1" applyBorder="1" applyAlignment="1">
      <alignment horizontal="center" wrapText="1"/>
    </xf>
    <xf numFmtId="0" fontId="25" fillId="3" borderId="57" xfId="0" applyFont="1" applyFill="1" applyBorder="1" applyAlignment="1">
      <alignment horizontal="center" wrapText="1"/>
    </xf>
    <xf numFmtId="3" fontId="0" fillId="0" borderId="0" xfId="0" applyNumberFormat="1"/>
    <xf numFmtId="0" fontId="34" fillId="8" borderId="7" xfId="0" applyFont="1" applyFill="1" applyBorder="1" applyAlignment="1">
      <alignment horizontal="right" vertical="center"/>
    </xf>
    <xf numFmtId="0" fontId="34" fillId="8" borderId="7" xfId="0" applyFont="1" applyFill="1" applyBorder="1" applyAlignment="1" applyProtection="1">
      <alignment horizontal="center" vertical="center"/>
      <protection locked="0"/>
    </xf>
    <xf numFmtId="0" fontId="44" fillId="8" borderId="7" xfId="0" applyFont="1" applyFill="1" applyBorder="1" applyAlignment="1" applyProtection="1">
      <alignment horizontal="center" vertical="center"/>
      <protection locked="0"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21" fillId="11" borderId="68" xfId="0" applyFont="1" applyFill="1" applyBorder="1"/>
    <xf numFmtId="0" fontId="20" fillId="11" borderId="48" xfId="0" applyFont="1" applyFill="1" applyBorder="1" applyAlignment="1">
      <alignment horizontal="center"/>
    </xf>
    <xf numFmtId="0" fontId="23" fillId="11" borderId="48" xfId="0" applyFont="1" applyFill="1" applyBorder="1" applyAlignment="1">
      <alignment horizontal="right"/>
    </xf>
    <xf numFmtId="0" fontId="47" fillId="11" borderId="48" xfId="0" applyFont="1" applyFill="1" applyBorder="1" applyAlignment="1">
      <alignment horizontal="center" wrapText="1"/>
    </xf>
    <xf numFmtId="0" fontId="20" fillId="11" borderId="24" xfId="0" applyFont="1" applyFill="1" applyBorder="1" applyAlignment="1">
      <alignment horizontal="center"/>
    </xf>
    <xf numFmtId="0" fontId="20" fillId="11" borderId="52" xfId="0" applyFont="1" applyFill="1" applyBorder="1" applyAlignment="1">
      <alignment horizontal="center"/>
    </xf>
    <xf numFmtId="0" fontId="23" fillId="11" borderId="13" xfId="0" applyFont="1" applyFill="1" applyBorder="1" applyAlignment="1">
      <alignment horizontal="center" wrapText="1"/>
    </xf>
    <xf numFmtId="3" fontId="23" fillId="11" borderId="14" xfId="0" applyNumberFormat="1" applyFont="1" applyFill="1" applyBorder="1" applyAlignment="1">
      <alignment horizontal="center"/>
    </xf>
    <xf numFmtId="3" fontId="23" fillId="11" borderId="45" xfId="0" applyNumberFormat="1" applyFont="1" applyFill="1" applyBorder="1" applyAlignment="1">
      <alignment horizontal="center"/>
    </xf>
    <xf numFmtId="0" fontId="20" fillId="11" borderId="14" xfId="0" applyFont="1" applyFill="1" applyBorder="1" applyAlignment="1">
      <alignment horizontal="center"/>
    </xf>
    <xf numFmtId="167" fontId="44" fillId="11" borderId="0" xfId="0" applyNumberFormat="1" applyFont="1" applyFill="1" applyAlignment="1">
      <alignment horizontal="center"/>
    </xf>
    <xf numFmtId="167" fontId="47" fillId="11" borderId="31" xfId="0" applyNumberFormat="1" applyFont="1" applyFill="1" applyBorder="1" applyAlignment="1">
      <alignment horizontal="center"/>
    </xf>
    <xf numFmtId="0" fontId="38" fillId="3" borderId="3" xfId="0" applyFont="1" applyFill="1" applyBorder="1" applyAlignment="1">
      <alignment horizontal="center" wrapText="1"/>
    </xf>
    <xf numFmtId="0" fontId="25" fillId="3" borderId="15" xfId="0" applyFont="1" applyFill="1" applyBorder="1" applyAlignment="1">
      <alignment horizontal="center" wrapText="1"/>
    </xf>
    <xf numFmtId="0" fontId="25" fillId="3" borderId="30" xfId="0" applyFont="1" applyFill="1" applyBorder="1" applyAlignment="1">
      <alignment horizontal="center" wrapText="1"/>
    </xf>
    <xf numFmtId="0" fontId="41" fillId="3" borderId="38" xfId="0" applyFont="1" applyFill="1" applyBorder="1" applyAlignment="1">
      <alignment horizontal="center" wrapText="1"/>
    </xf>
    <xf numFmtId="0" fontId="41" fillId="3" borderId="15" xfId="0" applyFont="1" applyFill="1" applyBorder="1" applyAlignment="1">
      <alignment horizontal="center" wrapText="1"/>
    </xf>
    <xf numFmtId="0" fontId="41" fillId="3" borderId="17" xfId="0" applyFont="1" applyFill="1" applyBorder="1" applyAlignment="1">
      <alignment horizontal="center" wrapText="1"/>
    </xf>
    <xf numFmtId="165" fontId="52" fillId="3" borderId="16" xfId="0" applyNumberFormat="1" applyFont="1" applyFill="1" applyBorder="1" applyAlignment="1">
      <alignment horizontal="center"/>
    </xf>
    <xf numFmtId="165" fontId="21" fillId="3" borderId="58" xfId="0" applyNumberFormat="1" applyFont="1" applyFill="1" applyBorder="1" applyAlignment="1">
      <alignment horizontal="center"/>
    </xf>
    <xf numFmtId="165" fontId="21" fillId="3" borderId="61" xfId="0" applyNumberFormat="1" applyFont="1" applyFill="1" applyBorder="1" applyAlignment="1">
      <alignment horizontal="center"/>
    </xf>
    <xf numFmtId="165" fontId="52" fillId="3" borderId="44" xfId="0" applyNumberFormat="1" applyFont="1" applyFill="1" applyBorder="1" applyAlignment="1">
      <alignment horizontal="center"/>
    </xf>
    <xf numFmtId="165" fontId="52" fillId="3" borderId="1" xfId="0" applyNumberFormat="1" applyFont="1" applyFill="1" applyBorder="1" applyAlignment="1">
      <alignment horizontal="center"/>
    </xf>
    <xf numFmtId="165" fontId="21" fillId="3" borderId="25" xfId="0" applyNumberFormat="1" applyFont="1" applyFill="1" applyBorder="1" applyAlignment="1">
      <alignment horizontal="center"/>
    </xf>
    <xf numFmtId="165" fontId="52" fillId="3" borderId="40" xfId="0" applyNumberFormat="1" applyFont="1" applyFill="1" applyBorder="1" applyAlignment="1">
      <alignment horizontal="center"/>
    </xf>
    <xf numFmtId="165" fontId="52" fillId="3" borderId="25" xfId="0" applyNumberFormat="1" applyFont="1" applyFill="1" applyBorder="1" applyAlignment="1">
      <alignment horizontal="center"/>
    </xf>
    <xf numFmtId="165" fontId="52" fillId="3" borderId="28" xfId="0" applyNumberFormat="1" applyFont="1" applyFill="1" applyBorder="1" applyAlignment="1">
      <alignment horizontal="center"/>
    </xf>
    <xf numFmtId="165" fontId="52" fillId="3" borderId="69" xfId="0" applyNumberFormat="1" applyFont="1" applyFill="1" applyBorder="1" applyAlignment="1">
      <alignment horizontal="center"/>
    </xf>
    <xf numFmtId="165" fontId="21" fillId="3" borderId="26" xfId="0" applyNumberFormat="1" applyFont="1" applyFill="1" applyBorder="1" applyAlignment="1">
      <alignment horizontal="center"/>
    </xf>
    <xf numFmtId="165" fontId="21" fillId="3" borderId="23" xfId="0" applyNumberFormat="1" applyFont="1" applyFill="1" applyBorder="1" applyAlignment="1">
      <alignment horizontal="center"/>
    </xf>
    <xf numFmtId="165" fontId="52" fillId="3" borderId="41" xfId="0" applyNumberFormat="1" applyFont="1" applyFill="1" applyBorder="1" applyAlignment="1">
      <alignment horizontal="center"/>
    </xf>
    <xf numFmtId="165" fontId="52" fillId="3" borderId="26" xfId="0" applyNumberFormat="1" applyFont="1" applyFill="1" applyBorder="1" applyAlignment="1">
      <alignment horizontal="center"/>
    </xf>
    <xf numFmtId="165" fontId="52" fillId="3" borderId="35" xfId="0" applyNumberFormat="1" applyFont="1" applyFill="1" applyBorder="1" applyAlignment="1">
      <alignment horizontal="center"/>
    </xf>
    <xf numFmtId="165" fontId="21" fillId="3" borderId="50" xfId="0" applyNumberFormat="1" applyFont="1" applyFill="1" applyBorder="1" applyAlignment="1">
      <alignment horizontal="center"/>
    </xf>
    <xf numFmtId="165" fontId="21" fillId="3" borderId="51" xfId="0" applyNumberFormat="1" applyFont="1" applyFill="1" applyBorder="1" applyAlignment="1">
      <alignment horizontal="center"/>
    </xf>
    <xf numFmtId="165" fontId="21" fillId="3" borderId="33" xfId="0" applyNumberFormat="1" applyFont="1" applyFill="1" applyBorder="1" applyAlignment="1">
      <alignment horizontal="center"/>
    </xf>
    <xf numFmtId="0" fontId="21" fillId="13" borderId="69" xfId="0" applyFont="1" applyFill="1" applyBorder="1" applyAlignment="1">
      <alignment horizontal="center" wrapText="1"/>
    </xf>
    <xf numFmtId="49" fontId="20" fillId="13" borderId="62" xfId="0" applyNumberFormat="1" applyFont="1" applyFill="1" applyBorder="1" applyAlignment="1">
      <alignment horizontal="left"/>
    </xf>
    <xf numFmtId="49" fontId="20" fillId="13" borderId="62" xfId="0" applyNumberFormat="1" applyFont="1" applyFill="1" applyBorder="1" applyAlignment="1">
      <alignment horizontal="center"/>
    </xf>
    <xf numFmtId="2" fontId="17" fillId="3" borderId="41" xfId="0" applyNumberFormat="1" applyFont="1" applyFill="1" applyBorder="1" applyAlignment="1">
      <alignment horizontal="center"/>
    </xf>
    <xf numFmtId="2" fontId="17" fillId="3" borderId="23" xfId="0" applyNumberFormat="1" applyFont="1" applyFill="1" applyBorder="1" applyAlignment="1">
      <alignment horizontal="center"/>
    </xf>
    <xf numFmtId="3" fontId="17" fillId="6" borderId="11" xfId="0" applyNumberFormat="1" applyFont="1" applyFill="1" applyBorder="1" applyAlignment="1">
      <alignment horizontal="center"/>
    </xf>
    <xf numFmtId="165" fontId="21" fillId="3" borderId="41" xfId="0" applyNumberFormat="1" applyFont="1" applyFill="1" applyBorder="1" applyAlignment="1">
      <alignment horizontal="center"/>
    </xf>
    <xf numFmtId="165" fontId="21" fillId="3" borderId="11" xfId="0" applyNumberFormat="1" applyFont="1" applyFill="1" applyBorder="1" applyAlignment="1">
      <alignment horizontal="center"/>
    </xf>
    <xf numFmtId="0" fontId="17" fillId="3" borderId="39" xfId="0" applyFont="1" applyFill="1" applyBorder="1" applyAlignment="1">
      <alignment horizontal="left"/>
    </xf>
    <xf numFmtId="3" fontId="44" fillId="10" borderId="55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 horizontal="left" wrapText="1"/>
    </xf>
    <xf numFmtId="0" fontId="53" fillId="0" borderId="0" xfId="0" applyFont="1"/>
    <xf numFmtId="0" fontId="0" fillId="0" borderId="0" xfId="0" applyAlignment="1">
      <alignment horizontal="left" wrapText="1"/>
    </xf>
    <xf numFmtId="167" fontId="36" fillId="6" borderId="67" xfId="0" applyNumberFormat="1" applyFont="1" applyFill="1" applyBorder="1" applyAlignment="1">
      <alignment horizontal="center"/>
    </xf>
    <xf numFmtId="11" fontId="28" fillId="7" borderId="71" xfId="0" applyNumberFormat="1" applyFont="1" applyFill="1" applyBorder="1" applyAlignment="1">
      <alignment horizontal="center" wrapText="1"/>
    </xf>
    <xf numFmtId="164" fontId="25" fillId="6" borderId="47" xfId="0" applyNumberFormat="1" applyFont="1" applyFill="1" applyBorder="1" applyAlignment="1">
      <alignment horizontal="center"/>
    </xf>
    <xf numFmtId="165" fontId="21" fillId="6" borderId="17" xfId="0" applyNumberFormat="1" applyFont="1" applyFill="1" applyBorder="1" applyAlignment="1">
      <alignment horizontal="center"/>
    </xf>
    <xf numFmtId="1" fontId="28" fillId="13" borderId="54" xfId="0" applyNumberFormat="1" applyFont="1" applyFill="1" applyBorder="1" applyAlignment="1">
      <alignment horizontal="center"/>
    </xf>
    <xf numFmtId="165" fontId="17" fillId="6" borderId="50" xfId="0" applyNumberFormat="1" applyFont="1" applyFill="1" applyBorder="1" applyAlignment="1">
      <alignment horizontal="center"/>
    </xf>
    <xf numFmtId="165" fontId="17" fillId="6" borderId="40" xfId="0" applyNumberFormat="1" applyFont="1" applyFill="1" applyBorder="1" applyAlignment="1">
      <alignment horizontal="center"/>
    </xf>
    <xf numFmtId="165" fontId="17" fillId="6" borderId="38" xfId="0" applyNumberFormat="1" applyFont="1" applyFill="1" applyBorder="1" applyAlignment="1">
      <alignment horizontal="center"/>
    </xf>
    <xf numFmtId="167" fontId="36" fillId="6" borderId="53" xfId="0" applyNumberFormat="1" applyFont="1" applyFill="1" applyBorder="1" applyAlignment="1">
      <alignment horizontal="center"/>
    </xf>
    <xf numFmtId="2" fontId="17" fillId="3" borderId="50" xfId="0" applyNumberFormat="1" applyFont="1" applyFill="1" applyBorder="1" applyAlignment="1">
      <alignment horizontal="center"/>
    </xf>
    <xf numFmtId="167" fontId="36" fillId="6" borderId="72" xfId="0" applyNumberFormat="1" applyFont="1" applyFill="1" applyBorder="1" applyAlignment="1">
      <alignment horizontal="center"/>
    </xf>
    <xf numFmtId="2" fontId="17" fillId="3" borderId="61" xfId="0" applyNumberFormat="1" applyFont="1" applyFill="1" applyBorder="1" applyAlignment="1">
      <alignment horizontal="center"/>
    </xf>
    <xf numFmtId="165" fontId="21" fillId="6" borderId="28" xfId="0" applyNumberFormat="1" applyFont="1" applyFill="1" applyBorder="1" applyAlignment="1">
      <alignment horizontal="center"/>
    </xf>
    <xf numFmtId="2" fontId="17" fillId="6" borderId="40" xfId="0" applyNumberFormat="1" applyFont="1" applyFill="1" applyBorder="1" applyAlignment="1">
      <alignment horizontal="center"/>
    </xf>
    <xf numFmtId="0" fontId="25" fillId="6" borderId="73" xfId="0" applyFont="1" applyFill="1" applyBorder="1" applyAlignment="1">
      <alignment horizontal="center" wrapText="1"/>
    </xf>
    <xf numFmtId="1" fontId="28" fillId="7" borderId="53" xfId="0" applyNumberFormat="1" applyFont="1" applyFill="1" applyBorder="1" applyAlignment="1">
      <alignment horizontal="center"/>
    </xf>
    <xf numFmtId="2" fontId="17" fillId="6" borderId="38" xfId="0" applyNumberFormat="1" applyFont="1" applyFill="1" applyBorder="1" applyAlignment="1">
      <alignment horizontal="center"/>
    </xf>
    <xf numFmtId="166" fontId="17" fillId="6" borderId="15" xfId="0" applyNumberFormat="1" applyFont="1" applyFill="1" applyBorder="1" applyAlignment="1">
      <alignment horizontal="center"/>
    </xf>
    <xf numFmtId="11" fontId="38" fillId="7" borderId="34" xfId="0" applyNumberFormat="1" applyFont="1" applyFill="1" applyBorder="1" applyAlignment="1">
      <alignment horizontal="center" wrapText="1"/>
    </xf>
    <xf numFmtId="2" fontId="17" fillId="6" borderId="50" xfId="0" applyNumberFormat="1" applyFont="1" applyFill="1" applyBorder="1" applyAlignment="1">
      <alignment horizontal="center"/>
    </xf>
    <xf numFmtId="9" fontId="28" fillId="7" borderId="72" xfId="0" applyNumberFormat="1" applyFont="1" applyFill="1" applyBorder="1" applyAlignment="1">
      <alignment horizontal="center"/>
    </xf>
    <xf numFmtId="11" fontId="28" fillId="0" borderId="0" xfId="0" applyNumberFormat="1" applyFont="1" applyAlignment="1">
      <alignment horizontal="center" wrapText="1"/>
    </xf>
    <xf numFmtId="164" fontId="25" fillId="0" borderId="0" xfId="0" applyNumberFormat="1" applyFont="1" applyAlignment="1">
      <alignment horizontal="center"/>
    </xf>
    <xf numFmtId="9" fontId="28" fillId="7" borderId="52" xfId="0" applyNumberFormat="1" applyFont="1" applyFill="1" applyBorder="1" applyAlignment="1">
      <alignment horizontal="center"/>
    </xf>
    <xf numFmtId="166" fontId="17" fillId="6" borderId="58" xfId="0" applyNumberFormat="1" applyFont="1" applyFill="1" applyBorder="1" applyAlignment="1">
      <alignment horizontal="center"/>
    </xf>
    <xf numFmtId="166" fontId="17" fillId="6" borderId="25" xfId="0" applyNumberFormat="1" applyFont="1" applyFill="1" applyBorder="1" applyAlignment="1">
      <alignment horizontal="center"/>
    </xf>
    <xf numFmtId="165" fontId="21" fillId="6" borderId="59" xfId="0" applyNumberFormat="1" applyFont="1" applyFill="1" applyBorder="1" applyAlignment="1">
      <alignment horizontal="center"/>
    </xf>
    <xf numFmtId="2" fontId="17" fillId="3" borderId="21" xfId="0" applyNumberFormat="1" applyFont="1" applyFill="1" applyBorder="1" applyAlignment="1">
      <alignment horizontal="center"/>
    </xf>
    <xf numFmtId="1" fontId="28" fillId="7" borderId="67" xfId="0" applyNumberFormat="1" applyFont="1" applyFill="1" applyBorder="1" applyAlignment="1">
      <alignment horizontal="center"/>
    </xf>
    <xf numFmtId="9" fontId="28" fillId="7" borderId="74" xfId="0" applyNumberFormat="1" applyFont="1" applyFill="1" applyBorder="1" applyAlignment="1">
      <alignment horizontal="center"/>
    </xf>
    <xf numFmtId="2" fontId="17" fillId="3" borderId="40" xfId="0" applyNumberFormat="1" applyFont="1" applyFill="1" applyBorder="1" applyAlignment="1">
      <alignment horizontal="center"/>
    </xf>
    <xf numFmtId="0" fontId="25" fillId="6" borderId="2" xfId="0" applyFont="1" applyFill="1" applyBorder="1" applyAlignment="1">
      <alignment horizontal="right"/>
    </xf>
    <xf numFmtId="0" fontId="25" fillId="6" borderId="4" xfId="0" applyFont="1" applyFill="1" applyBorder="1" applyAlignment="1">
      <alignment horizontal="right"/>
    </xf>
    <xf numFmtId="11" fontId="29" fillId="6" borderId="5" xfId="0" applyNumberFormat="1" applyFont="1" applyFill="1" applyBorder="1" applyAlignment="1">
      <alignment horizontal="right"/>
    </xf>
    <xf numFmtId="11" fontId="29" fillId="6" borderId="0" xfId="0" applyNumberFormat="1" applyFont="1" applyFill="1" applyAlignment="1">
      <alignment horizontal="right"/>
    </xf>
    <xf numFmtId="11" fontId="36" fillId="6" borderId="0" xfId="0" applyNumberFormat="1" applyFont="1" applyFill="1" applyAlignment="1">
      <alignment horizontal="right"/>
    </xf>
    <xf numFmtId="11" fontId="36" fillId="6" borderId="7" xfId="0" applyNumberFormat="1" applyFont="1" applyFill="1" applyBorder="1" applyAlignment="1">
      <alignment horizontal="right"/>
    </xf>
    <xf numFmtId="3" fontId="25" fillId="6" borderId="75" xfId="0" applyNumberFormat="1" applyFont="1" applyFill="1" applyBorder="1" applyAlignment="1">
      <alignment horizontal="center"/>
    </xf>
    <xf numFmtId="1" fontId="36" fillId="6" borderId="76" xfId="0" applyNumberFormat="1" applyFont="1" applyFill="1" applyBorder="1" applyAlignment="1">
      <alignment horizontal="center"/>
    </xf>
    <xf numFmtId="2" fontId="36" fillId="6" borderId="76" xfId="0" applyNumberFormat="1" applyFont="1" applyFill="1" applyBorder="1" applyAlignment="1">
      <alignment horizontal="center"/>
    </xf>
    <xf numFmtId="0" fontId="25" fillId="6" borderId="77" xfId="0" applyFont="1" applyFill="1" applyBorder="1" applyAlignment="1">
      <alignment horizontal="center" wrapText="1"/>
    </xf>
    <xf numFmtId="166" fontId="17" fillId="6" borderId="60" xfId="0" applyNumberFormat="1" applyFont="1" applyFill="1" applyBorder="1" applyAlignment="1">
      <alignment horizontal="center"/>
    </xf>
    <xf numFmtId="166" fontId="17" fillId="6" borderId="36" xfId="0" applyNumberFormat="1" applyFont="1" applyFill="1" applyBorder="1" applyAlignment="1">
      <alignment horizontal="center"/>
    </xf>
    <xf numFmtId="166" fontId="17" fillId="6" borderId="78" xfId="0" applyNumberFormat="1" applyFont="1" applyFill="1" applyBorder="1" applyAlignment="1">
      <alignment horizontal="center"/>
    </xf>
    <xf numFmtId="0" fontId="25" fillId="6" borderId="66" xfId="0" applyFont="1" applyFill="1" applyBorder="1" applyAlignment="1">
      <alignment horizontal="center" wrapText="1"/>
    </xf>
    <xf numFmtId="2" fontId="17" fillId="6" borderId="51" xfId="0" applyNumberFormat="1" applyFont="1" applyFill="1" applyBorder="1" applyAlignment="1">
      <alignment horizontal="center"/>
    </xf>
    <xf numFmtId="2" fontId="17" fillId="6" borderId="10" xfId="0" applyNumberFormat="1" applyFont="1" applyFill="1" applyBorder="1" applyAlignment="1">
      <alignment horizontal="center"/>
    </xf>
    <xf numFmtId="2" fontId="17" fillId="6" borderId="79" xfId="0" applyNumberFormat="1" applyFont="1" applyFill="1" applyBorder="1" applyAlignment="1">
      <alignment horizontal="center"/>
    </xf>
    <xf numFmtId="1" fontId="28" fillId="7" borderId="80" xfId="0" applyNumberFormat="1" applyFont="1" applyFill="1" applyBorder="1" applyAlignment="1">
      <alignment horizontal="center"/>
    </xf>
    <xf numFmtId="9" fontId="28" fillId="7" borderId="81" xfId="0" applyNumberFormat="1" applyFont="1" applyFill="1" applyBorder="1" applyAlignment="1">
      <alignment horizontal="center"/>
    </xf>
    <xf numFmtId="164" fontId="21" fillId="6" borderId="51" xfId="0" applyNumberFormat="1" applyFont="1" applyFill="1" applyBorder="1" applyAlignment="1">
      <alignment horizontal="center"/>
    </xf>
    <xf numFmtId="164" fontId="21" fillId="6" borderId="10" xfId="0" applyNumberFormat="1" applyFont="1" applyFill="1" applyBorder="1" applyAlignment="1">
      <alignment horizontal="center"/>
    </xf>
    <xf numFmtId="164" fontId="21" fillId="6" borderId="79" xfId="0" applyNumberFormat="1" applyFont="1" applyFill="1" applyBorder="1" applyAlignment="1">
      <alignment horizontal="center"/>
    </xf>
    <xf numFmtId="3" fontId="44" fillId="4" borderId="82" xfId="0" applyNumberFormat="1" applyFont="1" applyFill="1" applyBorder="1" applyAlignment="1" applyProtection="1">
      <alignment horizontal="center"/>
      <protection locked="0"/>
    </xf>
    <xf numFmtId="4" fontId="44" fillId="4" borderId="39" xfId="0" applyNumberFormat="1" applyFont="1" applyFill="1" applyBorder="1" applyAlignment="1" applyProtection="1">
      <alignment horizontal="center"/>
      <protection locked="0"/>
    </xf>
    <xf numFmtId="11" fontId="29" fillId="6" borderId="46" xfId="0" applyNumberFormat="1" applyFont="1" applyFill="1" applyBorder="1" applyAlignment="1">
      <alignment horizontal="right"/>
    </xf>
    <xf numFmtId="11" fontId="29" fillId="6" borderId="31" xfId="0" applyNumberFormat="1" applyFont="1" applyFill="1" applyBorder="1" applyAlignment="1">
      <alignment horizontal="right"/>
    </xf>
    <xf numFmtId="0" fontId="29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7" fillId="0" borderId="0" xfId="0" applyFont="1" applyAlignment="1">
      <alignment wrapText="1"/>
    </xf>
    <xf numFmtId="165" fontId="17" fillId="3" borderId="51" xfId="0" applyNumberFormat="1" applyFont="1" applyFill="1" applyBorder="1" applyAlignment="1">
      <alignment horizontal="center"/>
    </xf>
    <xf numFmtId="165" fontId="17" fillId="3" borderId="33" xfId="0" applyNumberFormat="1" applyFont="1" applyFill="1" applyBorder="1" applyAlignment="1">
      <alignment horizontal="center"/>
    </xf>
    <xf numFmtId="165" fontId="17" fillId="3" borderId="84" xfId="0" applyNumberFormat="1" applyFont="1" applyFill="1" applyBorder="1" applyAlignment="1">
      <alignment horizontal="center"/>
    </xf>
    <xf numFmtId="165" fontId="17" fillId="3" borderId="79" xfId="0" applyNumberFormat="1" applyFont="1" applyFill="1" applyBorder="1" applyAlignment="1">
      <alignment horizontal="center"/>
    </xf>
    <xf numFmtId="1" fontId="28" fillId="13" borderId="85" xfId="0" applyNumberFormat="1" applyFont="1" applyFill="1" applyBorder="1" applyAlignment="1">
      <alignment horizontal="right"/>
    </xf>
    <xf numFmtId="11" fontId="36" fillId="0" borderId="0" xfId="0" applyNumberFormat="1" applyFont="1" applyAlignment="1">
      <alignment horizontal="right"/>
    </xf>
    <xf numFmtId="0" fontId="41" fillId="13" borderId="57" xfId="0" applyFont="1" applyFill="1" applyBorder="1" applyAlignment="1">
      <alignment horizontal="center" wrapText="1"/>
    </xf>
    <xf numFmtId="1" fontId="14" fillId="3" borderId="61" xfId="0" applyNumberFormat="1" applyFont="1" applyFill="1" applyBorder="1" applyAlignment="1">
      <alignment horizontal="center"/>
    </xf>
    <xf numFmtId="1" fontId="14" fillId="3" borderId="21" xfId="0" applyNumberFormat="1" applyFont="1" applyFill="1" applyBorder="1" applyAlignment="1">
      <alignment horizontal="center"/>
    </xf>
    <xf numFmtId="1" fontId="14" fillId="3" borderId="30" xfId="0" applyNumberFormat="1" applyFont="1" applyFill="1" applyBorder="1" applyAlignment="1">
      <alignment horizontal="center"/>
    </xf>
    <xf numFmtId="0" fontId="45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62" fillId="0" borderId="0" xfId="0" applyFont="1" applyAlignment="1">
      <alignment horizontal="left"/>
    </xf>
    <xf numFmtId="49" fontId="20" fillId="13" borderId="39" xfId="0" applyNumberFormat="1" applyFont="1" applyFill="1" applyBorder="1" applyAlignment="1">
      <alignment horizontal="left"/>
    </xf>
    <xf numFmtId="167" fontId="17" fillId="4" borderId="50" xfId="0" applyNumberFormat="1" applyFont="1" applyFill="1" applyBorder="1" applyAlignment="1" applyProtection="1">
      <alignment horizontal="center"/>
      <protection locked="0"/>
    </xf>
    <xf numFmtId="167" fontId="17" fillId="4" borderId="59" xfId="0" applyNumberFormat="1" applyFont="1" applyFill="1" applyBorder="1" applyAlignment="1" applyProtection="1">
      <alignment horizontal="center"/>
      <protection locked="0"/>
    </xf>
    <xf numFmtId="167" fontId="17" fillId="4" borderId="42" xfId="0" applyNumberFormat="1" applyFont="1" applyFill="1" applyBorder="1" applyAlignment="1" applyProtection="1">
      <alignment horizontal="center"/>
      <protection locked="0"/>
    </xf>
    <xf numFmtId="167" fontId="17" fillId="4" borderId="44" xfId="0" applyNumberFormat="1" applyFont="1" applyFill="1" applyBorder="1" applyAlignment="1" applyProtection="1">
      <alignment horizontal="center"/>
      <protection locked="0"/>
    </xf>
    <xf numFmtId="167" fontId="17" fillId="4" borderId="40" xfId="0" applyNumberFormat="1" applyFont="1" applyFill="1" applyBorder="1" applyAlignment="1" applyProtection="1">
      <alignment horizontal="center"/>
      <protection locked="0"/>
    </xf>
    <xf numFmtId="167" fontId="16" fillId="4" borderId="28" xfId="0" applyNumberFormat="1" applyFont="1" applyFill="1" applyBorder="1" applyAlignment="1" applyProtection="1">
      <alignment horizontal="center"/>
      <protection locked="0"/>
    </xf>
    <xf numFmtId="167" fontId="17" fillId="4" borderId="28" xfId="0" applyNumberFormat="1" applyFont="1" applyFill="1" applyBorder="1" applyAlignment="1" applyProtection="1">
      <alignment horizontal="center"/>
      <protection locked="0"/>
    </xf>
    <xf numFmtId="167" fontId="16" fillId="4" borderId="40" xfId="0" applyNumberFormat="1" applyFont="1" applyFill="1" applyBorder="1" applyAlignment="1" applyProtection="1">
      <alignment horizontal="center"/>
      <protection locked="0"/>
    </xf>
    <xf numFmtId="167" fontId="17" fillId="4" borderId="38" xfId="0" applyNumberFormat="1" applyFont="1" applyFill="1" applyBorder="1" applyAlignment="1" applyProtection="1">
      <alignment horizontal="center"/>
      <protection locked="0"/>
    </xf>
    <xf numFmtId="167" fontId="17" fillId="4" borderId="17" xfId="0" applyNumberFormat="1" applyFont="1" applyFill="1" applyBorder="1" applyAlignment="1" applyProtection="1">
      <alignment horizontal="center"/>
      <protection locked="0"/>
    </xf>
    <xf numFmtId="11" fontId="29" fillId="6" borderId="1" xfId="0" applyNumberFormat="1" applyFont="1" applyFill="1" applyBorder="1" applyAlignment="1">
      <alignment horizontal="right"/>
    </xf>
    <xf numFmtId="11" fontId="29" fillId="6" borderId="86" xfId="0" applyNumberFormat="1" applyFont="1" applyFill="1" applyBorder="1" applyAlignment="1">
      <alignment horizontal="right"/>
    </xf>
    <xf numFmtId="11" fontId="36" fillId="6" borderId="86" xfId="0" applyNumberFormat="1" applyFont="1" applyFill="1" applyBorder="1" applyAlignment="1">
      <alignment horizontal="right"/>
    </xf>
    <xf numFmtId="3" fontId="36" fillId="6" borderId="87" xfId="0" applyNumberFormat="1" applyFont="1" applyFill="1" applyBorder="1" applyAlignment="1">
      <alignment horizontal="center"/>
    </xf>
    <xf numFmtId="11" fontId="36" fillId="6" borderId="1" xfId="0" applyNumberFormat="1" applyFont="1" applyFill="1" applyBorder="1" applyAlignment="1">
      <alignment horizontal="right"/>
    </xf>
    <xf numFmtId="11" fontId="36" fillId="6" borderId="69" xfId="0" applyNumberFormat="1" applyFont="1" applyFill="1" applyBorder="1" applyAlignment="1">
      <alignment horizontal="right"/>
    </xf>
    <xf numFmtId="11" fontId="36" fillId="6" borderId="88" xfId="0" applyNumberFormat="1" applyFont="1" applyFill="1" applyBorder="1" applyAlignment="1">
      <alignment horizontal="right"/>
    </xf>
    <xf numFmtId="3" fontId="25" fillId="6" borderId="90" xfId="0" applyNumberFormat="1" applyFont="1" applyFill="1" applyBorder="1" applyAlignment="1">
      <alignment horizontal="center"/>
    </xf>
    <xf numFmtId="1" fontId="36" fillId="6" borderId="8" xfId="0" applyNumberFormat="1" applyFont="1" applyFill="1" applyBorder="1" applyAlignment="1">
      <alignment horizontal="center"/>
    </xf>
    <xf numFmtId="2" fontId="36" fillId="6" borderId="32" xfId="0" applyNumberFormat="1" applyFont="1" applyFill="1" applyBorder="1" applyAlignment="1">
      <alignment horizontal="center"/>
    </xf>
    <xf numFmtId="3" fontId="36" fillId="6" borderId="91" xfId="0" applyNumberFormat="1" applyFont="1" applyFill="1" applyBorder="1" applyAlignment="1">
      <alignment horizontal="center"/>
    </xf>
    <xf numFmtId="0" fontId="25" fillId="6" borderId="92" xfId="0" applyFont="1" applyFill="1" applyBorder="1" applyAlignment="1">
      <alignment horizontal="right"/>
    </xf>
    <xf numFmtId="11" fontId="36" fillId="6" borderId="93" xfId="0" applyNumberFormat="1" applyFont="1" applyFill="1" applyBorder="1" applyAlignment="1">
      <alignment horizontal="right"/>
    </xf>
    <xf numFmtId="11" fontId="36" fillId="6" borderId="94" xfId="0" applyNumberFormat="1" applyFont="1" applyFill="1" applyBorder="1" applyAlignment="1">
      <alignment horizontal="right"/>
    </xf>
    <xf numFmtId="11" fontId="36" fillId="6" borderId="95" xfId="0" applyNumberFormat="1" applyFont="1" applyFill="1" applyBorder="1" applyAlignment="1">
      <alignment horizontal="right"/>
    </xf>
    <xf numFmtId="11" fontId="36" fillId="6" borderId="96" xfId="0" applyNumberFormat="1" applyFont="1" applyFill="1" applyBorder="1" applyAlignment="1">
      <alignment horizontal="right"/>
    </xf>
    <xf numFmtId="164" fontId="36" fillId="6" borderId="89" xfId="0" applyNumberFormat="1" applyFont="1" applyFill="1" applyBorder="1" applyAlignment="1">
      <alignment horizontal="center"/>
    </xf>
    <xf numFmtId="11" fontId="36" fillId="6" borderId="6" xfId="0" applyNumberFormat="1" applyFont="1" applyFill="1" applyBorder="1" applyAlignment="1">
      <alignment horizontal="right"/>
    </xf>
    <xf numFmtId="164" fontId="36" fillId="6" borderId="39" xfId="0" applyNumberFormat="1" applyFont="1" applyFill="1" applyBorder="1" applyAlignment="1">
      <alignment horizontal="center"/>
    </xf>
    <xf numFmtId="164" fontId="36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52" fillId="3" borderId="50" xfId="0" applyNumberFormat="1" applyFont="1" applyFill="1" applyBorder="1" applyAlignment="1">
      <alignment horizontal="center"/>
    </xf>
    <xf numFmtId="165" fontId="52" fillId="3" borderId="58" xfId="0" applyNumberFormat="1" applyFont="1" applyFill="1" applyBorder="1" applyAlignment="1">
      <alignment horizontal="center"/>
    </xf>
    <xf numFmtId="165" fontId="29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49" fontId="44" fillId="10" borderId="5" xfId="0" applyNumberFormat="1" applyFont="1" applyFill="1" applyBorder="1" applyAlignment="1" applyProtection="1">
      <alignment horizontal="left" indent="1"/>
      <protection locked="0"/>
    </xf>
    <xf numFmtId="49" fontId="0" fillId="14" borderId="8" xfId="0" applyNumberFormat="1" applyFill="1" applyBorder="1" applyAlignment="1">
      <alignment horizontal="left" indent="1"/>
    </xf>
    <xf numFmtId="0" fontId="4" fillId="0" borderId="0" xfId="0" applyFont="1" applyAlignment="1" applyProtection="1">
      <alignment wrapText="1"/>
      <protection hidden="1"/>
    </xf>
    <xf numFmtId="0" fontId="4" fillId="0" borderId="0" xfId="0" applyFont="1" applyAlignment="1">
      <alignment wrapText="1"/>
    </xf>
    <xf numFmtId="0" fontId="5" fillId="0" borderId="0" xfId="0" applyFont="1" applyAlignment="1" applyProtection="1">
      <alignment horizontal="center" vertical="center" wrapText="1"/>
      <protection hidden="1"/>
    </xf>
    <xf numFmtId="0" fontId="9" fillId="0" borderId="0" xfId="0" applyFont="1" applyAlignment="1">
      <alignment wrapText="1"/>
    </xf>
    <xf numFmtId="0" fontId="8" fillId="0" borderId="0" xfId="0" applyFont="1" applyAlignment="1" applyProtection="1">
      <alignment horizontal="center" vertical="center" wrapText="1"/>
      <protection hidden="1"/>
    </xf>
    <xf numFmtId="0" fontId="1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6" fillId="0" borderId="0" xfId="0" applyFont="1" applyAlignment="1">
      <alignment wrapText="1"/>
    </xf>
    <xf numFmtId="0" fontId="57" fillId="0" borderId="0" xfId="0" applyFont="1" applyAlignment="1">
      <alignment wrapText="1"/>
    </xf>
    <xf numFmtId="0" fontId="18" fillId="0" borderId="0" xfId="0" applyFont="1" applyAlignment="1">
      <alignment horizontal="left" wrapText="1"/>
    </xf>
    <xf numFmtId="49" fontId="44" fillId="10" borderId="5" xfId="0" applyNumberFormat="1" applyFont="1" applyFill="1" applyBorder="1" applyAlignment="1" applyProtection="1">
      <alignment horizontal="left" indent="1"/>
      <protection locked="0"/>
    </xf>
    <xf numFmtId="49" fontId="0" fillId="0" borderId="8" xfId="0" applyNumberFormat="1" applyBorder="1" applyAlignment="1" applyProtection="1">
      <alignment horizontal="left" indent="1"/>
      <protection locked="0"/>
    </xf>
    <xf numFmtId="49" fontId="44" fillId="10" borderId="6" xfId="0" applyNumberFormat="1" applyFont="1" applyFill="1" applyBorder="1" applyAlignment="1" applyProtection="1">
      <alignment horizontal="left" indent="1"/>
      <protection locked="0"/>
    </xf>
    <xf numFmtId="49" fontId="0" fillId="0" borderId="9" xfId="0" applyNumberFormat="1" applyBorder="1" applyAlignment="1" applyProtection="1">
      <alignment horizontal="left" indent="1"/>
      <protection locked="0"/>
    </xf>
    <xf numFmtId="0" fontId="2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3" fontId="49" fillId="8" borderId="5" xfId="0" applyNumberFormat="1" applyFont="1" applyFill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8" xfId="0" applyFont="1" applyBorder="1" applyAlignment="1">
      <alignment horizontal="left"/>
    </xf>
    <xf numFmtId="49" fontId="44" fillId="10" borderId="2" xfId="0" applyNumberFormat="1" applyFont="1" applyFill="1" applyBorder="1" applyAlignment="1" applyProtection="1">
      <alignment horizontal="left" indent="1"/>
      <protection locked="0"/>
    </xf>
    <xf numFmtId="49" fontId="0" fillId="0" borderId="18" xfId="0" applyNumberFormat="1" applyBorder="1" applyAlignment="1" applyProtection="1">
      <alignment horizontal="left" indent="1"/>
      <protection locked="0"/>
    </xf>
    <xf numFmtId="0" fontId="50" fillId="0" borderId="0" xfId="0" applyFont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4" borderId="29" xfId="0" applyFont="1" applyFill="1" applyBorder="1" applyAlignment="1">
      <alignment horizontal="center" wrapText="1"/>
    </xf>
    <xf numFmtId="0" fontId="0" fillId="4" borderId="27" xfId="0" applyFill="1" applyBorder="1" applyAlignment="1">
      <alignment horizontal="center" wrapText="1"/>
    </xf>
    <xf numFmtId="0" fontId="3" fillId="3" borderId="68" xfId="0" applyFont="1" applyFill="1" applyBorder="1" applyAlignment="1">
      <alignment horizontal="right"/>
    </xf>
    <xf numFmtId="0" fontId="3" fillId="3" borderId="70" xfId="0" applyFont="1" applyFill="1" applyBorder="1" applyAlignment="1">
      <alignment horizontal="right"/>
    </xf>
    <xf numFmtId="0" fontId="3" fillId="3" borderId="69" xfId="0" applyFont="1" applyFill="1" applyBorder="1" applyAlignment="1">
      <alignment horizontal="right"/>
    </xf>
    <xf numFmtId="0" fontId="3" fillId="3" borderId="83" xfId="0" applyFont="1" applyFill="1" applyBorder="1" applyAlignment="1">
      <alignment horizontal="right"/>
    </xf>
    <xf numFmtId="0" fontId="38" fillId="3" borderId="12" xfId="0" applyFont="1" applyFill="1" applyBorder="1" applyAlignment="1">
      <alignment horizontal="center" wrapText="1"/>
    </xf>
    <xf numFmtId="0" fontId="17" fillId="3" borderId="13" xfId="0" applyFont="1" applyFill="1" applyBorder="1" applyAlignment="1">
      <alignment horizontal="center" wrapText="1"/>
    </xf>
    <xf numFmtId="0" fontId="17" fillId="3" borderId="37" xfId="0" applyFont="1" applyFill="1" applyBorder="1" applyAlignment="1">
      <alignment horizontal="center" wrapText="1"/>
    </xf>
    <xf numFmtId="0" fontId="38" fillId="3" borderId="68" xfId="0" applyFont="1" applyFill="1" applyBorder="1" applyAlignment="1">
      <alignment horizontal="center" wrapText="1"/>
    </xf>
    <xf numFmtId="0" fontId="0" fillId="3" borderId="48" xfId="0" applyFill="1" applyBorder="1" applyAlignment="1">
      <alignment horizontal="center" wrapText="1"/>
    </xf>
    <xf numFmtId="0" fontId="0" fillId="3" borderId="70" xfId="0" applyFill="1" applyBorder="1" applyAlignment="1">
      <alignment horizontal="center" wrapText="1"/>
    </xf>
    <xf numFmtId="0" fontId="52" fillId="0" borderId="0" xfId="0" applyFont="1" applyAlignment="1">
      <alignment horizontal="left" wrapText="1"/>
    </xf>
    <xf numFmtId="49" fontId="28" fillId="0" borderId="0" xfId="0" applyNumberFormat="1" applyFont="1" applyAlignment="1">
      <alignment horizontal="left" wrapText="1"/>
    </xf>
    <xf numFmtId="0" fontId="3" fillId="6" borderId="29" xfId="0" applyFont="1" applyFill="1" applyBorder="1" applyAlignment="1">
      <alignment horizontal="center" wrapText="1"/>
    </xf>
    <xf numFmtId="0" fontId="0" fillId="0" borderId="27" xfId="0" applyBorder="1" applyAlignment="1">
      <alignment wrapText="1"/>
    </xf>
    <xf numFmtId="0" fontId="4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FFFF"/>
      <color rgb="FFFFFF99"/>
      <color rgb="FFCCFFCC"/>
      <color rgb="FFFFFF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161925</xdr:colOff>
      <xdr:row>1</xdr:row>
      <xdr:rowOff>381000</xdr:rowOff>
    </xdr:from>
    <xdr:to>
      <xdr:col>10</xdr:col>
      <xdr:colOff>866775</xdr:colOff>
      <xdr:row>2</xdr:row>
      <xdr:rowOff>514350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86450" y="457200"/>
          <a:ext cx="7048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812800</xdr:colOff>
      <xdr:row>1</xdr:row>
      <xdr:rowOff>285750</xdr:rowOff>
    </xdr:from>
    <xdr:to>
      <xdr:col>8</xdr:col>
      <xdr:colOff>203200</xdr:colOff>
      <xdr:row>4</xdr:row>
      <xdr:rowOff>209550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1B338DE-803F-495D-9EBF-0F7E5C792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83450" y="450850"/>
          <a:ext cx="704850" cy="692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B1:Q15"/>
  <sheetViews>
    <sheetView showGridLines="0" showRowColHeaders="0" workbookViewId="0">
      <selection activeCell="C3" sqref="C3:K3"/>
    </sheetView>
  </sheetViews>
  <sheetFormatPr defaultColWidth="9.140625" defaultRowHeight="12.75" x14ac:dyDescent="0.2"/>
  <cols>
    <col min="1" max="1" width="2.85546875" style="10" customWidth="1"/>
    <col min="2" max="2" width="2.28515625" style="10" customWidth="1"/>
    <col min="3" max="3" width="10.5703125" style="10" customWidth="1"/>
    <col min="4" max="8" width="9.140625" style="10"/>
    <col min="9" max="9" width="15.28515625" style="10" customWidth="1"/>
    <col min="10" max="10" width="9.140625" style="10"/>
    <col min="11" max="11" width="13.140625" style="10" customWidth="1"/>
    <col min="12" max="16384" width="9.140625" style="10"/>
  </cols>
  <sheetData>
    <row r="1" spans="2:17" ht="6" customHeight="1" x14ac:dyDescent="0.2"/>
    <row r="2" spans="2:17" s="2" customFormat="1" ht="44.25" customHeight="1" x14ac:dyDescent="0.25">
      <c r="C2" s="345" t="s">
        <v>92</v>
      </c>
      <c r="D2" s="346"/>
      <c r="E2" s="346"/>
      <c r="F2" s="346"/>
      <c r="G2" s="346"/>
      <c r="H2" s="346"/>
      <c r="I2" s="346"/>
      <c r="J2" s="346"/>
      <c r="K2" s="346"/>
      <c r="M2" s="11"/>
      <c r="N2" s="12"/>
      <c r="O2" s="13"/>
      <c r="P2" s="13"/>
      <c r="Q2" s="13"/>
    </row>
    <row r="3" spans="2:17" s="2" customFormat="1" ht="41.25" customHeight="1" x14ac:dyDescent="0.25">
      <c r="C3" s="347" t="s">
        <v>177</v>
      </c>
      <c r="D3" s="348"/>
      <c r="E3" s="348"/>
      <c r="F3" s="348"/>
      <c r="G3" s="348"/>
      <c r="H3" s="348"/>
      <c r="I3" s="348"/>
      <c r="J3" s="348"/>
      <c r="K3" s="348"/>
      <c r="M3" s="11"/>
      <c r="N3" s="12"/>
      <c r="O3" s="13"/>
      <c r="P3" s="13"/>
      <c r="Q3" s="13"/>
    </row>
    <row r="4" spans="2:17" ht="6" customHeight="1" x14ac:dyDescent="0.2"/>
    <row r="5" spans="2:17" ht="15.75" x14ac:dyDescent="0.25">
      <c r="C5" s="14" t="s">
        <v>113</v>
      </c>
      <c r="D5" s="15"/>
      <c r="E5" s="15"/>
      <c r="F5" s="15"/>
      <c r="G5" s="15"/>
      <c r="H5" s="15"/>
      <c r="I5" s="15"/>
      <c r="J5" s="15"/>
      <c r="K5" s="15"/>
    </row>
    <row r="6" spans="2:17" ht="5.25" customHeight="1" x14ac:dyDescent="0.2">
      <c r="C6" s="16"/>
    </row>
    <row r="7" spans="2:17" ht="17.100000000000001" customHeight="1" x14ac:dyDescent="0.2">
      <c r="C7" s="350"/>
      <c r="D7" s="349"/>
      <c r="E7" s="349"/>
      <c r="F7" s="349"/>
      <c r="G7" s="349"/>
      <c r="H7" s="349"/>
      <c r="I7" s="349"/>
      <c r="J7" s="349"/>
      <c r="K7" s="349"/>
    </row>
    <row r="8" spans="2:17" ht="18.75" customHeight="1" x14ac:dyDescent="0.25">
      <c r="B8" s="17"/>
      <c r="C8" s="344" t="s">
        <v>173</v>
      </c>
      <c r="D8" s="349"/>
      <c r="E8" s="349"/>
      <c r="F8" s="349"/>
      <c r="G8" s="349"/>
      <c r="H8" s="349"/>
      <c r="I8" s="349"/>
      <c r="J8" s="349"/>
      <c r="K8" s="349"/>
    </row>
    <row r="9" spans="2:17" ht="18.75" customHeight="1" x14ac:dyDescent="0.25">
      <c r="B9" s="17"/>
      <c r="C9" s="386" t="s">
        <v>182</v>
      </c>
      <c r="D9" s="5"/>
      <c r="E9" s="5"/>
      <c r="F9" s="5"/>
      <c r="G9" s="5"/>
      <c r="H9" s="5"/>
      <c r="I9" s="5"/>
      <c r="J9" s="5"/>
      <c r="K9" s="5"/>
    </row>
    <row r="10" spans="2:17" ht="18.75" customHeight="1" x14ac:dyDescent="0.25">
      <c r="B10" s="17"/>
      <c r="C10" s="386"/>
      <c r="D10" s="340"/>
      <c r="E10" s="340"/>
      <c r="F10" s="340"/>
      <c r="G10" s="340"/>
      <c r="H10" s="340"/>
      <c r="I10" s="340"/>
      <c r="J10" s="340"/>
      <c r="K10" s="340"/>
    </row>
    <row r="11" spans="2:17" ht="18" customHeight="1" x14ac:dyDescent="0.25">
      <c r="C11" s="4" t="s">
        <v>3</v>
      </c>
      <c r="D11" s="3"/>
      <c r="E11" s="3"/>
      <c r="F11" s="2"/>
      <c r="G11" s="2"/>
      <c r="H11" s="3"/>
      <c r="I11" s="2"/>
      <c r="J11" s="2"/>
      <c r="K11" s="2"/>
    </row>
    <row r="12" spans="2:17" ht="9.75" customHeight="1" x14ac:dyDescent="0.25">
      <c r="C12" s="9"/>
      <c r="D12" s="8"/>
      <c r="E12" s="8"/>
      <c r="F12" s="8"/>
      <c r="G12" s="8"/>
      <c r="H12" s="8"/>
      <c r="I12" s="8"/>
      <c r="J12" s="8"/>
      <c r="K12" s="8"/>
    </row>
    <row r="13" spans="2:17" ht="47.1" customHeight="1" x14ac:dyDescent="0.25">
      <c r="C13" s="343" t="s">
        <v>174</v>
      </c>
      <c r="D13" s="344"/>
      <c r="E13" s="344"/>
      <c r="F13" s="344"/>
      <c r="G13" s="344"/>
      <c r="H13" s="344"/>
      <c r="I13" s="344"/>
      <c r="J13" s="344"/>
      <c r="K13" s="344"/>
    </row>
    <row r="14" spans="2:17" ht="9.75" customHeight="1" x14ac:dyDescent="0.25">
      <c r="C14" s="9"/>
      <c r="D14" s="8"/>
      <c r="E14" s="8"/>
      <c r="F14" s="8"/>
      <c r="G14" s="8"/>
      <c r="H14" s="8"/>
      <c r="I14" s="8"/>
      <c r="J14" s="8"/>
      <c r="K14" s="8"/>
    </row>
    <row r="15" spans="2:17" ht="47.1" customHeight="1" x14ac:dyDescent="0.25">
      <c r="C15" s="343" t="s">
        <v>39</v>
      </c>
      <c r="D15" s="344"/>
      <c r="E15" s="344"/>
      <c r="F15" s="344"/>
      <c r="G15" s="344"/>
      <c r="H15" s="344"/>
      <c r="I15" s="344"/>
      <c r="J15" s="344"/>
      <c r="K15" s="344"/>
    </row>
  </sheetData>
  <sheetProtection algorithmName="SHA-512" hashValue="g2fPQlim4ChULq/ptYPymOPo2yO7kISE2bBCVZzd2xWTjbD3gnQ1N7v+ASVQCd0XeYkzhtjFg2wrLJDwgbvEwg==" saltValue="/mcXIeEX3dIqsj8xnBHE4A==" spinCount="100000" sheet="1" objects="1" scenarios="1"/>
  <mergeCells count="6">
    <mergeCell ref="C15:K15"/>
    <mergeCell ref="C2:K2"/>
    <mergeCell ref="C3:K3"/>
    <mergeCell ref="C8:K8"/>
    <mergeCell ref="C13:K13"/>
    <mergeCell ref="C7:K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6D94F-0DAE-4694-ACB4-0C66B5B14F8C}">
  <sheetPr>
    <tabColor theme="9" tint="0.79998168889431442"/>
    <pageSetUpPr fitToPage="1"/>
  </sheetPr>
  <dimension ref="B2:O186"/>
  <sheetViews>
    <sheetView showGridLines="0" showRowColHeaders="0" tabSelected="1" workbookViewId="0">
      <selection activeCell="D17" sqref="D17:E17"/>
    </sheetView>
  </sheetViews>
  <sheetFormatPr defaultColWidth="9.28515625" defaultRowHeight="12.75" x14ac:dyDescent="0.2"/>
  <cols>
    <col min="1" max="1" width="9.28515625" style="20"/>
    <col min="2" max="2" width="1.5703125" style="20" customWidth="1"/>
    <col min="3" max="3" width="16.85546875" style="19" customWidth="1"/>
    <col min="4" max="4" width="34.140625" style="19" customWidth="1"/>
    <col min="5" max="5" width="15.28515625" style="19" customWidth="1"/>
    <col min="6" max="6" width="14.5703125" style="53" customWidth="1"/>
    <col min="7" max="7" width="1.5703125" style="19" customWidth="1"/>
    <col min="8" max="8" width="18.85546875" style="19" customWidth="1"/>
    <col min="9" max="9" width="12.7109375" style="19" customWidth="1"/>
    <col min="10" max="10" width="15.7109375" style="49" customWidth="1"/>
    <col min="11" max="11" width="15.85546875" style="22" hidden="1" customWidth="1"/>
    <col min="12" max="12" width="15.7109375" style="22" customWidth="1"/>
    <col min="13" max="14" width="12.7109375" style="22" customWidth="1"/>
    <col min="15" max="15" width="14.7109375" style="22" customWidth="1"/>
    <col min="16" max="16" width="14.7109375" style="20" customWidth="1"/>
    <col min="17" max="16384" width="9.28515625" style="20"/>
  </cols>
  <sheetData>
    <row r="2" spans="2:15" ht="23.25" x14ac:dyDescent="0.35">
      <c r="C2" s="351" t="s">
        <v>150</v>
      </c>
      <c r="D2" s="352"/>
      <c r="E2" s="352"/>
      <c r="F2" s="352"/>
      <c r="G2" s="352"/>
      <c r="H2" s="352"/>
      <c r="I2" s="352"/>
    </row>
    <row r="3" spans="2:15" ht="18.75" x14ac:dyDescent="0.3">
      <c r="C3" s="303" t="s">
        <v>132</v>
      </c>
    </row>
    <row r="4" spans="2:15" ht="18.75" x14ac:dyDescent="0.3">
      <c r="C4" s="303" t="s">
        <v>183</v>
      </c>
      <c r="D4" s="24"/>
      <c r="E4" s="24"/>
      <c r="G4" s="24"/>
      <c r="H4" s="24"/>
      <c r="I4" s="24"/>
      <c r="J4" s="50"/>
    </row>
    <row r="5" spans="2:15" ht="18.75" x14ac:dyDescent="0.3">
      <c r="C5" s="304" t="s">
        <v>168</v>
      </c>
      <c r="D5" s="24"/>
      <c r="E5" s="24"/>
      <c r="G5" s="24"/>
      <c r="H5" s="24"/>
      <c r="I5" s="24"/>
      <c r="J5" s="50"/>
    </row>
    <row r="6" spans="2:15" ht="9.9499999999999993" customHeight="1" x14ac:dyDescent="0.25">
      <c r="C6" s="23"/>
      <c r="D6" s="24"/>
      <c r="E6" s="24"/>
      <c r="G6" s="24"/>
      <c r="H6" s="24"/>
      <c r="I6" s="24"/>
      <c r="J6" s="50"/>
    </row>
    <row r="7" spans="2:15" ht="15.75" x14ac:dyDescent="0.25">
      <c r="C7" s="302" t="s">
        <v>126</v>
      </c>
      <c r="D7" s="24"/>
      <c r="E7" s="24"/>
      <c r="G7" s="24"/>
      <c r="H7" s="24"/>
      <c r="I7" s="24"/>
      <c r="J7" s="50"/>
    </row>
    <row r="8" spans="2:15" ht="17.100000000000001" customHeight="1" x14ac:dyDescent="0.25">
      <c r="C8" s="355" t="s">
        <v>124</v>
      </c>
      <c r="D8" s="349"/>
      <c r="E8" s="349"/>
      <c r="F8" s="349"/>
      <c r="G8" s="349"/>
      <c r="H8" s="349"/>
      <c r="I8" s="349"/>
      <c r="J8" s="50"/>
    </row>
    <row r="9" spans="2:15" ht="33.950000000000003" customHeight="1" x14ac:dyDescent="0.25">
      <c r="C9" s="355" t="s">
        <v>125</v>
      </c>
      <c r="D9" s="349"/>
      <c r="E9" s="349"/>
      <c r="F9" s="349"/>
      <c r="G9" s="349"/>
      <c r="H9" s="349"/>
      <c r="I9" s="349"/>
      <c r="J9" s="50"/>
    </row>
    <row r="10" spans="2:15" ht="17.100000000000001" customHeight="1" x14ac:dyDescent="0.25">
      <c r="C10" s="355" t="s">
        <v>127</v>
      </c>
      <c r="D10" s="349"/>
      <c r="E10" s="349"/>
      <c r="F10" s="349"/>
      <c r="G10" s="349"/>
      <c r="H10" s="349"/>
      <c r="I10" s="349"/>
      <c r="J10" s="50"/>
    </row>
    <row r="11" spans="2:15" ht="33.950000000000003" customHeight="1" x14ac:dyDescent="0.25">
      <c r="C11" s="355" t="s">
        <v>128</v>
      </c>
      <c r="D11" s="349"/>
      <c r="E11" s="349"/>
      <c r="F11" s="349"/>
      <c r="G11" s="349"/>
      <c r="H11" s="349"/>
      <c r="I11" s="349"/>
      <c r="J11" s="50"/>
    </row>
    <row r="12" spans="2:15" ht="51" customHeight="1" x14ac:dyDescent="0.25">
      <c r="C12" s="355" t="s">
        <v>129</v>
      </c>
      <c r="D12" s="349"/>
      <c r="E12" s="349"/>
      <c r="F12" s="349"/>
      <c r="G12" s="349"/>
      <c r="H12" s="349"/>
      <c r="I12" s="349"/>
      <c r="J12" s="26"/>
      <c r="L12" s="20"/>
      <c r="M12" s="20"/>
      <c r="N12" s="20"/>
      <c r="O12" s="20"/>
    </row>
    <row r="13" spans="2:15" ht="33.950000000000003" customHeight="1" x14ac:dyDescent="0.25">
      <c r="C13" s="355" t="s">
        <v>133</v>
      </c>
      <c r="D13" s="349"/>
      <c r="E13" s="349"/>
      <c r="F13" s="349"/>
      <c r="G13" s="349"/>
      <c r="H13" s="349"/>
      <c r="I13" s="349"/>
      <c r="J13" s="26"/>
    </row>
    <row r="14" spans="2:15" ht="15" customHeight="1" thickBot="1" x14ac:dyDescent="0.3">
      <c r="C14" s="26"/>
      <c r="D14" s="27"/>
      <c r="E14" s="27"/>
      <c r="F14" s="27"/>
      <c r="G14" s="27"/>
      <c r="H14" s="27"/>
      <c r="I14" s="27"/>
      <c r="J14" s="27"/>
    </row>
    <row r="15" spans="2:15" ht="5.0999999999999996" customHeight="1" thickTop="1" x14ac:dyDescent="0.25">
      <c r="B15" s="61"/>
      <c r="C15" s="70"/>
      <c r="D15" s="71"/>
      <c r="E15" s="71"/>
      <c r="F15" s="71"/>
      <c r="G15" s="72"/>
      <c r="H15" s="27"/>
      <c r="I15" s="27"/>
      <c r="J15" s="27"/>
    </row>
    <row r="16" spans="2:15" ht="15" customHeight="1" thickBot="1" x14ac:dyDescent="0.3">
      <c r="B16" s="62"/>
      <c r="C16" s="67" t="s">
        <v>68</v>
      </c>
      <c r="D16" s="73"/>
      <c r="E16" s="73"/>
      <c r="F16" s="73"/>
      <c r="G16" s="74"/>
      <c r="H16" s="27"/>
      <c r="I16" s="27"/>
      <c r="J16" s="27"/>
    </row>
    <row r="17" spans="2:11" ht="15" customHeight="1" thickTop="1" x14ac:dyDescent="0.25">
      <c r="B17" s="62"/>
      <c r="C17" s="82" t="s">
        <v>67</v>
      </c>
      <c r="D17" s="365"/>
      <c r="E17" s="366"/>
      <c r="F17" s="73"/>
      <c r="G17" s="74"/>
      <c r="H17" s="27"/>
      <c r="I17" s="27"/>
      <c r="J17" s="27"/>
    </row>
    <row r="18" spans="2:11" ht="15" customHeight="1" x14ac:dyDescent="0.25">
      <c r="B18" s="62"/>
      <c r="C18" s="82" t="s">
        <v>64</v>
      </c>
      <c r="D18" s="356"/>
      <c r="E18" s="357"/>
      <c r="F18" s="73"/>
      <c r="G18" s="74"/>
      <c r="H18" s="27"/>
      <c r="I18" s="27"/>
      <c r="J18" s="27"/>
      <c r="K18" s="20"/>
    </row>
    <row r="19" spans="2:11" ht="15" customHeight="1" x14ac:dyDescent="0.25">
      <c r="B19" s="62"/>
      <c r="C19" s="82" t="s">
        <v>73</v>
      </c>
      <c r="D19" s="341"/>
      <c r="E19" s="342"/>
      <c r="F19" s="73"/>
      <c r="G19" s="74"/>
      <c r="H19" s="27"/>
      <c r="I19" s="27"/>
      <c r="J19" s="27"/>
      <c r="K19" s="28" t="s">
        <v>21</v>
      </c>
    </row>
    <row r="20" spans="2:11" ht="15" customHeight="1" thickBot="1" x14ac:dyDescent="0.3">
      <c r="B20" s="62"/>
      <c r="C20" s="82" t="s">
        <v>123</v>
      </c>
      <c r="D20" s="358"/>
      <c r="E20" s="359"/>
      <c r="F20" s="73"/>
      <c r="G20" s="74"/>
      <c r="H20" s="27"/>
      <c r="I20" s="27"/>
      <c r="J20" s="27"/>
      <c r="K20" s="28" t="s">
        <v>22</v>
      </c>
    </row>
    <row r="21" spans="2:11" ht="5.0999999999999996" customHeight="1" thickTop="1" x14ac:dyDescent="0.25">
      <c r="B21" s="62"/>
      <c r="C21" s="75"/>
      <c r="D21" s="83"/>
      <c r="E21" s="73"/>
      <c r="F21" s="76"/>
      <c r="G21" s="74"/>
      <c r="H21" s="27"/>
      <c r="I21" s="27"/>
      <c r="J21" s="27"/>
    </row>
    <row r="22" spans="2:11" ht="15" customHeight="1" x14ac:dyDescent="0.25">
      <c r="B22" s="62"/>
      <c r="C22" s="77" t="s">
        <v>42</v>
      </c>
      <c r="D22" s="73"/>
      <c r="E22" s="73"/>
      <c r="F22" s="76"/>
      <c r="G22" s="74"/>
      <c r="H22" s="27"/>
      <c r="J22" s="117"/>
      <c r="K22" s="28" t="s">
        <v>38</v>
      </c>
    </row>
    <row r="23" spans="2:11" ht="15" customHeight="1" thickBot="1" x14ac:dyDescent="0.3">
      <c r="B23" s="62"/>
      <c r="C23" s="67" t="s">
        <v>117</v>
      </c>
      <c r="D23" s="73"/>
      <c r="E23" s="73"/>
      <c r="F23" s="76"/>
      <c r="G23" s="74"/>
      <c r="H23" s="27"/>
      <c r="I23" s="27"/>
      <c r="J23" s="117"/>
      <c r="K23" s="28" t="s">
        <v>1</v>
      </c>
    </row>
    <row r="24" spans="2:11" ht="20.100000000000001" customHeight="1" thickTop="1" thickBot="1" x14ac:dyDescent="0.3">
      <c r="B24" s="62"/>
      <c r="C24" s="82" t="s">
        <v>60</v>
      </c>
      <c r="D24" s="227" t="s">
        <v>21</v>
      </c>
      <c r="E24" s="66"/>
      <c r="F24" s="78"/>
      <c r="G24" s="63"/>
      <c r="H24" s="20"/>
      <c r="I24" s="20"/>
      <c r="J24" s="117"/>
      <c r="K24" s="28" t="s">
        <v>2</v>
      </c>
    </row>
    <row r="25" spans="2:11" ht="5.0999999999999996" customHeight="1" thickTop="1" x14ac:dyDescent="0.25">
      <c r="B25" s="62"/>
      <c r="C25" s="69"/>
      <c r="D25" s="79"/>
      <c r="E25" s="79"/>
      <c r="F25" s="80"/>
      <c r="G25" s="63"/>
      <c r="H25" s="20"/>
      <c r="I25" s="20"/>
      <c r="J25" s="51"/>
      <c r="K25" s="153"/>
    </row>
    <row r="26" spans="2:11" ht="15" customHeight="1" thickBot="1" x14ac:dyDescent="0.3">
      <c r="B26" s="62"/>
      <c r="C26" s="67" t="s">
        <v>69</v>
      </c>
      <c r="D26" s="73"/>
      <c r="E26" s="73"/>
      <c r="F26" s="76"/>
      <c r="G26" s="74"/>
      <c r="H26" s="27"/>
      <c r="I26" s="27"/>
      <c r="J26" s="118"/>
      <c r="K26" s="153"/>
    </row>
    <row r="27" spans="2:11" ht="20.100000000000001" customHeight="1" thickTop="1" thickBot="1" x14ac:dyDescent="0.3">
      <c r="B27" s="62"/>
      <c r="C27" s="65" t="s">
        <v>118</v>
      </c>
      <c r="D27" s="227" t="s">
        <v>38</v>
      </c>
      <c r="E27" s="362" t="str">
        <f>IF(D24=K19," Not Applicable -(Solids Only)",IF(OR(D27=K23,D27=K24)," Caution! Land Use Restrictions Might Apply.",""))</f>
        <v xml:space="preserve"> Not Applicable -(Solids Only)</v>
      </c>
      <c r="F27" s="363"/>
      <c r="G27" s="364"/>
      <c r="H27" s="43"/>
      <c r="I27" s="20"/>
      <c r="J27" s="119"/>
      <c r="K27" s="153"/>
    </row>
    <row r="28" spans="2:11" ht="5.0999999999999996" customHeight="1" thickTop="1" x14ac:dyDescent="0.25">
      <c r="B28" s="62"/>
      <c r="C28" s="65"/>
      <c r="D28" s="162"/>
      <c r="E28" s="162"/>
      <c r="F28" s="163"/>
      <c r="G28" s="81"/>
      <c r="H28" s="20"/>
      <c r="I28" s="20"/>
      <c r="J28" s="51"/>
    </row>
    <row r="29" spans="2:11" ht="15" customHeight="1" x14ac:dyDescent="0.25">
      <c r="B29" s="62"/>
      <c r="C29" s="64" t="s">
        <v>105</v>
      </c>
      <c r="D29" s="162"/>
      <c r="E29" s="162"/>
      <c r="F29" s="163"/>
      <c r="G29" s="81"/>
      <c r="H29" s="20"/>
      <c r="I29" s="20"/>
      <c r="J29" s="51"/>
    </row>
    <row r="30" spans="2:11" ht="5.0999999999999996" customHeight="1" thickBot="1" x14ac:dyDescent="0.3">
      <c r="B30" s="68"/>
      <c r="C30" s="176"/>
      <c r="D30" s="177"/>
      <c r="E30" s="177"/>
      <c r="F30" s="178"/>
      <c r="G30" s="134"/>
      <c r="H30" s="20"/>
      <c r="I30" s="20"/>
      <c r="J30" s="51"/>
    </row>
    <row r="31" spans="2:11" ht="15" customHeight="1" thickTop="1" x14ac:dyDescent="0.25">
      <c r="B31" s="165"/>
      <c r="C31" s="42"/>
      <c r="D31" s="43"/>
      <c r="E31" s="43"/>
      <c r="F31" s="54"/>
      <c r="G31" s="20"/>
      <c r="H31" s="165"/>
      <c r="I31" s="20"/>
      <c r="J31" s="51"/>
    </row>
    <row r="32" spans="2:11" ht="15" customHeight="1" thickBot="1" x14ac:dyDescent="0.3">
      <c r="B32" s="58" t="s">
        <v>75</v>
      </c>
      <c r="C32" s="42"/>
      <c r="D32" s="43"/>
      <c r="E32" s="43"/>
      <c r="F32" s="54"/>
      <c r="G32" s="20"/>
      <c r="H32" s="43"/>
      <c r="I32" s="20"/>
      <c r="J32" s="51"/>
      <c r="K32" s="153"/>
    </row>
    <row r="33" spans="2:15" ht="33" customHeight="1" thickTop="1" x14ac:dyDescent="0.25">
      <c r="B33" s="182"/>
      <c r="C33" s="183"/>
      <c r="D33" s="184" t="s">
        <v>110</v>
      </c>
      <c r="E33" s="188" t="str">
        <f>IF(D24=K19,K33,K34)</f>
        <v>Concentration (ng/L)</v>
      </c>
      <c r="F33" s="185" t="s">
        <v>131</v>
      </c>
      <c r="G33" s="186"/>
      <c r="H33" s="51"/>
      <c r="I33" s="51"/>
      <c r="J33" s="51"/>
      <c r="K33" s="153" t="s">
        <v>91</v>
      </c>
    </row>
    <row r="34" spans="2:15" ht="15" customHeight="1" x14ac:dyDescent="0.25">
      <c r="B34" s="84"/>
      <c r="C34" s="121"/>
      <c r="D34" s="141" t="s">
        <v>122</v>
      </c>
      <c r="E34" s="189">
        <f>'2. Sample Data Input'!D27</f>
        <v>0</v>
      </c>
      <c r="F34" s="192">
        <f>IF('1. Total PFAS Calculator'!$D$24='1. Total PFAS Calculator'!$K$19,'5. Liquids Total PFASs Risk'!M25,'4. Solids Total PFASs Risk'!M25)</f>
        <v>0</v>
      </c>
      <c r="G34" s="122"/>
      <c r="H34" s="51"/>
      <c r="I34" s="51"/>
      <c r="J34" s="51"/>
      <c r="K34" s="153" t="s">
        <v>90</v>
      </c>
    </row>
    <row r="35" spans="2:15" ht="15" customHeight="1" x14ac:dyDescent="0.25">
      <c r="B35" s="84"/>
      <c r="C35" s="120"/>
      <c r="D35" s="141" t="s">
        <v>169</v>
      </c>
      <c r="E35" s="189">
        <f>IF('1. Total PFAS Calculator'!$D$24='1. Total PFAS Calculator'!$K$19,'5. Liquids Total PFASs Risk'!I25,'4. Solids Total PFASs Risk'!I25)</f>
        <v>0</v>
      </c>
      <c r="F35" s="192">
        <f>IF('1. Total PFAS Calculator'!$D$24='1. Total PFAS Calculator'!$K$19,'5. Liquids Total PFASs Risk'!N25,'4. Solids Total PFASs Risk'!N25)</f>
        <v>0</v>
      </c>
      <c r="G35" s="85"/>
      <c r="H35" s="51"/>
      <c r="I35" s="51"/>
      <c r="J35" s="51"/>
      <c r="K35" s="164"/>
    </row>
    <row r="36" spans="2:15" ht="15" customHeight="1" x14ac:dyDescent="0.25">
      <c r="B36" s="155"/>
      <c r="C36" s="156"/>
      <c r="D36" s="157" t="s">
        <v>170</v>
      </c>
      <c r="E36" s="190">
        <f>IF('2. Sample Data Input'!D4="",0,IF('1. Total PFAS Calculator'!$D$24='1. Total PFAS Calculator'!$K$19,'5. Liquids Total PFASs Risk'!L29,'4. Solids Total PFASs Risk'!L29))</f>
        <v>0</v>
      </c>
      <c r="F36" s="193">
        <f>IF(OR('2. Sample Data Input'!D4="",'4. Solids Total PFASs Risk'!L27="Error",'5. Liquids Total PFASs Risk'!L27="Error"),0,(E36/(IF(D24=K19,'5. Liquids Total PFASs Risk'!F13,'4. Solids Total PFASs Risk'!F13))))</f>
        <v>0</v>
      </c>
      <c r="G36" s="158"/>
      <c r="H36" s="229"/>
      <c r="I36" s="51"/>
      <c r="J36" s="51"/>
      <c r="K36" s="28"/>
    </row>
    <row r="37" spans="2:15" ht="3" customHeight="1" x14ac:dyDescent="0.25">
      <c r="B37" s="84"/>
      <c r="C37" s="121"/>
      <c r="D37" s="121"/>
      <c r="E37" s="191"/>
      <c r="F37" s="135"/>
      <c r="G37" s="122"/>
      <c r="H37" s="51"/>
      <c r="I37" s="51"/>
      <c r="J37" s="51"/>
    </row>
    <row r="38" spans="2:15" ht="15" customHeight="1" x14ac:dyDescent="0.25">
      <c r="B38" s="84"/>
      <c r="C38" s="121"/>
      <c r="D38" s="154" t="s">
        <v>76</v>
      </c>
      <c r="E38" s="189">
        <f>SUM(E34:E36)</f>
        <v>0</v>
      </c>
      <c r="F38" s="142">
        <f>SUM(F34:F36)</f>
        <v>0</v>
      </c>
      <c r="G38" s="122"/>
      <c r="H38" s="51"/>
      <c r="I38" s="51"/>
      <c r="J38" s="51"/>
      <c r="K38" s="28"/>
    </row>
    <row r="39" spans="2:15" ht="3" customHeight="1" thickBot="1" x14ac:dyDescent="0.3">
      <c r="B39" s="86"/>
      <c r="C39" s="87"/>
      <c r="D39" s="87"/>
      <c r="E39" s="187"/>
      <c r="F39" s="88"/>
      <c r="G39" s="89"/>
      <c r="H39" s="51"/>
      <c r="I39" s="51"/>
      <c r="J39" s="51"/>
    </row>
    <row r="40" spans="2:15" ht="15" customHeight="1" thickTop="1" x14ac:dyDescent="0.25">
      <c r="B40" s="360" t="str">
        <f>IF(E38=0,"",IF('2. Sample Data Input'!D4="","TOF PFASs: Input of sample TOF data required to identify Excess Fluorine!",IF(E36="Error","Error - Input Sample TOF less than TOPs-predicted TOF.","")))</f>
        <v/>
      </c>
      <c r="C40" s="361"/>
      <c r="D40" s="361"/>
      <c r="E40" s="361"/>
      <c r="F40" s="361"/>
      <c r="G40" s="361"/>
      <c r="H40" s="51"/>
      <c r="I40" s="51"/>
      <c r="J40" s="51"/>
      <c r="K40" s="28"/>
    </row>
    <row r="41" spans="2:15" ht="15" customHeight="1" x14ac:dyDescent="0.25">
      <c r="B41" s="360" t="str">
        <f>IF(F38=0,"",IF(F38&gt;1,K41,K42))</f>
        <v/>
      </c>
      <c r="C41" s="361"/>
      <c r="D41" s="361"/>
      <c r="E41" s="361"/>
      <c r="F41" s="361"/>
      <c r="G41" s="361"/>
      <c r="J41" s="51"/>
      <c r="K41" s="159" t="s">
        <v>93</v>
      </c>
    </row>
    <row r="42" spans="2:15" ht="15" customHeight="1" x14ac:dyDescent="0.25">
      <c r="B42" s="228"/>
      <c r="C42" s="230"/>
      <c r="D42" s="230"/>
      <c r="E42" s="230"/>
      <c r="F42" s="230"/>
      <c r="G42" s="230"/>
      <c r="J42" s="51"/>
      <c r="K42" s="159" t="s">
        <v>94</v>
      </c>
    </row>
    <row r="43" spans="2:15" ht="15" customHeight="1" x14ac:dyDescent="0.25">
      <c r="B43" s="58" t="s">
        <v>97</v>
      </c>
      <c r="C43" s="289"/>
      <c r="D43" s="289"/>
      <c r="E43" s="289"/>
      <c r="F43" s="290"/>
      <c r="G43" s="289"/>
      <c r="J43" s="27"/>
      <c r="O43" s="20"/>
    </row>
    <row r="44" spans="2:15" ht="33.950000000000003" customHeight="1" x14ac:dyDescent="0.25">
      <c r="B44" s="353" t="s">
        <v>176</v>
      </c>
      <c r="C44" s="354"/>
      <c r="D44" s="354"/>
      <c r="E44" s="354"/>
      <c r="F44" s="354"/>
      <c r="G44" s="354"/>
      <c r="H44" s="349"/>
      <c r="I44" s="349"/>
      <c r="J44" s="27"/>
      <c r="O44" s="20"/>
    </row>
    <row r="45" spans="2:15" ht="15" customHeight="1" x14ac:dyDescent="0.25">
      <c r="B45" s="228"/>
      <c r="C45" s="230"/>
      <c r="D45" s="230"/>
      <c r="E45" s="230"/>
      <c r="F45" s="230"/>
      <c r="G45" s="230"/>
      <c r="J45" s="51"/>
      <c r="K45" s="159"/>
    </row>
    <row r="46" spans="2:15" ht="18" customHeight="1" x14ac:dyDescent="0.25">
      <c r="B46" s="25" t="s">
        <v>0</v>
      </c>
      <c r="C46" s="291"/>
      <c r="D46" s="291"/>
      <c r="E46" s="291"/>
      <c r="F46" s="291"/>
      <c r="G46" s="291"/>
      <c r="H46" s="51"/>
      <c r="I46" s="51"/>
      <c r="K46" s="20"/>
      <c r="L46" s="40"/>
    </row>
    <row r="47" spans="2:15" ht="33.950000000000003" customHeight="1" x14ac:dyDescent="0.25">
      <c r="B47" s="355" t="s">
        <v>151</v>
      </c>
      <c r="C47" s="354"/>
      <c r="D47" s="354"/>
      <c r="E47" s="354"/>
      <c r="F47" s="354"/>
      <c r="G47" s="354"/>
      <c r="H47" s="349"/>
      <c r="I47" s="349"/>
      <c r="K47" s="159"/>
      <c r="L47" s="40"/>
    </row>
    <row r="48" spans="2:15" ht="33.950000000000003" customHeight="1" x14ac:dyDescent="0.25">
      <c r="B48" s="353" t="s">
        <v>130</v>
      </c>
      <c r="C48" s="354"/>
      <c r="D48" s="354"/>
      <c r="E48" s="354"/>
      <c r="F48" s="354"/>
      <c r="G48" s="354"/>
      <c r="H48" s="349"/>
      <c r="I48" s="349"/>
      <c r="J48" s="27"/>
      <c r="K48" s="20"/>
      <c r="O48" s="20"/>
    </row>
    <row r="49" spans="2:15" ht="33.950000000000003" customHeight="1" x14ac:dyDescent="0.25">
      <c r="B49" s="353" t="s">
        <v>152</v>
      </c>
      <c r="C49" s="354"/>
      <c r="D49" s="354"/>
      <c r="E49" s="354"/>
      <c r="F49" s="354"/>
      <c r="G49" s="354"/>
      <c r="H49" s="349"/>
      <c r="I49" s="349"/>
      <c r="J49" s="27"/>
      <c r="K49" s="160"/>
      <c r="O49" s="20"/>
    </row>
    <row r="50" spans="2:15" ht="33.950000000000003" customHeight="1" x14ac:dyDescent="0.25">
      <c r="B50" s="353" t="s">
        <v>160</v>
      </c>
      <c r="C50" s="354"/>
      <c r="D50" s="354"/>
      <c r="E50" s="354"/>
      <c r="F50" s="354"/>
      <c r="G50" s="354"/>
      <c r="H50" s="349"/>
      <c r="I50" s="349"/>
      <c r="J50" s="27"/>
      <c r="K50" s="20"/>
      <c r="O50" s="20"/>
    </row>
    <row r="51" spans="2:15" ht="66" customHeight="1" x14ac:dyDescent="0.25">
      <c r="B51" s="355" t="s">
        <v>175</v>
      </c>
      <c r="C51" s="354"/>
      <c r="D51" s="354"/>
      <c r="E51" s="354"/>
      <c r="F51" s="354"/>
      <c r="G51" s="354"/>
      <c r="H51" s="349"/>
      <c r="I51" s="349"/>
      <c r="J51" s="27"/>
      <c r="K51" s="20"/>
      <c r="O51" s="20"/>
    </row>
    <row r="52" spans="2:15" ht="15" customHeight="1" x14ac:dyDescent="0.25">
      <c r="J52" s="27"/>
      <c r="O52" s="20"/>
    </row>
    <row r="55" spans="2:15" ht="39.950000000000003" customHeight="1" x14ac:dyDescent="0.25">
      <c r="J55" s="27"/>
      <c r="O55" s="20"/>
    </row>
    <row r="56" spans="2:15" ht="15" customHeight="1" x14ac:dyDescent="0.25">
      <c r="J56" s="27"/>
      <c r="O56" s="20"/>
    </row>
    <row r="57" spans="2:15" ht="15" customHeight="1" x14ac:dyDescent="0.25">
      <c r="J57" s="27"/>
      <c r="O57" s="20"/>
    </row>
    <row r="58" spans="2:15" ht="39.950000000000003" customHeight="1" x14ac:dyDescent="0.25">
      <c r="J58" s="51"/>
    </row>
    <row r="59" spans="2:15" ht="15" customHeight="1" x14ac:dyDescent="0.2">
      <c r="J59" s="20"/>
      <c r="O59" s="20"/>
    </row>
    <row r="60" spans="2:15" ht="5.0999999999999996" customHeight="1" x14ac:dyDescent="0.2">
      <c r="J60" s="20"/>
      <c r="O60" s="20"/>
    </row>
    <row r="61" spans="2:15" ht="15" customHeight="1" x14ac:dyDescent="0.2">
      <c r="J61" s="20"/>
      <c r="O61" s="20"/>
    </row>
    <row r="62" spans="2:15" ht="5.0999999999999996" customHeight="1" x14ac:dyDescent="0.2">
      <c r="J62" s="20"/>
      <c r="O62" s="20"/>
    </row>
    <row r="63" spans="2:15" ht="15" customHeight="1" x14ac:dyDescent="0.2">
      <c r="J63" s="20"/>
      <c r="O63" s="20"/>
    </row>
    <row r="64" spans="2:15" ht="5.0999999999999996" customHeight="1" x14ac:dyDescent="0.2">
      <c r="J64" s="20"/>
    </row>
    <row r="65" spans="4:15" x14ac:dyDescent="0.2">
      <c r="J65" s="20"/>
    </row>
    <row r="66" spans="4:15" x14ac:dyDescent="0.2">
      <c r="J66" s="20"/>
      <c r="O66" s="20"/>
    </row>
    <row r="67" spans="4:15" ht="5.0999999999999996" customHeight="1" x14ac:dyDescent="0.2">
      <c r="J67" s="20"/>
      <c r="O67" s="20"/>
    </row>
    <row r="68" spans="4:15" ht="18.95" customHeight="1" x14ac:dyDescent="0.2">
      <c r="J68" s="20"/>
      <c r="L68" s="40"/>
      <c r="O68" s="20"/>
    </row>
    <row r="69" spans="4:15" ht="5.0999999999999996" customHeight="1" x14ac:dyDescent="0.2">
      <c r="K69" s="40"/>
      <c r="L69" s="40"/>
    </row>
    <row r="70" spans="4:15" ht="17.100000000000001" customHeight="1" x14ac:dyDescent="0.2">
      <c r="K70" s="40"/>
      <c r="L70" s="40"/>
    </row>
    <row r="71" spans="4:15" ht="5.0999999999999996" customHeight="1" x14ac:dyDescent="0.2">
      <c r="K71" s="40"/>
      <c r="L71" s="40"/>
    </row>
    <row r="72" spans="4:15" ht="5.0999999999999996" customHeight="1" x14ac:dyDescent="0.2">
      <c r="K72" s="40"/>
      <c r="L72" s="40"/>
    </row>
    <row r="73" spans="4:15" x14ac:dyDescent="0.2">
      <c r="K73" s="40"/>
      <c r="L73" s="40"/>
    </row>
    <row r="74" spans="4:15" ht="5.0999999999999996" customHeight="1" x14ac:dyDescent="0.2">
      <c r="K74" s="40"/>
    </row>
    <row r="76" spans="4:15" ht="15" customHeight="1" x14ac:dyDescent="0.25">
      <c r="J76" s="27"/>
      <c r="O76" s="20"/>
    </row>
    <row r="77" spans="4:15" ht="15" customHeight="1" x14ac:dyDescent="0.25">
      <c r="D77" s="38"/>
      <c r="E77" s="38"/>
      <c r="G77" s="38"/>
      <c r="J77" s="27"/>
      <c r="O77" s="20"/>
    </row>
    <row r="78" spans="4:15" ht="5.0999999999999996" customHeight="1" x14ac:dyDescent="0.25">
      <c r="D78" s="38"/>
      <c r="E78" s="38"/>
      <c r="G78" s="38"/>
      <c r="J78" s="27"/>
      <c r="O78" s="20"/>
    </row>
    <row r="79" spans="4:15" ht="15" customHeight="1" x14ac:dyDescent="0.25">
      <c r="D79" s="38"/>
      <c r="E79" s="38"/>
      <c r="G79" s="38"/>
      <c r="J79" s="27"/>
      <c r="O79" s="20"/>
    </row>
    <row r="80" spans="4:15" ht="5.0999999999999996" customHeight="1" x14ac:dyDescent="0.25">
      <c r="D80" s="38"/>
      <c r="E80" s="38"/>
      <c r="G80" s="38"/>
      <c r="J80" s="27"/>
      <c r="O80" s="20"/>
    </row>
    <row r="81" spans="2:15" ht="15" customHeight="1" x14ac:dyDescent="0.25">
      <c r="D81" s="38"/>
      <c r="E81" s="38"/>
      <c r="G81" s="38"/>
      <c r="J81" s="27"/>
      <c r="O81" s="20"/>
    </row>
    <row r="82" spans="2:15" ht="15" customHeight="1" x14ac:dyDescent="0.2">
      <c r="D82" s="38"/>
      <c r="E82" s="38"/>
      <c r="G82" s="38"/>
    </row>
    <row r="83" spans="2:15" ht="5.0999999999999996" customHeight="1" x14ac:dyDescent="0.2">
      <c r="D83" s="38"/>
      <c r="E83" s="38"/>
      <c r="G83" s="38"/>
    </row>
    <row r="84" spans="2:15" ht="17.100000000000001" customHeight="1" x14ac:dyDescent="0.2">
      <c r="D84" s="38"/>
      <c r="E84" s="38"/>
      <c r="G84" s="38"/>
    </row>
    <row r="85" spans="2:15" ht="5.0999999999999996" customHeight="1" x14ac:dyDescent="0.2">
      <c r="D85" s="38"/>
      <c r="E85" s="38"/>
      <c r="G85" s="38"/>
    </row>
    <row r="86" spans="2:15" ht="5.0999999999999996" customHeight="1" x14ac:dyDescent="0.2">
      <c r="D86" s="38"/>
      <c r="E86" s="38"/>
      <c r="G86" s="38"/>
    </row>
    <row r="87" spans="2:15" x14ac:dyDescent="0.2">
      <c r="D87" s="38"/>
      <c r="E87" s="38"/>
      <c r="G87" s="38"/>
      <c r="J87" s="20"/>
      <c r="M87" s="20"/>
      <c r="N87" s="20"/>
      <c r="O87" s="20"/>
    </row>
    <row r="88" spans="2:15" s="40" customFormat="1" ht="27.6" customHeight="1" x14ac:dyDescent="0.2">
      <c r="B88" s="20"/>
      <c r="C88" s="19"/>
      <c r="D88" s="38"/>
      <c r="E88" s="38"/>
      <c r="F88" s="53"/>
      <c r="G88" s="38"/>
      <c r="H88" s="38"/>
      <c r="I88" s="38"/>
      <c r="J88" s="47"/>
      <c r="K88" s="22"/>
      <c r="L88" s="22"/>
    </row>
    <row r="89" spans="2:15" s="40" customFormat="1" ht="15" customHeight="1" x14ac:dyDescent="0.2">
      <c r="B89" s="20"/>
      <c r="C89" s="19"/>
      <c r="D89" s="38"/>
      <c r="E89" s="38"/>
      <c r="F89" s="53"/>
      <c r="G89" s="38"/>
      <c r="H89" s="38"/>
      <c r="I89" s="38"/>
      <c r="J89" s="47"/>
      <c r="K89" s="22"/>
      <c r="L89" s="22"/>
    </row>
    <row r="90" spans="2:15" s="40" customFormat="1" ht="45" customHeight="1" x14ac:dyDescent="0.2">
      <c r="B90" s="20"/>
      <c r="C90" s="19"/>
      <c r="D90" s="38"/>
      <c r="E90" s="38"/>
      <c r="F90" s="53"/>
      <c r="G90" s="38"/>
      <c r="H90" s="38"/>
      <c r="I90" s="38"/>
      <c r="J90" s="46"/>
      <c r="K90" s="22"/>
      <c r="L90" s="22"/>
    </row>
    <row r="91" spans="2:15" s="40" customFormat="1" ht="30" customHeight="1" x14ac:dyDescent="0.2">
      <c r="B91" s="20"/>
      <c r="C91" s="19"/>
      <c r="D91" s="38"/>
      <c r="E91" s="38"/>
      <c r="F91" s="53"/>
      <c r="G91" s="38"/>
      <c r="H91" s="38"/>
      <c r="I91" s="38"/>
      <c r="J91" s="47"/>
      <c r="K91" s="22"/>
      <c r="L91" s="22"/>
    </row>
    <row r="92" spans="2:15" s="40" customFormat="1" ht="15" customHeight="1" x14ac:dyDescent="0.2">
      <c r="B92" s="20"/>
      <c r="C92" s="19"/>
      <c r="D92" s="38"/>
      <c r="E92" s="38"/>
      <c r="F92" s="53"/>
      <c r="G92" s="38"/>
      <c r="H92" s="38"/>
      <c r="I92" s="38"/>
      <c r="J92" s="46"/>
      <c r="K92" s="22"/>
      <c r="L92" s="22"/>
    </row>
    <row r="93" spans="2:15" s="40" customFormat="1" ht="15" customHeight="1" x14ac:dyDescent="0.2">
      <c r="B93" s="20"/>
      <c r="C93" s="19"/>
      <c r="D93" s="38"/>
      <c r="E93" s="38"/>
      <c r="F93" s="53"/>
      <c r="G93" s="38"/>
      <c r="H93" s="38"/>
      <c r="I93" s="38"/>
      <c r="J93" s="46"/>
      <c r="K93" s="22"/>
      <c r="L93" s="22"/>
    </row>
    <row r="94" spans="2:15" s="40" customFormat="1" ht="30" customHeight="1" x14ac:dyDescent="0.2">
      <c r="B94" s="20"/>
      <c r="C94" s="19"/>
      <c r="D94" s="38"/>
      <c r="E94" s="38"/>
      <c r="F94" s="53"/>
      <c r="G94" s="38"/>
      <c r="H94" s="38"/>
      <c r="I94" s="38"/>
      <c r="J94" s="46"/>
      <c r="K94" s="22"/>
      <c r="L94" s="22"/>
    </row>
    <row r="95" spans="2:15" s="40" customFormat="1" ht="15" customHeight="1" x14ac:dyDescent="0.2">
      <c r="B95" s="20"/>
      <c r="C95" s="19"/>
      <c r="D95" s="38"/>
      <c r="E95" s="38"/>
      <c r="F95" s="53"/>
      <c r="G95" s="38"/>
      <c r="H95" s="38"/>
      <c r="I95" s="38"/>
      <c r="J95" s="45"/>
      <c r="K95" s="22"/>
      <c r="L95" s="22"/>
    </row>
    <row r="96" spans="2:15" s="40" customFormat="1" ht="90" customHeight="1" x14ac:dyDescent="0.2">
      <c r="B96" s="20"/>
      <c r="C96" s="19"/>
      <c r="D96" s="38"/>
      <c r="E96" s="38"/>
      <c r="F96" s="53"/>
      <c r="G96" s="38"/>
      <c r="H96" s="38"/>
      <c r="I96" s="38"/>
      <c r="J96" s="44"/>
      <c r="K96" s="22"/>
      <c r="L96" s="22"/>
    </row>
    <row r="97" spans="4:9" x14ac:dyDescent="0.2">
      <c r="D97" s="38"/>
      <c r="E97" s="38"/>
      <c r="G97" s="38"/>
      <c r="H97" s="38"/>
      <c r="I97" s="38"/>
    </row>
    <row r="98" spans="4:9" x14ac:dyDescent="0.2">
      <c r="D98" s="38"/>
      <c r="E98" s="38"/>
      <c r="G98" s="38"/>
      <c r="H98" s="38"/>
      <c r="I98" s="38"/>
    </row>
    <row r="99" spans="4:9" x14ac:dyDescent="0.2">
      <c r="D99" s="38"/>
      <c r="E99" s="38"/>
      <c r="G99" s="38"/>
      <c r="H99" s="38"/>
      <c r="I99" s="38"/>
    </row>
    <row r="100" spans="4:9" x14ac:dyDescent="0.2">
      <c r="D100" s="38"/>
      <c r="E100" s="38"/>
      <c r="G100" s="38"/>
      <c r="H100" s="38"/>
      <c r="I100" s="38"/>
    </row>
    <row r="101" spans="4:9" x14ac:dyDescent="0.2">
      <c r="D101" s="38"/>
      <c r="E101" s="38"/>
      <c r="G101" s="38"/>
      <c r="H101" s="38"/>
      <c r="I101" s="38"/>
    </row>
    <row r="102" spans="4:9" x14ac:dyDescent="0.2">
      <c r="D102" s="38"/>
      <c r="E102" s="38"/>
      <c r="G102" s="38"/>
      <c r="H102" s="38"/>
      <c r="I102" s="38"/>
    </row>
    <row r="103" spans="4:9" x14ac:dyDescent="0.2">
      <c r="D103" s="38"/>
      <c r="E103" s="38"/>
      <c r="G103" s="38"/>
      <c r="H103" s="38"/>
      <c r="I103" s="38"/>
    </row>
    <row r="104" spans="4:9" x14ac:dyDescent="0.2">
      <c r="D104" s="38"/>
      <c r="E104" s="38"/>
      <c r="G104" s="38"/>
      <c r="H104" s="38"/>
      <c r="I104" s="38"/>
    </row>
    <row r="105" spans="4:9" x14ac:dyDescent="0.2">
      <c r="D105" s="38"/>
      <c r="E105" s="38"/>
      <c r="G105" s="38"/>
      <c r="H105" s="38"/>
      <c r="I105" s="38"/>
    </row>
    <row r="106" spans="4:9" x14ac:dyDescent="0.2">
      <c r="D106" s="38"/>
      <c r="E106" s="38"/>
      <c r="G106" s="38"/>
      <c r="H106" s="38"/>
      <c r="I106" s="38"/>
    </row>
    <row r="107" spans="4:9" x14ac:dyDescent="0.2">
      <c r="D107" s="38"/>
      <c r="E107" s="38"/>
      <c r="G107" s="38"/>
      <c r="H107" s="38"/>
      <c r="I107" s="38"/>
    </row>
    <row r="108" spans="4:9" x14ac:dyDescent="0.2">
      <c r="D108" s="38"/>
      <c r="E108" s="38"/>
      <c r="G108" s="38"/>
      <c r="H108" s="38"/>
      <c r="I108" s="38"/>
    </row>
    <row r="109" spans="4:9" x14ac:dyDescent="0.2">
      <c r="D109" s="38"/>
      <c r="E109" s="38"/>
      <c r="G109" s="38"/>
      <c r="H109" s="38"/>
      <c r="I109" s="38"/>
    </row>
    <row r="110" spans="4:9" x14ac:dyDescent="0.2">
      <c r="D110" s="38"/>
      <c r="E110" s="38"/>
      <c r="G110" s="38"/>
      <c r="H110" s="38"/>
      <c r="I110" s="38"/>
    </row>
    <row r="111" spans="4:9" x14ac:dyDescent="0.2">
      <c r="D111" s="38"/>
      <c r="E111" s="38"/>
      <c r="G111" s="38"/>
      <c r="H111" s="38"/>
      <c r="I111" s="38"/>
    </row>
    <row r="112" spans="4:9" x14ac:dyDescent="0.2">
      <c r="D112" s="38"/>
      <c r="E112" s="38"/>
      <c r="G112" s="38"/>
      <c r="H112" s="38"/>
      <c r="I112" s="38"/>
    </row>
    <row r="113" spans="4:9" x14ac:dyDescent="0.2">
      <c r="D113" s="38"/>
      <c r="E113" s="38"/>
      <c r="G113" s="38"/>
      <c r="H113" s="38"/>
      <c r="I113" s="38"/>
    </row>
    <row r="114" spans="4:9" x14ac:dyDescent="0.2">
      <c r="D114" s="38"/>
      <c r="E114" s="38"/>
      <c r="G114" s="38"/>
      <c r="H114" s="38"/>
      <c r="I114" s="38"/>
    </row>
    <row r="115" spans="4:9" x14ac:dyDescent="0.2">
      <c r="D115" s="38"/>
      <c r="E115" s="38"/>
      <c r="G115" s="38"/>
      <c r="H115" s="38"/>
      <c r="I115" s="38"/>
    </row>
    <row r="116" spans="4:9" x14ac:dyDescent="0.2">
      <c r="D116" s="38"/>
      <c r="E116" s="38"/>
      <c r="G116" s="38"/>
      <c r="H116" s="38"/>
      <c r="I116" s="38"/>
    </row>
    <row r="117" spans="4:9" x14ac:dyDescent="0.2">
      <c r="D117" s="38"/>
      <c r="E117" s="38"/>
      <c r="G117" s="38"/>
      <c r="H117" s="38"/>
      <c r="I117" s="38"/>
    </row>
    <row r="118" spans="4:9" x14ac:dyDescent="0.2">
      <c r="D118" s="38"/>
      <c r="E118" s="38"/>
      <c r="G118" s="38"/>
      <c r="H118" s="38"/>
      <c r="I118" s="38"/>
    </row>
    <row r="119" spans="4:9" x14ac:dyDescent="0.2">
      <c r="D119" s="38"/>
      <c r="E119" s="38"/>
      <c r="G119" s="38"/>
      <c r="H119" s="38"/>
      <c r="I119" s="38"/>
    </row>
    <row r="120" spans="4:9" x14ac:dyDescent="0.2">
      <c r="D120" s="38"/>
      <c r="E120" s="38"/>
      <c r="G120" s="38"/>
      <c r="H120" s="38"/>
      <c r="I120" s="38"/>
    </row>
    <row r="121" spans="4:9" x14ac:dyDescent="0.2">
      <c r="D121" s="38"/>
      <c r="E121" s="38"/>
      <c r="G121" s="38"/>
      <c r="H121" s="38"/>
      <c r="I121" s="38"/>
    </row>
    <row r="122" spans="4:9" x14ac:dyDescent="0.2">
      <c r="D122" s="38"/>
      <c r="E122" s="38"/>
      <c r="G122" s="38"/>
      <c r="H122" s="38"/>
      <c r="I122" s="38"/>
    </row>
    <row r="123" spans="4:9" x14ac:dyDescent="0.2">
      <c r="D123" s="38"/>
      <c r="E123" s="38"/>
      <c r="G123" s="38"/>
      <c r="H123" s="38"/>
      <c r="I123" s="38"/>
    </row>
    <row r="124" spans="4:9" x14ac:dyDescent="0.2">
      <c r="D124" s="38"/>
      <c r="E124" s="38"/>
      <c r="G124" s="38"/>
      <c r="H124" s="38"/>
      <c r="I124" s="38"/>
    </row>
    <row r="125" spans="4:9" x14ac:dyDescent="0.2">
      <c r="D125" s="38"/>
      <c r="E125" s="38"/>
      <c r="G125" s="38"/>
      <c r="H125" s="38"/>
      <c r="I125" s="38"/>
    </row>
    <row r="126" spans="4:9" x14ac:dyDescent="0.2">
      <c r="D126" s="38"/>
      <c r="E126" s="38"/>
      <c r="G126" s="38"/>
      <c r="H126" s="38"/>
      <c r="I126" s="38"/>
    </row>
    <row r="127" spans="4:9" x14ac:dyDescent="0.2">
      <c r="D127" s="38"/>
      <c r="E127" s="38"/>
      <c r="G127" s="38"/>
      <c r="H127" s="38"/>
      <c r="I127" s="38"/>
    </row>
    <row r="128" spans="4:9" x14ac:dyDescent="0.2">
      <c r="D128" s="38"/>
      <c r="E128" s="38"/>
      <c r="G128" s="38"/>
      <c r="H128" s="38"/>
      <c r="I128" s="38"/>
    </row>
    <row r="129" spans="8:10" x14ac:dyDescent="0.2">
      <c r="H129" s="38"/>
      <c r="I129" s="38"/>
    </row>
    <row r="130" spans="8:10" x14ac:dyDescent="0.2">
      <c r="H130" s="38"/>
      <c r="I130" s="38"/>
    </row>
    <row r="131" spans="8:10" x14ac:dyDescent="0.2">
      <c r="H131" s="38"/>
      <c r="I131" s="38"/>
    </row>
    <row r="132" spans="8:10" x14ac:dyDescent="0.2">
      <c r="H132" s="38"/>
      <c r="I132" s="38"/>
    </row>
    <row r="133" spans="8:10" x14ac:dyDescent="0.2">
      <c r="H133" s="38"/>
      <c r="I133" s="38"/>
    </row>
    <row r="134" spans="8:10" x14ac:dyDescent="0.2">
      <c r="H134" s="38"/>
      <c r="I134" s="38"/>
    </row>
    <row r="135" spans="8:10" x14ac:dyDescent="0.2">
      <c r="H135" s="38"/>
      <c r="I135" s="38"/>
      <c r="J135" s="52"/>
    </row>
    <row r="136" spans="8:10" x14ac:dyDescent="0.2">
      <c r="H136" s="38"/>
      <c r="I136" s="38"/>
      <c r="J136" s="52"/>
    </row>
    <row r="137" spans="8:10" x14ac:dyDescent="0.2">
      <c r="H137" s="38"/>
      <c r="I137" s="38"/>
      <c r="J137" s="52"/>
    </row>
    <row r="138" spans="8:10" x14ac:dyDescent="0.2">
      <c r="H138" s="38"/>
      <c r="I138" s="38"/>
      <c r="J138" s="52"/>
    </row>
    <row r="139" spans="8:10" x14ac:dyDescent="0.2">
      <c r="H139" s="38"/>
      <c r="I139" s="38"/>
      <c r="J139" s="52"/>
    </row>
    <row r="140" spans="8:10" x14ac:dyDescent="0.2">
      <c r="J140" s="52"/>
    </row>
    <row r="141" spans="8:10" x14ac:dyDescent="0.2">
      <c r="J141" s="52"/>
    </row>
    <row r="142" spans="8:10" x14ac:dyDescent="0.2">
      <c r="J142" s="52"/>
    </row>
    <row r="143" spans="8:10" x14ac:dyDescent="0.2">
      <c r="J143" s="52"/>
    </row>
    <row r="144" spans="8:10" x14ac:dyDescent="0.2">
      <c r="J144" s="52"/>
    </row>
    <row r="145" spans="10:10" x14ac:dyDescent="0.2">
      <c r="J145" s="52"/>
    </row>
    <row r="146" spans="10:10" x14ac:dyDescent="0.2">
      <c r="J146" s="52"/>
    </row>
    <row r="147" spans="10:10" x14ac:dyDescent="0.2">
      <c r="J147" s="52"/>
    </row>
    <row r="148" spans="10:10" x14ac:dyDescent="0.2">
      <c r="J148" s="52"/>
    </row>
    <row r="149" spans="10:10" x14ac:dyDescent="0.2">
      <c r="J149" s="52"/>
    </row>
    <row r="150" spans="10:10" x14ac:dyDescent="0.2">
      <c r="J150" s="52"/>
    </row>
    <row r="151" spans="10:10" x14ac:dyDescent="0.2">
      <c r="J151" s="52"/>
    </row>
    <row r="152" spans="10:10" x14ac:dyDescent="0.2">
      <c r="J152" s="52"/>
    </row>
    <row r="153" spans="10:10" x14ac:dyDescent="0.2">
      <c r="J153" s="52"/>
    </row>
    <row r="154" spans="10:10" x14ac:dyDescent="0.2">
      <c r="J154" s="52"/>
    </row>
    <row r="155" spans="10:10" x14ac:dyDescent="0.2">
      <c r="J155" s="52"/>
    </row>
    <row r="156" spans="10:10" x14ac:dyDescent="0.2">
      <c r="J156" s="52"/>
    </row>
    <row r="157" spans="10:10" x14ac:dyDescent="0.2">
      <c r="J157" s="52"/>
    </row>
    <row r="158" spans="10:10" x14ac:dyDescent="0.2">
      <c r="J158" s="52"/>
    </row>
    <row r="159" spans="10:10" x14ac:dyDescent="0.2">
      <c r="J159" s="52"/>
    </row>
    <row r="160" spans="10:10" x14ac:dyDescent="0.2">
      <c r="J160" s="52"/>
    </row>
    <row r="161" spans="10:10" x14ac:dyDescent="0.2">
      <c r="J161" s="52"/>
    </row>
    <row r="162" spans="10:10" x14ac:dyDescent="0.2">
      <c r="J162" s="52"/>
    </row>
    <row r="163" spans="10:10" x14ac:dyDescent="0.2">
      <c r="J163" s="52"/>
    </row>
    <row r="164" spans="10:10" x14ac:dyDescent="0.2">
      <c r="J164" s="52"/>
    </row>
    <row r="165" spans="10:10" x14ac:dyDescent="0.2">
      <c r="J165" s="52"/>
    </row>
    <row r="166" spans="10:10" x14ac:dyDescent="0.2">
      <c r="J166" s="52"/>
    </row>
    <row r="167" spans="10:10" x14ac:dyDescent="0.2">
      <c r="J167" s="52"/>
    </row>
    <row r="168" spans="10:10" x14ac:dyDescent="0.2">
      <c r="J168" s="52"/>
    </row>
    <row r="169" spans="10:10" x14ac:dyDescent="0.2">
      <c r="J169" s="52"/>
    </row>
    <row r="170" spans="10:10" x14ac:dyDescent="0.2">
      <c r="J170" s="52"/>
    </row>
    <row r="171" spans="10:10" x14ac:dyDescent="0.2">
      <c r="J171" s="52"/>
    </row>
    <row r="172" spans="10:10" x14ac:dyDescent="0.2">
      <c r="J172" s="52"/>
    </row>
    <row r="173" spans="10:10" x14ac:dyDescent="0.2">
      <c r="J173" s="52"/>
    </row>
    <row r="174" spans="10:10" x14ac:dyDescent="0.2">
      <c r="J174" s="52"/>
    </row>
    <row r="175" spans="10:10" x14ac:dyDescent="0.2">
      <c r="J175" s="52"/>
    </row>
    <row r="176" spans="10:10" x14ac:dyDescent="0.2">
      <c r="J176" s="52"/>
    </row>
    <row r="177" spans="10:10" x14ac:dyDescent="0.2">
      <c r="J177" s="52"/>
    </row>
    <row r="178" spans="10:10" x14ac:dyDescent="0.2">
      <c r="J178" s="52"/>
    </row>
    <row r="179" spans="10:10" x14ac:dyDescent="0.2">
      <c r="J179" s="52"/>
    </row>
    <row r="180" spans="10:10" x14ac:dyDescent="0.2">
      <c r="J180" s="52"/>
    </row>
    <row r="181" spans="10:10" x14ac:dyDescent="0.2">
      <c r="J181" s="52"/>
    </row>
    <row r="182" spans="10:10" x14ac:dyDescent="0.2">
      <c r="J182" s="52"/>
    </row>
    <row r="183" spans="10:10" x14ac:dyDescent="0.2">
      <c r="J183" s="52"/>
    </row>
    <row r="184" spans="10:10" x14ac:dyDescent="0.2">
      <c r="J184" s="52"/>
    </row>
    <row r="185" spans="10:10" x14ac:dyDescent="0.2">
      <c r="J185" s="52"/>
    </row>
    <row r="186" spans="10:10" x14ac:dyDescent="0.2">
      <c r="J186" s="52"/>
    </row>
  </sheetData>
  <sheetProtection algorithmName="SHA-512" hashValue="AmsfkXzz2EjQyASXFXOrXF6Bxn5yjaC3jE4S+cOfONG+/qNFJGgzGZ5G9nedANUJviQGfZDyPOW0voAtvUcE2g==" saltValue="/PHxeDUn+zvBz9tb4WJhLA==" spinCount="100000" sheet="1" objects="1" scenarios="1"/>
  <mergeCells count="19">
    <mergeCell ref="B50:I50"/>
    <mergeCell ref="B51:I51"/>
    <mergeCell ref="B41:G41"/>
    <mergeCell ref="E27:G27"/>
    <mergeCell ref="D17:E17"/>
    <mergeCell ref="C2:I2"/>
    <mergeCell ref="B44:I44"/>
    <mergeCell ref="B47:I47"/>
    <mergeCell ref="B48:I48"/>
    <mergeCell ref="B49:I49"/>
    <mergeCell ref="D18:E18"/>
    <mergeCell ref="D20:E20"/>
    <mergeCell ref="B40:G40"/>
    <mergeCell ref="C8:I8"/>
    <mergeCell ref="C9:I9"/>
    <mergeCell ref="C10:I10"/>
    <mergeCell ref="C11:I11"/>
    <mergeCell ref="C12:I12"/>
    <mergeCell ref="C13:I13"/>
  </mergeCells>
  <dataValidations count="4">
    <dataValidation type="list" allowBlank="1" showInputMessage="1" showErrorMessage="1" sqref="D27" xr:uid="{56F47380-3C40-446B-9116-5575D5EE1C22}">
      <formula1>$K$22:$K$24</formula1>
    </dataValidation>
    <dataValidation type="list" allowBlank="1" showInputMessage="1" showErrorMessage="1" sqref="F25 D25" xr:uid="{9F8073AC-EA58-4657-934B-7BC0EE7022B1}">
      <formula1>$K$12:$K$14</formula1>
    </dataValidation>
    <dataValidation type="list" allowBlank="1" showInputMessage="1" showErrorMessage="1" sqref="D24" xr:uid="{1B88244A-D409-4E64-A5CD-5FBC1248B0C6}">
      <formula1>$K$19:$K$20</formula1>
    </dataValidation>
    <dataValidation type="list" allowBlank="1" showInputMessage="1" showErrorMessage="1" sqref="D30 D28:F28 F30" xr:uid="{7587FEE8-D823-49D5-A358-8A0C1F4073FB}">
      <formula1>$K$16:$K$20</formula1>
    </dataValidation>
  </dataValidations>
  <pageMargins left="0.7" right="0.7" top="0.75" bottom="0.75" header="0.3" footer="0.3"/>
  <pageSetup scale="7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D042B-4D3B-4BDB-A0FC-FC0D428A3825}">
  <sheetPr>
    <tabColor theme="9" tint="0.79998168889431442"/>
    <pageSetUpPr fitToPage="1"/>
  </sheetPr>
  <dimension ref="B2:K34"/>
  <sheetViews>
    <sheetView showGridLines="0" showRowColHeaders="0" topLeftCell="C1" workbookViewId="0">
      <selection activeCell="D4" sqref="D4"/>
    </sheetView>
  </sheetViews>
  <sheetFormatPr defaultRowHeight="12.75" x14ac:dyDescent="0.2"/>
  <cols>
    <col min="2" max="2" width="12.5703125" customWidth="1"/>
    <col min="3" max="3" width="55.5703125" customWidth="1"/>
    <col min="4" max="5" width="15.5703125" customWidth="1"/>
    <col min="6" max="6" width="12.5703125" customWidth="1"/>
    <col min="8" max="8" width="14.42578125" style="124" hidden="1" customWidth="1"/>
    <col min="9" max="9" width="22.42578125" customWidth="1"/>
    <col min="10" max="10" width="12.5703125" customWidth="1"/>
    <col min="11" max="11" width="12.5703125" style="1" customWidth="1"/>
  </cols>
  <sheetData>
    <row r="2" spans="2:11" s="7" customFormat="1" ht="27" customHeight="1" x14ac:dyDescent="0.2">
      <c r="B2" s="367" t="s">
        <v>82</v>
      </c>
      <c r="C2" s="367"/>
      <c r="D2" s="367"/>
      <c r="E2" s="367"/>
      <c r="H2" s="129"/>
      <c r="K2" s="130"/>
    </row>
    <row r="3" spans="2:11" ht="13.5" thickBot="1" x14ac:dyDescent="0.25"/>
    <row r="4" spans="2:11" ht="16.5" thickTop="1" x14ac:dyDescent="0.25">
      <c r="B4" s="372" t="str">
        <f>IF('1. Total PFAS Calculator'!D24='1. Total PFAS Calculator'!K19,H9,H10)</f>
        <v>Input Absorbable Organic Fluorine Concentration (ng/L):</v>
      </c>
      <c r="C4" s="373"/>
      <c r="D4" s="284"/>
    </row>
    <row r="5" spans="2:11" ht="16.5" thickBot="1" x14ac:dyDescent="0.3">
      <c r="B5" s="374" t="s">
        <v>119</v>
      </c>
      <c r="C5" s="375"/>
      <c r="D5" s="285">
        <v>1.73</v>
      </c>
    </row>
    <row r="6" spans="2:11" ht="14.25" thickTop="1" thickBot="1" x14ac:dyDescent="0.25"/>
    <row r="7" spans="2:11" ht="17.25" thickTop="1" thickBot="1" x14ac:dyDescent="0.3">
      <c r="B7" s="116" t="s">
        <v>77</v>
      </c>
      <c r="D7" s="370" t="s">
        <v>77</v>
      </c>
      <c r="E7" s="371"/>
    </row>
    <row r="8" spans="2:11" s="20" customFormat="1" ht="42.95" customHeight="1" thickTop="1" thickBot="1" x14ac:dyDescent="0.25">
      <c r="B8" s="30" t="s">
        <v>95</v>
      </c>
      <c r="C8" s="31" t="s">
        <v>96</v>
      </c>
      <c r="D8" s="127" t="str">
        <f>IF('1. Total PFAS Calculator'!D24='1. Total PFAS Calculator'!K19,H11,H12)</f>
        <v>Input Pre-TOPs Concentration (ng/L)</v>
      </c>
      <c r="E8" s="128" t="str">
        <f>IF('1. Total PFAS Calculator'!D24='1. Total PFAS Calculator'!K19,H13,H14)</f>
        <v>Input Post-TOPs Concentration (ng/L)</v>
      </c>
      <c r="F8" s="90"/>
      <c r="H8" s="132" t="s">
        <v>85</v>
      </c>
      <c r="K8" s="22"/>
    </row>
    <row r="9" spans="2:11" s="20" customFormat="1" ht="15" x14ac:dyDescent="0.2">
      <c r="B9" s="32" t="s">
        <v>4</v>
      </c>
      <c r="C9" s="33" t="s">
        <v>23</v>
      </c>
      <c r="D9" s="306"/>
      <c r="E9" s="307"/>
      <c r="F9" s="91"/>
      <c r="H9" s="125" t="s">
        <v>107</v>
      </c>
      <c r="J9" s="22"/>
      <c r="K9" s="123"/>
    </row>
    <row r="10" spans="2:11" s="20" customFormat="1" ht="15" x14ac:dyDescent="0.2">
      <c r="B10" s="32" t="s">
        <v>6</v>
      </c>
      <c r="C10" s="33" t="s">
        <v>63</v>
      </c>
      <c r="D10" s="308"/>
      <c r="E10" s="309"/>
      <c r="F10" s="53"/>
      <c r="H10" s="125" t="s">
        <v>108</v>
      </c>
      <c r="J10" s="22"/>
      <c r="K10" s="123"/>
    </row>
    <row r="11" spans="2:11" s="20" customFormat="1" ht="15" x14ac:dyDescent="0.2">
      <c r="B11" s="34" t="s">
        <v>5</v>
      </c>
      <c r="C11" s="35" t="s">
        <v>24</v>
      </c>
      <c r="D11" s="310"/>
      <c r="E11" s="311"/>
      <c r="F11" s="92"/>
      <c r="H11" s="125" t="s">
        <v>78</v>
      </c>
      <c r="J11" s="22"/>
      <c r="K11" s="22"/>
    </row>
    <row r="12" spans="2:11" s="20" customFormat="1" ht="15" x14ac:dyDescent="0.2">
      <c r="B12" s="34" t="s">
        <v>6</v>
      </c>
      <c r="C12" s="48" t="s">
        <v>40</v>
      </c>
      <c r="D12" s="310"/>
      <c r="E12" s="311"/>
      <c r="F12" s="93"/>
      <c r="H12" s="125" t="s">
        <v>79</v>
      </c>
      <c r="J12" s="22"/>
      <c r="K12" s="22"/>
    </row>
    <row r="13" spans="2:11" s="20" customFormat="1" ht="15" x14ac:dyDescent="0.2">
      <c r="B13" s="34" t="s">
        <v>7</v>
      </c>
      <c r="C13" s="35" t="s">
        <v>25</v>
      </c>
      <c r="D13" s="310"/>
      <c r="E13" s="312"/>
      <c r="F13" s="53"/>
      <c r="H13" s="125" t="s">
        <v>80</v>
      </c>
      <c r="J13" s="22"/>
      <c r="K13" s="22"/>
    </row>
    <row r="14" spans="2:11" s="20" customFormat="1" ht="15" customHeight="1" x14ac:dyDescent="0.2">
      <c r="B14" s="34" t="s">
        <v>8</v>
      </c>
      <c r="C14" s="35" t="s">
        <v>26</v>
      </c>
      <c r="D14" s="310"/>
      <c r="E14" s="312"/>
      <c r="F14" s="53"/>
      <c r="H14" s="125" t="s">
        <v>81</v>
      </c>
      <c r="J14" s="22"/>
      <c r="K14" s="22"/>
    </row>
    <row r="15" spans="2:11" s="20" customFormat="1" ht="15" customHeight="1" x14ac:dyDescent="0.2">
      <c r="B15" s="34" t="s">
        <v>65</v>
      </c>
      <c r="C15" s="35" t="s">
        <v>41</v>
      </c>
      <c r="D15" s="310"/>
      <c r="E15" s="312"/>
      <c r="F15" s="53"/>
      <c r="H15" s="133" t="s">
        <v>83</v>
      </c>
      <c r="J15" s="22"/>
      <c r="K15" s="123"/>
    </row>
    <row r="16" spans="2:11" s="20" customFormat="1" ht="15" customHeight="1" x14ac:dyDescent="0.2">
      <c r="B16" s="34" t="s">
        <v>9</v>
      </c>
      <c r="C16" s="35" t="s">
        <v>27</v>
      </c>
      <c r="D16" s="313"/>
      <c r="E16" s="312"/>
      <c r="F16" s="94"/>
      <c r="H16" s="133" t="s">
        <v>84</v>
      </c>
      <c r="J16" s="22"/>
      <c r="K16" s="123"/>
    </row>
    <row r="17" spans="2:11" s="20" customFormat="1" ht="15" customHeight="1" x14ac:dyDescent="0.2">
      <c r="B17" s="34" t="s">
        <v>10</v>
      </c>
      <c r="C17" s="35" t="s">
        <v>28</v>
      </c>
      <c r="D17" s="313"/>
      <c r="E17" s="312"/>
      <c r="F17" s="95"/>
      <c r="H17" s="126"/>
      <c r="I17" s="22"/>
      <c r="J17" s="22"/>
      <c r="K17" s="123"/>
    </row>
    <row r="18" spans="2:11" s="20" customFormat="1" ht="15" customHeight="1" x14ac:dyDescent="0.2">
      <c r="B18" s="34" t="s">
        <v>11</v>
      </c>
      <c r="C18" s="35" t="s">
        <v>29</v>
      </c>
      <c r="D18" s="313"/>
      <c r="E18" s="312"/>
      <c r="F18" s="94"/>
      <c r="H18" s="126"/>
      <c r="I18" s="22"/>
      <c r="J18" s="22"/>
      <c r="K18" s="123"/>
    </row>
    <row r="19" spans="2:11" s="20" customFormat="1" ht="15" customHeight="1" x14ac:dyDescent="0.2">
      <c r="B19" s="34" t="s">
        <v>12</v>
      </c>
      <c r="C19" s="35" t="s">
        <v>30</v>
      </c>
      <c r="D19" s="313"/>
      <c r="E19" s="312"/>
      <c r="F19" s="94"/>
      <c r="H19" s="126"/>
      <c r="I19" s="22"/>
      <c r="J19" s="22"/>
      <c r="K19" s="22"/>
    </row>
    <row r="20" spans="2:11" s="20" customFormat="1" ht="15" customHeight="1" x14ac:dyDescent="0.2">
      <c r="B20" s="34" t="s">
        <v>13</v>
      </c>
      <c r="C20" s="35" t="s">
        <v>31</v>
      </c>
      <c r="D20" s="310"/>
      <c r="E20" s="312"/>
      <c r="F20" s="94"/>
      <c r="H20" s="126"/>
      <c r="I20" s="22"/>
      <c r="J20" s="22"/>
      <c r="K20" s="22"/>
    </row>
    <row r="21" spans="2:11" s="20" customFormat="1" ht="15" customHeight="1" x14ac:dyDescent="0.2">
      <c r="B21" s="34" t="s">
        <v>14</v>
      </c>
      <c r="C21" s="35" t="s">
        <v>32</v>
      </c>
      <c r="D21" s="310"/>
      <c r="E21" s="312"/>
      <c r="F21" s="94"/>
      <c r="H21" s="126"/>
      <c r="I21" s="22"/>
      <c r="J21" s="22"/>
      <c r="K21" s="22"/>
    </row>
    <row r="22" spans="2:11" s="20" customFormat="1" ht="15" customHeight="1" x14ac:dyDescent="0.2">
      <c r="B22" s="34" t="s">
        <v>15</v>
      </c>
      <c r="C22" s="35" t="s">
        <v>33</v>
      </c>
      <c r="D22" s="310"/>
      <c r="E22" s="312"/>
      <c r="F22" s="94"/>
      <c r="H22" s="126"/>
      <c r="I22" s="22"/>
      <c r="J22" s="22"/>
      <c r="K22" s="22"/>
    </row>
    <row r="23" spans="2:11" s="20" customFormat="1" ht="15" customHeight="1" x14ac:dyDescent="0.2">
      <c r="B23" s="34" t="s">
        <v>16</v>
      </c>
      <c r="C23" s="35" t="s">
        <v>34</v>
      </c>
      <c r="D23" s="310"/>
      <c r="E23" s="312"/>
      <c r="F23" s="94"/>
      <c r="H23" s="126"/>
      <c r="I23" s="22"/>
      <c r="J23" s="22"/>
      <c r="K23" s="22"/>
    </row>
    <row r="24" spans="2:11" s="20" customFormat="1" ht="15" customHeight="1" x14ac:dyDescent="0.2">
      <c r="B24" s="34" t="s">
        <v>17</v>
      </c>
      <c r="C24" s="35" t="s">
        <v>35</v>
      </c>
      <c r="D24" s="310"/>
      <c r="E24" s="312"/>
      <c r="F24" s="94"/>
      <c r="H24" s="126"/>
      <c r="I24" s="22"/>
      <c r="J24" s="22"/>
      <c r="K24" s="22"/>
    </row>
    <row r="25" spans="2:11" s="20" customFormat="1" ht="15" customHeight="1" x14ac:dyDescent="0.2">
      <c r="B25" s="34" t="s">
        <v>18</v>
      </c>
      <c r="C25" s="35" t="s">
        <v>36</v>
      </c>
      <c r="D25" s="310"/>
      <c r="E25" s="312"/>
      <c r="F25" s="92"/>
      <c r="H25" s="126"/>
      <c r="I25" s="22"/>
      <c r="J25" s="22"/>
      <c r="K25" s="22"/>
    </row>
    <row r="26" spans="2:11" s="20" customFormat="1" ht="15" customHeight="1" thickBot="1" x14ac:dyDescent="0.25">
      <c r="B26" s="143" t="s">
        <v>19</v>
      </c>
      <c r="C26" s="144" t="s">
        <v>37</v>
      </c>
      <c r="D26" s="314"/>
      <c r="E26" s="315"/>
      <c r="F26" s="92"/>
      <c r="H26" s="126"/>
      <c r="I26" s="22"/>
      <c r="J26" s="22"/>
      <c r="K26" s="22"/>
    </row>
    <row r="27" spans="2:11" s="20" customFormat="1" ht="13.5" thickBot="1" x14ac:dyDescent="0.25">
      <c r="B27" s="60"/>
      <c r="C27" s="131" t="str">
        <f>IF('1. Total PFAS Calculator'!D24='1. Total PFAS Calculator'!K19,H15,H16)</f>
        <v>Total Post-TOPs PFASs (ng/L):</v>
      </c>
      <c r="D27" s="145">
        <f>SUM(D9:D26)</f>
        <v>0</v>
      </c>
      <c r="E27" s="146">
        <f>SUM(E9:E26)</f>
        <v>0</v>
      </c>
      <c r="F27" s="96"/>
      <c r="H27" s="126"/>
      <c r="I27" s="22"/>
      <c r="J27" s="22"/>
      <c r="K27" s="22"/>
    </row>
    <row r="28" spans="2:11" s="20" customFormat="1" ht="13.5" thickTop="1" x14ac:dyDescent="0.2">
      <c r="B28" s="36"/>
      <c r="C28" s="19"/>
      <c r="D28" s="56"/>
      <c r="E28" s="57"/>
      <c r="F28" s="57"/>
      <c r="H28" s="126"/>
      <c r="I28" s="22"/>
      <c r="J28" s="22"/>
      <c r="K28" s="22"/>
    </row>
    <row r="29" spans="2:11" s="40" customFormat="1" ht="33.950000000000003" customHeight="1" x14ac:dyDescent="0.2">
      <c r="B29" s="368" t="s">
        <v>178</v>
      </c>
      <c r="C29" s="368"/>
      <c r="D29" s="368"/>
      <c r="E29" s="368"/>
      <c r="F29" s="47"/>
      <c r="K29" s="55"/>
    </row>
    <row r="30" spans="2:11" s="20" customFormat="1" x14ac:dyDescent="0.2">
      <c r="B30" s="36"/>
      <c r="C30" s="19"/>
      <c r="D30" s="56"/>
      <c r="E30" s="57"/>
      <c r="F30" s="57"/>
      <c r="H30" s="126"/>
      <c r="I30" s="22"/>
      <c r="J30" s="22"/>
      <c r="K30" s="22"/>
    </row>
    <row r="31" spans="2:11" s="20" customFormat="1" x14ac:dyDescent="0.2">
      <c r="B31" s="39" t="s">
        <v>0</v>
      </c>
      <c r="C31" s="19"/>
      <c r="D31" s="37"/>
      <c r="E31" s="59"/>
      <c r="F31" s="59"/>
      <c r="H31" s="126"/>
      <c r="I31" s="22"/>
      <c r="J31" s="22"/>
      <c r="K31" s="22"/>
    </row>
    <row r="32" spans="2:11" s="40" customFormat="1" ht="60" customHeight="1" x14ac:dyDescent="0.2">
      <c r="B32" s="368" t="s">
        <v>159</v>
      </c>
      <c r="C32" s="369"/>
      <c r="D32" s="369"/>
      <c r="E32" s="369"/>
      <c r="F32" s="46"/>
      <c r="K32" s="55"/>
    </row>
    <row r="33" spans="2:5" ht="30" customHeight="1" x14ac:dyDescent="0.2">
      <c r="B33" s="368" t="s">
        <v>149</v>
      </c>
      <c r="C33" s="368"/>
      <c r="D33" s="368"/>
      <c r="E33" s="368"/>
    </row>
    <row r="34" spans="2:5" ht="15" customHeight="1" x14ac:dyDescent="0.2">
      <c r="B34" s="47"/>
      <c r="C34" s="47"/>
      <c r="D34" s="47"/>
      <c r="E34" s="47"/>
    </row>
  </sheetData>
  <sheetProtection algorithmName="SHA-512" hashValue="je8u/tQjljUFJ6SOTtnG6B+nxyb6b4e02n2tQXUELhWraIqGfbhBb3JC+N2Z0kjXenP+y0f8rf/dvZxkb197Ig==" saltValue="s+PNB28ISfpZxqygYHdb9A==" spinCount="100000" sheet="1" objects="1" scenarios="1"/>
  <mergeCells count="7">
    <mergeCell ref="B2:E2"/>
    <mergeCell ref="B33:E33"/>
    <mergeCell ref="B29:E29"/>
    <mergeCell ref="B32:E32"/>
    <mergeCell ref="D7:E7"/>
    <mergeCell ref="B4:C4"/>
    <mergeCell ref="B5:C5"/>
  </mergeCells>
  <pageMargins left="0.7" right="0.7" top="0.75" bottom="0.75" header="0.3" footer="0.3"/>
  <pageSetup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D788B-ED54-4BF9-B11A-55541A8BBE81}">
  <sheetPr>
    <tabColor rgb="FF7030A0"/>
    <pageSetUpPr fitToPage="1"/>
  </sheetPr>
  <dimension ref="B3:L32"/>
  <sheetViews>
    <sheetView showGridLines="0" showRowColHeaders="0" workbookViewId="0">
      <selection activeCell="G9" sqref="G9"/>
    </sheetView>
  </sheetViews>
  <sheetFormatPr defaultRowHeight="12.75" x14ac:dyDescent="0.2"/>
  <cols>
    <col min="1" max="1" width="6.85546875" customWidth="1"/>
    <col min="2" max="2" width="15.5703125" customWidth="1"/>
    <col min="3" max="3" width="30.5703125" customWidth="1"/>
    <col min="4" max="9" width="15.5703125" style="1" customWidth="1"/>
    <col min="11" max="11" width="12.85546875" customWidth="1"/>
  </cols>
  <sheetData>
    <row r="3" spans="2:12" x14ac:dyDescent="0.2">
      <c r="D3" s="6" t="s">
        <v>106</v>
      </c>
      <c r="E3" s="6"/>
      <c r="F3" s="6"/>
    </row>
    <row r="4" spans="2:12" ht="13.5" thickBot="1" x14ac:dyDescent="0.25"/>
    <row r="5" spans="2:12" ht="15" customHeight="1" thickTop="1" thickBot="1" x14ac:dyDescent="0.25">
      <c r="D5" s="379" t="s">
        <v>109</v>
      </c>
      <c r="E5" s="380"/>
      <c r="F5" s="381"/>
      <c r="G5" s="376" t="s">
        <v>163</v>
      </c>
      <c r="H5" s="377"/>
      <c r="I5" s="378"/>
    </row>
    <row r="6" spans="2:12" ht="39.75" thickTop="1" thickBot="1" x14ac:dyDescent="0.25">
      <c r="B6" s="98" t="s">
        <v>111</v>
      </c>
      <c r="C6" s="99" t="s">
        <v>112</v>
      </c>
      <c r="D6" s="194" t="s">
        <v>161</v>
      </c>
      <c r="E6" s="195" t="s">
        <v>100</v>
      </c>
      <c r="F6" s="196" t="s">
        <v>101</v>
      </c>
      <c r="G6" s="197" t="s">
        <v>162</v>
      </c>
      <c r="H6" s="198" t="s">
        <v>164</v>
      </c>
      <c r="I6" s="199" t="s">
        <v>165</v>
      </c>
    </row>
    <row r="7" spans="2:12" ht="15" customHeight="1" x14ac:dyDescent="0.2">
      <c r="B7" s="103" t="s">
        <v>4</v>
      </c>
      <c r="C7" s="104" t="s">
        <v>23</v>
      </c>
      <c r="D7" s="200">
        <v>7344.6327683615809</v>
      </c>
      <c r="E7" s="201">
        <v>127000000</v>
      </c>
      <c r="F7" s="202">
        <v>127000000</v>
      </c>
      <c r="G7" s="337">
        <v>16434.824176431488</v>
      </c>
      <c r="H7" s="338">
        <v>146679.56705766186</v>
      </c>
      <c r="I7" s="203">
        <v>288599.74043194787</v>
      </c>
      <c r="K7" s="336"/>
      <c r="L7" s="136"/>
    </row>
    <row r="8" spans="2:12" ht="15" customHeight="1" x14ac:dyDescent="0.2">
      <c r="B8" s="103" t="s">
        <v>6</v>
      </c>
      <c r="C8" s="104" t="s">
        <v>63</v>
      </c>
      <c r="D8" s="204">
        <v>2538.4615384615381</v>
      </c>
      <c r="E8" s="205">
        <v>2538.4615384615381</v>
      </c>
      <c r="F8" s="168">
        <v>2538.4615384615381</v>
      </c>
      <c r="G8" s="206">
        <v>8344.2057013543308</v>
      </c>
      <c r="H8" s="207">
        <v>74475.141227059386</v>
      </c>
      <c r="I8" s="203">
        <v>150221.08843537414</v>
      </c>
      <c r="K8" s="336"/>
      <c r="L8" s="136"/>
    </row>
    <row r="9" spans="2:12" ht="15" customHeight="1" x14ac:dyDescent="0.2">
      <c r="B9" s="106" t="s">
        <v>5</v>
      </c>
      <c r="C9" s="107" t="s">
        <v>24</v>
      </c>
      <c r="D9" s="204">
        <v>7.6923076923076898</v>
      </c>
      <c r="E9" s="205">
        <v>10000</v>
      </c>
      <c r="F9" s="168">
        <v>10000</v>
      </c>
      <c r="G9" s="206">
        <v>25.285298441059901</v>
      </c>
      <c r="H9" s="207">
        <v>225.67895761042502</v>
      </c>
      <c r="I9" s="208">
        <v>453.45316961357099</v>
      </c>
      <c r="K9" s="336"/>
      <c r="L9" s="136"/>
    </row>
    <row r="10" spans="2:12" ht="15" customHeight="1" x14ac:dyDescent="0.2">
      <c r="B10" s="106" t="s">
        <v>6</v>
      </c>
      <c r="C10" s="109" t="s">
        <v>40</v>
      </c>
      <c r="D10" s="204">
        <v>38.461538461538474</v>
      </c>
      <c r="E10" s="205">
        <v>38.461538461538474</v>
      </c>
      <c r="F10" s="168">
        <v>38.461538461538474</v>
      </c>
      <c r="G10" s="206">
        <v>126.4273591114293</v>
      </c>
      <c r="H10" s="207">
        <v>1128.4112307130213</v>
      </c>
      <c r="I10" s="208">
        <v>2276.0770975056698</v>
      </c>
      <c r="K10" s="336"/>
      <c r="L10" s="136"/>
    </row>
    <row r="11" spans="2:12" ht="15" customHeight="1" x14ac:dyDescent="0.2">
      <c r="B11" s="106" t="s">
        <v>7</v>
      </c>
      <c r="C11" s="107" t="s">
        <v>25</v>
      </c>
      <c r="D11" s="204">
        <v>7.6923076923076925</v>
      </c>
      <c r="E11" s="205">
        <v>1100</v>
      </c>
      <c r="F11" s="168">
        <v>31000</v>
      </c>
      <c r="G11" s="206">
        <v>25.285443995509162</v>
      </c>
      <c r="H11" s="207">
        <v>225.68171834703264</v>
      </c>
      <c r="I11" s="208">
        <v>454.93166709593243</v>
      </c>
      <c r="K11" s="336"/>
      <c r="L11" s="136"/>
    </row>
    <row r="12" spans="2:12" ht="15" customHeight="1" x14ac:dyDescent="0.2">
      <c r="B12" s="106" t="s">
        <v>8</v>
      </c>
      <c r="C12" s="107" t="s">
        <v>26</v>
      </c>
      <c r="D12" s="204">
        <v>38.461538461538474</v>
      </c>
      <c r="E12" s="205">
        <v>38.461538461538474</v>
      </c>
      <c r="F12" s="168">
        <v>38.461538461538474</v>
      </c>
      <c r="G12" s="206">
        <v>126.4273591114293</v>
      </c>
      <c r="H12" s="207">
        <v>1128.4112307130213</v>
      </c>
      <c r="I12" s="208">
        <v>2276.0770975056698</v>
      </c>
      <c r="K12" s="336"/>
      <c r="L12" s="136"/>
    </row>
    <row r="13" spans="2:12" ht="15" customHeight="1" x14ac:dyDescent="0.2">
      <c r="B13" s="106" t="s">
        <v>65</v>
      </c>
      <c r="C13" s="107" t="s">
        <v>41</v>
      </c>
      <c r="D13" s="204">
        <v>513.19648093841647</v>
      </c>
      <c r="E13" s="205">
        <v>513.19648093841647</v>
      </c>
      <c r="F13" s="168">
        <v>513.19648093841647</v>
      </c>
      <c r="G13" s="206">
        <v>5037.6844612152217</v>
      </c>
      <c r="H13" s="207">
        <v>36600.912741910484</v>
      </c>
      <c r="I13" s="208">
        <v>112988.37336557455</v>
      </c>
      <c r="K13" s="336"/>
      <c r="L13" s="136"/>
    </row>
    <row r="14" spans="2:12" ht="15" customHeight="1" x14ac:dyDescent="0.2">
      <c r="B14" s="106" t="s">
        <v>9</v>
      </c>
      <c r="C14" s="107" t="s">
        <v>27</v>
      </c>
      <c r="D14" s="204">
        <v>14615.384615384617</v>
      </c>
      <c r="E14" s="205">
        <v>830000</v>
      </c>
      <c r="F14" s="168">
        <v>830000</v>
      </c>
      <c r="G14" s="206">
        <v>48041.58279245138</v>
      </c>
      <c r="H14" s="207">
        <v>428780.83492000279</v>
      </c>
      <c r="I14" s="208">
        <v>856685.85570140521</v>
      </c>
      <c r="K14" s="336"/>
      <c r="L14" s="136"/>
    </row>
    <row r="15" spans="2:12" ht="15" customHeight="1" x14ac:dyDescent="0.2">
      <c r="B15" s="106" t="s">
        <v>10</v>
      </c>
      <c r="C15" s="107" t="s">
        <v>28</v>
      </c>
      <c r="D15" s="204">
        <v>1538.4615384615383</v>
      </c>
      <c r="E15" s="205">
        <v>1538.4615384615383</v>
      </c>
      <c r="F15" s="168">
        <v>1538.4615384615383</v>
      </c>
      <c r="G15" s="206">
        <v>5057.0299660946039</v>
      </c>
      <c r="H15" s="207">
        <v>45135.227788967059</v>
      </c>
      <c r="I15" s="208">
        <v>90390.698692459642</v>
      </c>
      <c r="K15" s="336"/>
      <c r="L15" s="136"/>
    </row>
    <row r="16" spans="2:12" ht="15" customHeight="1" x14ac:dyDescent="0.2">
      <c r="B16" s="106" t="s">
        <v>11</v>
      </c>
      <c r="C16" s="107" t="s">
        <v>29</v>
      </c>
      <c r="D16" s="204">
        <v>1923.0769230769231</v>
      </c>
      <c r="E16" s="205">
        <v>6300000</v>
      </c>
      <c r="F16" s="168">
        <v>48000000</v>
      </c>
      <c r="G16" s="206">
        <v>6321.2874576182548</v>
      </c>
      <c r="H16" s="207">
        <v>56419.034736208829</v>
      </c>
      <c r="I16" s="208">
        <v>112988.37336557455</v>
      </c>
      <c r="K16" s="336"/>
      <c r="L16" s="136"/>
    </row>
    <row r="17" spans="2:12" ht="15" customHeight="1" x14ac:dyDescent="0.2">
      <c r="B17" s="106" t="s">
        <v>12</v>
      </c>
      <c r="C17" s="107" t="s">
        <v>30</v>
      </c>
      <c r="D17" s="204">
        <v>76.923076923076948</v>
      </c>
      <c r="E17" s="205">
        <v>76.923076923076948</v>
      </c>
      <c r="F17" s="168">
        <v>76.923076923076948</v>
      </c>
      <c r="G17" s="206">
        <v>252.85471822285859</v>
      </c>
      <c r="H17" s="207">
        <v>2256.8224614260425</v>
      </c>
      <c r="I17" s="208">
        <v>4552.1541950113397</v>
      </c>
      <c r="K17" s="336"/>
      <c r="L17" s="136"/>
    </row>
    <row r="18" spans="2:12" ht="15" customHeight="1" x14ac:dyDescent="0.2">
      <c r="B18" s="106" t="s">
        <v>13</v>
      </c>
      <c r="C18" s="107" t="s">
        <v>31</v>
      </c>
      <c r="D18" s="204">
        <v>11.538461538461538</v>
      </c>
      <c r="E18" s="205">
        <v>8300</v>
      </c>
      <c r="F18" s="168">
        <v>119000</v>
      </c>
      <c r="G18" s="206">
        <v>37.926970838246824</v>
      </c>
      <c r="H18" s="207">
        <v>338.49990962808232</v>
      </c>
      <c r="I18" s="208">
        <v>670.43116929740654</v>
      </c>
      <c r="K18" s="336"/>
      <c r="L18" s="136"/>
    </row>
    <row r="19" spans="2:12" ht="15" customHeight="1" x14ac:dyDescent="0.2">
      <c r="B19" s="106" t="s">
        <v>14</v>
      </c>
      <c r="C19" s="107" t="s">
        <v>32</v>
      </c>
      <c r="D19" s="204">
        <v>11.538461538461538</v>
      </c>
      <c r="E19" s="205">
        <v>8000</v>
      </c>
      <c r="F19" s="168">
        <v>8000</v>
      </c>
      <c r="G19" s="206">
        <v>37.928026611592529</v>
      </c>
      <c r="H19" s="207">
        <v>338.51993385705856</v>
      </c>
      <c r="I19" s="208">
        <v>680.98004149923361</v>
      </c>
      <c r="K19" s="336"/>
      <c r="L19" s="136"/>
    </row>
    <row r="20" spans="2:12" ht="15" customHeight="1" x14ac:dyDescent="0.2">
      <c r="B20" s="106" t="s">
        <v>15</v>
      </c>
      <c r="C20" s="107" t="s">
        <v>33</v>
      </c>
      <c r="D20" s="204">
        <v>7.6923076923076925</v>
      </c>
      <c r="E20" s="205">
        <v>10000</v>
      </c>
      <c r="F20" s="168">
        <v>10000</v>
      </c>
      <c r="G20" s="206">
        <v>25.285429294595264</v>
      </c>
      <c r="H20" s="207">
        <v>225.68143951263295</v>
      </c>
      <c r="I20" s="208">
        <v>454.78190292617006</v>
      </c>
      <c r="K20" s="336"/>
      <c r="L20" s="136"/>
    </row>
    <row r="21" spans="2:12" ht="15" customHeight="1" x14ac:dyDescent="0.2">
      <c r="B21" s="106" t="s">
        <v>16</v>
      </c>
      <c r="C21" s="107" t="s">
        <v>34</v>
      </c>
      <c r="D21" s="204">
        <v>19.230769230769237</v>
      </c>
      <c r="E21" s="205">
        <v>10000</v>
      </c>
      <c r="F21" s="168">
        <v>10000</v>
      </c>
      <c r="G21" s="206">
        <v>63.213679555714648</v>
      </c>
      <c r="H21" s="207">
        <v>564.20561535651063</v>
      </c>
      <c r="I21" s="208">
        <v>1138.0385487528349</v>
      </c>
      <c r="K21" s="336"/>
      <c r="L21" s="136"/>
    </row>
    <row r="22" spans="2:12" ht="15" customHeight="1" x14ac:dyDescent="0.2">
      <c r="B22" s="106" t="s">
        <v>17</v>
      </c>
      <c r="C22" s="107" t="s">
        <v>35</v>
      </c>
      <c r="D22" s="204">
        <v>25.769230769230766</v>
      </c>
      <c r="E22" s="205">
        <v>20000</v>
      </c>
      <c r="F22" s="168">
        <v>20000</v>
      </c>
      <c r="G22" s="206">
        <v>84.705728342417075</v>
      </c>
      <c r="H22" s="207">
        <v>756.02410143670159</v>
      </c>
      <c r="I22" s="208">
        <v>1518.8511239975139</v>
      </c>
      <c r="K22" s="336"/>
      <c r="L22" s="136"/>
    </row>
    <row r="23" spans="2:12" ht="15" customHeight="1" x14ac:dyDescent="0.2">
      <c r="B23" s="106" t="s">
        <v>18</v>
      </c>
      <c r="C23" s="107" t="s">
        <v>36</v>
      </c>
      <c r="D23" s="204">
        <v>25.769230769230766</v>
      </c>
      <c r="E23" s="205">
        <v>25.769230769230766</v>
      </c>
      <c r="F23" s="168">
        <v>25.769230769230766</v>
      </c>
      <c r="G23" s="206">
        <v>84.706330604657623</v>
      </c>
      <c r="H23" s="207">
        <v>756.03552457772423</v>
      </c>
      <c r="I23" s="208">
        <v>1524.9716553287981</v>
      </c>
      <c r="K23" s="336"/>
      <c r="L23" s="136"/>
    </row>
    <row r="24" spans="2:12" ht="15" customHeight="1" thickBot="1" x14ac:dyDescent="0.25">
      <c r="B24" s="218" t="s">
        <v>19</v>
      </c>
      <c r="C24" s="305" t="s">
        <v>37</v>
      </c>
      <c r="D24" s="209">
        <v>257.69230769230774</v>
      </c>
      <c r="E24" s="210">
        <v>257.69230769230774</v>
      </c>
      <c r="F24" s="211">
        <v>257.69230769230774</v>
      </c>
      <c r="G24" s="212">
        <v>847.06330604657603</v>
      </c>
      <c r="H24" s="213">
        <v>7560.3552457772412</v>
      </c>
      <c r="I24" s="214">
        <v>15249.716553287983</v>
      </c>
      <c r="K24" s="336"/>
      <c r="L24" s="136"/>
    </row>
    <row r="25" spans="2:12" ht="13.5" thickTop="1" x14ac:dyDescent="0.2">
      <c r="B25" s="179" t="s">
        <v>153</v>
      </c>
      <c r="C25" s="179"/>
      <c r="D25" s="179"/>
      <c r="E25" s="180"/>
      <c r="F25" s="180"/>
      <c r="G25" s="180"/>
    </row>
    <row r="26" spans="2:12" x14ac:dyDescent="0.2">
      <c r="B26" s="179" t="s">
        <v>154</v>
      </c>
      <c r="C26" s="179"/>
      <c r="D26" s="179"/>
      <c r="E26" s="180"/>
      <c r="F26" s="180"/>
      <c r="G26" s="180"/>
    </row>
    <row r="27" spans="2:12" x14ac:dyDescent="0.2">
      <c r="B27" s="180"/>
      <c r="C27" s="180"/>
      <c r="D27" s="180"/>
      <c r="E27" s="180"/>
      <c r="F27" s="180"/>
      <c r="G27" s="180"/>
    </row>
    <row r="28" spans="2:12" x14ac:dyDescent="0.2">
      <c r="B28" s="181" t="s">
        <v>88</v>
      </c>
      <c r="C28" s="181"/>
      <c r="D28" s="181"/>
      <c r="E28" s="180"/>
      <c r="F28" s="180"/>
      <c r="G28" s="180"/>
    </row>
    <row r="29" spans="2:12" ht="30" customHeight="1" x14ac:dyDescent="0.2">
      <c r="B29" s="382" t="s">
        <v>176</v>
      </c>
      <c r="C29" s="349"/>
      <c r="D29" s="349"/>
      <c r="E29" s="349"/>
      <c r="F29" s="349"/>
      <c r="G29" s="349"/>
      <c r="H29" s="349"/>
      <c r="I29" s="349"/>
      <c r="J29" s="124"/>
    </row>
    <row r="30" spans="2:12" x14ac:dyDescent="0.2">
      <c r="D30" s="55"/>
      <c r="E30" s="55"/>
      <c r="F30" s="55"/>
      <c r="G30" s="55"/>
      <c r="H30" s="55"/>
      <c r="I30" s="55"/>
    </row>
    <row r="31" spans="2:12" x14ac:dyDescent="0.2">
      <c r="D31" s="55"/>
      <c r="E31" s="55"/>
      <c r="F31" s="55"/>
      <c r="G31" s="55"/>
      <c r="H31" s="55"/>
      <c r="I31" s="55"/>
    </row>
    <row r="32" spans="2:12" x14ac:dyDescent="0.2">
      <c r="D32" s="55"/>
      <c r="E32" s="55"/>
      <c r="F32" s="55"/>
      <c r="G32" s="55"/>
      <c r="H32" s="55"/>
      <c r="I32" s="55"/>
    </row>
  </sheetData>
  <sheetProtection algorithmName="SHA-512" hashValue="eOFtH8A6xtLEueghDtjhNmbpY98i+NMMpdUCdmcKJVFOASKer/JF/ad9PIODbO8ERS/mZ9Py/5NYw18gEWnbJg==" saltValue="XnQzszZuAPE1adBZ76ZTmw==" spinCount="100000" sheet="1" objects="1" scenarios="1"/>
  <mergeCells count="3">
    <mergeCell ref="G5:I5"/>
    <mergeCell ref="D5:F5"/>
    <mergeCell ref="B29:I29"/>
  </mergeCells>
  <pageMargins left="0.7" right="0.7" top="0.75" bottom="0.75" header="0.3" footer="0.3"/>
  <pageSetup scale="8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98E6C-C432-47A1-BC3F-80EEEF64813E}">
  <sheetPr>
    <tabColor rgb="FF00FFFF"/>
    <pageSetUpPr fitToPage="1"/>
  </sheetPr>
  <dimension ref="B2:P40"/>
  <sheetViews>
    <sheetView topLeftCell="B1" workbookViewId="0">
      <selection activeCell="B4" sqref="B4"/>
    </sheetView>
  </sheetViews>
  <sheetFormatPr defaultRowHeight="12.75" x14ac:dyDescent="0.2"/>
  <cols>
    <col min="2" max="2" width="12.5703125" customWidth="1"/>
    <col min="3" max="3" width="30.5703125" customWidth="1"/>
    <col min="4" max="4" width="15.5703125" customWidth="1"/>
    <col min="5" max="5" width="8.5703125" customWidth="1"/>
    <col min="6" max="6" width="12.5703125" customWidth="1"/>
    <col min="7" max="12" width="13.5703125" customWidth="1"/>
    <col min="13" max="15" width="14.5703125" customWidth="1"/>
    <col min="16" max="16" width="9.85546875" customWidth="1"/>
    <col min="17" max="18" width="12.5703125" customWidth="1"/>
  </cols>
  <sheetData>
    <row r="2" spans="2:16" x14ac:dyDescent="0.2">
      <c r="F2" s="18"/>
    </row>
    <row r="4" spans="2:16" ht="16.5" thickBot="1" x14ac:dyDescent="0.3">
      <c r="B4" s="116" t="s">
        <v>144</v>
      </c>
    </row>
    <row r="5" spans="2:16" ht="14.25" thickTop="1" thickBot="1" x14ac:dyDescent="0.25">
      <c r="M5" s="384" t="s">
        <v>137</v>
      </c>
      <c r="N5" s="385"/>
      <c r="O5" s="5"/>
    </row>
    <row r="6" spans="2:16" s="20" customFormat="1" ht="54.6" customHeight="1" thickTop="1" thickBot="1" x14ac:dyDescent="0.25">
      <c r="B6" s="98" t="s">
        <v>71</v>
      </c>
      <c r="C6" s="99" t="s">
        <v>72</v>
      </c>
      <c r="D6" s="100" t="s">
        <v>66</v>
      </c>
      <c r="E6" s="298" t="s">
        <v>20</v>
      </c>
      <c r="F6" s="139" t="s">
        <v>89</v>
      </c>
      <c r="G6" s="101" t="s">
        <v>79</v>
      </c>
      <c r="H6" s="102" t="s">
        <v>81</v>
      </c>
      <c r="I6" s="249" t="s">
        <v>136</v>
      </c>
      <c r="J6" s="245" t="s">
        <v>115</v>
      </c>
      <c r="K6" s="271" t="s">
        <v>116</v>
      </c>
      <c r="L6" s="275" t="s">
        <v>167</v>
      </c>
      <c r="M6" s="114" t="s">
        <v>114</v>
      </c>
      <c r="N6" s="232" t="s">
        <v>171</v>
      </c>
      <c r="O6" s="252"/>
      <c r="P6" s="29" t="s">
        <v>61</v>
      </c>
    </row>
    <row r="7" spans="2:16" s="20" customFormat="1" ht="15" x14ac:dyDescent="0.2">
      <c r="B7" s="103" t="s">
        <v>4</v>
      </c>
      <c r="C7" s="104" t="s">
        <v>23</v>
      </c>
      <c r="D7" s="105" t="s">
        <v>43</v>
      </c>
      <c r="E7" s="299">
        <v>299.08999999999997</v>
      </c>
      <c r="F7" s="292">
        <f>IF('1. Total PFAS Calculator'!$D$27='1. Total PFAS Calculator'!$K$22,'3. PFAS Summary Action Levels'!G7,IF('1. Total PFAS Calculator'!$D$27='1. Total PFAS Calculator'!$K$23,'3. PFAS Summary Action Levels'!H7,'3. PFAS Summary Action Levels'!I7))</f>
        <v>16434.824176431488</v>
      </c>
      <c r="G7" s="97" t="str">
        <f>IF('1. Total PFAS Calculator'!$D$24='1. Total PFAS Calculator'!$K$19,"",IF('2. Sample Data Input'!D9="","",'2. Sample Data Input'!D9))</f>
        <v/>
      </c>
      <c r="H7" s="242" t="str">
        <f>IF('1. Total PFAS Calculator'!$D$24='1. Total PFAS Calculator'!$K$19,"",IF('2. Sample Data Input'!E9="","",'2. Sample Data Input'!E9))</f>
        <v/>
      </c>
      <c r="I7" s="250" t="str">
        <f>IF(H7="","",IF(AND(G7="",H7=""),"",IF(AND(G7="",H7&gt;0),H7,IF((H7-G7)&lt;0,"",(H7-G7)))))</f>
        <v/>
      </c>
      <c r="J7" s="255" t="str">
        <f>IF(G7="","",IF(G7=0,"",(G7/$G$25)))</f>
        <v/>
      </c>
      <c r="K7" s="272" t="str">
        <f>IF(I7="","",IF(AND(G7="",H7&gt;0),(I7/$I$25),IF((H7-G7)&lt;0,"",(I7/$I$25))))</f>
        <v/>
      </c>
      <c r="L7" s="276" t="str">
        <f>IF(H7="","",((P7*18.998)/E7)*H7)</f>
        <v/>
      </c>
      <c r="M7" s="236" t="str">
        <f>IF('1. Total PFAS Calculator'!$D$24='1. Total PFAS Calculator'!$K$19,"",IF(G7="","",IF('1. Total PFAS Calculator'!$D$24='1. Total PFAS Calculator'!$K$19,"",(G7/F7))))</f>
        <v/>
      </c>
      <c r="N7" s="257" t="str">
        <f>IF('1. Total PFAS Calculator'!$D$24='1. Total PFAS Calculator'!$K$19,"",IF(I7="","",IF('1. Total PFAS Calculator'!$D$24='1. Total PFAS Calculator'!$K$19,"",(I7/F7))))</f>
        <v/>
      </c>
      <c r="O7" s="137"/>
      <c r="P7" s="22">
        <v>9</v>
      </c>
    </row>
    <row r="8" spans="2:16" s="20" customFormat="1" ht="15" x14ac:dyDescent="0.2">
      <c r="B8" s="103" t="s">
        <v>6</v>
      </c>
      <c r="C8" s="104" t="s">
        <v>63</v>
      </c>
      <c r="D8" s="105" t="s">
        <v>62</v>
      </c>
      <c r="E8" s="300">
        <v>349</v>
      </c>
      <c r="F8" s="293">
        <f>IF('1. Total PFAS Calculator'!$D$27='1. Total PFAS Calculator'!$K$22,'3. PFAS Summary Action Levels'!G8,IF('1. Total PFAS Calculator'!$D$27='1. Total PFAS Calculator'!$K$23,'3. PFAS Summary Action Levels'!H8,'3. PFAS Summary Action Levels'!I8))</f>
        <v>8344.2057013543308</v>
      </c>
      <c r="G8" s="97" t="str">
        <f>IF('1. Total PFAS Calculator'!$D$24='1. Total PFAS Calculator'!$K$19,"",IF('2. Sample Data Input'!D10="","",'2. Sample Data Input'!D10))</f>
        <v/>
      </c>
      <c r="H8" s="258" t="str">
        <f>IF('1. Total PFAS Calculator'!$D$24='1. Total PFAS Calculator'!$K$19,"",IF('2. Sample Data Input'!E10="","",'2. Sample Data Input'!E10))</f>
        <v/>
      </c>
      <c r="I8" s="244" t="str">
        <f t="shared" ref="I8:I24" si="0">IF(H8="","",IF(AND(G8="",H8=""),"",IF(AND(G8="",H8&gt;0),H8,IF((H8-G8)&lt;0,"",(H8-G8)))))</f>
        <v/>
      </c>
      <c r="J8" s="256" t="str">
        <f t="shared" ref="J8:J24" si="1">IF(G8="","",IF(G8=0,"",(G8/$G$25)))</f>
        <v/>
      </c>
      <c r="K8" s="273" t="str">
        <f t="shared" ref="K8:K24" si="2">IF(I8="","",IF(AND(G8="",H8&gt;0),(I8/$I$25),IF((H8-G8)&lt;0,"",(I8/$I$25))))</f>
        <v/>
      </c>
      <c r="L8" s="277" t="str">
        <f t="shared" ref="L8:L24" si="3">IF(H8="","",((P8*18.998)/E8)*H8)</f>
        <v/>
      </c>
      <c r="M8" s="237" t="str">
        <f>IF('1. Total PFAS Calculator'!$D$24='1. Total PFAS Calculator'!$K$19,"",IF(G8="","",IF('1. Total PFAS Calculator'!$D$24='1. Total PFAS Calculator'!$K$19,"",(G8/F8))))</f>
        <v/>
      </c>
      <c r="N8" s="243" t="str">
        <f>IF('1. Total PFAS Calculator'!$D$24='1. Total PFAS Calculator'!$K$19,"",IF(I8="","",IF('1. Total PFAS Calculator'!$D$24='1. Total PFAS Calculator'!$K$19,"",(I8/F8))))</f>
        <v/>
      </c>
      <c r="O8" s="137"/>
      <c r="P8" s="22">
        <v>15</v>
      </c>
    </row>
    <row r="9" spans="2:16" s="20" customFormat="1" ht="15" x14ac:dyDescent="0.2">
      <c r="B9" s="106" t="s">
        <v>5</v>
      </c>
      <c r="C9" s="107" t="s">
        <v>24</v>
      </c>
      <c r="D9" s="108" t="s">
        <v>44</v>
      </c>
      <c r="E9" s="300">
        <v>399.1</v>
      </c>
      <c r="F9" s="293">
        <f>IF('1. Total PFAS Calculator'!$D$27='1. Total PFAS Calculator'!$K$22,'3. PFAS Summary Action Levels'!G9,IF('1. Total PFAS Calculator'!$D$27='1. Total PFAS Calculator'!$K$23,'3. PFAS Summary Action Levels'!H9,'3. PFAS Summary Action Levels'!I9))</f>
        <v>25.285298441059901</v>
      </c>
      <c r="G9" s="97" t="str">
        <f>IF('1. Total PFAS Calculator'!$D$24='1. Total PFAS Calculator'!$K$19,"",IF('2. Sample Data Input'!D11="","",'2. Sample Data Input'!D11))</f>
        <v/>
      </c>
      <c r="H9" s="258" t="str">
        <f>IF('1. Total PFAS Calculator'!$D$24='1. Total PFAS Calculator'!$K$19,"",IF('2. Sample Data Input'!E11="","",'2. Sample Data Input'!E11))</f>
        <v/>
      </c>
      <c r="I9" s="244" t="str">
        <f t="shared" si="0"/>
        <v/>
      </c>
      <c r="J9" s="256" t="str">
        <f t="shared" si="1"/>
        <v/>
      </c>
      <c r="K9" s="273" t="str">
        <f t="shared" si="2"/>
        <v/>
      </c>
      <c r="L9" s="277" t="str">
        <f t="shared" si="3"/>
        <v/>
      </c>
      <c r="M9" s="237" t="str">
        <f>IF('1. Total PFAS Calculator'!$D$24='1. Total PFAS Calculator'!$K$19,"",IF(G9="","",IF('1. Total PFAS Calculator'!$D$24='1. Total PFAS Calculator'!$K$19,"",(G9/F9))))</f>
        <v/>
      </c>
      <c r="N9" s="243" t="str">
        <f>IF('1. Total PFAS Calculator'!$D$24='1. Total PFAS Calculator'!$K$19,"",IF(I9="","",IF('1. Total PFAS Calculator'!$D$24='1. Total PFAS Calculator'!$K$19,"",(I9/F9))))</f>
        <v/>
      </c>
      <c r="O9" s="137"/>
      <c r="P9" s="22">
        <v>13</v>
      </c>
    </row>
    <row r="10" spans="2:16" s="20" customFormat="1" ht="15" x14ac:dyDescent="0.2">
      <c r="B10" s="106" t="s">
        <v>6</v>
      </c>
      <c r="C10" s="109" t="s">
        <v>40</v>
      </c>
      <c r="D10" s="110" t="s">
        <v>45</v>
      </c>
      <c r="E10" s="300">
        <v>449.11</v>
      </c>
      <c r="F10" s="293">
        <f>IF('1. Total PFAS Calculator'!$D$27='1. Total PFAS Calculator'!$K$22,'3. PFAS Summary Action Levels'!G10,IF('1. Total PFAS Calculator'!$D$27='1. Total PFAS Calculator'!$K$23,'3. PFAS Summary Action Levels'!H10,'3. PFAS Summary Action Levels'!I10))</f>
        <v>126.4273591114293</v>
      </c>
      <c r="G10" s="97" t="str">
        <f>IF('1. Total PFAS Calculator'!$D$24='1. Total PFAS Calculator'!$K$19,"",IF('2. Sample Data Input'!D12="","",'2. Sample Data Input'!D12))</f>
        <v/>
      </c>
      <c r="H10" s="258" t="str">
        <f>IF('1. Total PFAS Calculator'!$D$24='1. Total PFAS Calculator'!$K$19,"",IF('2. Sample Data Input'!E12="","",'2. Sample Data Input'!E12))</f>
        <v/>
      </c>
      <c r="I10" s="244" t="str">
        <f t="shared" si="0"/>
        <v/>
      </c>
      <c r="J10" s="256" t="str">
        <f t="shared" si="1"/>
        <v/>
      </c>
      <c r="K10" s="273" t="str">
        <f t="shared" si="2"/>
        <v/>
      </c>
      <c r="L10" s="277" t="str">
        <f t="shared" si="3"/>
        <v/>
      </c>
      <c r="M10" s="237" t="str">
        <f>IF('1. Total PFAS Calculator'!$D$24='1. Total PFAS Calculator'!$K$19,"",IF(G10="","",IF('1. Total PFAS Calculator'!$D$24='1. Total PFAS Calculator'!$K$19,"",(G10/F10))))</f>
        <v/>
      </c>
      <c r="N10" s="243" t="str">
        <f>IF('1. Total PFAS Calculator'!$D$24='1. Total PFAS Calculator'!$K$19,"",IF(I10="","",IF('1. Total PFAS Calculator'!$D$24='1. Total PFAS Calculator'!$K$19,"",(I10/F10))))</f>
        <v/>
      </c>
      <c r="O10" s="137"/>
      <c r="P10" s="22">
        <v>15</v>
      </c>
    </row>
    <row r="11" spans="2:16" s="20" customFormat="1" ht="15" x14ac:dyDescent="0.2">
      <c r="B11" s="106" t="s">
        <v>7</v>
      </c>
      <c r="C11" s="107" t="s">
        <v>25</v>
      </c>
      <c r="D11" s="108" t="s">
        <v>46</v>
      </c>
      <c r="E11" s="300">
        <v>499.12</v>
      </c>
      <c r="F11" s="293">
        <f>IF('1. Total PFAS Calculator'!$D$27='1. Total PFAS Calculator'!$K$22,'3. PFAS Summary Action Levels'!G11,IF('1. Total PFAS Calculator'!$D$27='1. Total PFAS Calculator'!$K$23,'3. PFAS Summary Action Levels'!H11,'3. PFAS Summary Action Levels'!I11))</f>
        <v>25.285443995509162</v>
      </c>
      <c r="G11" s="97" t="str">
        <f>IF('1. Total PFAS Calculator'!$D$24='1. Total PFAS Calculator'!$K$19,"",IF('2. Sample Data Input'!D13="","",'2. Sample Data Input'!D13))</f>
        <v/>
      </c>
      <c r="H11" s="258" t="str">
        <f>IF('1. Total PFAS Calculator'!$D$24='1. Total PFAS Calculator'!$K$19,"",IF('2. Sample Data Input'!E13="","",'2. Sample Data Input'!E13))</f>
        <v/>
      </c>
      <c r="I11" s="244" t="str">
        <f t="shared" si="0"/>
        <v/>
      </c>
      <c r="J11" s="256" t="str">
        <f t="shared" si="1"/>
        <v/>
      </c>
      <c r="K11" s="273" t="str">
        <f t="shared" si="2"/>
        <v/>
      </c>
      <c r="L11" s="277" t="str">
        <f t="shared" si="3"/>
        <v/>
      </c>
      <c r="M11" s="237" t="str">
        <f>IF('1. Total PFAS Calculator'!$D$24='1. Total PFAS Calculator'!$K$19,"",IF(G11="","",IF('1. Total PFAS Calculator'!$D$24='1. Total PFAS Calculator'!$K$19,"",(G11/F11))))</f>
        <v/>
      </c>
      <c r="N11" s="243" t="str">
        <f>IF('1. Total PFAS Calculator'!$D$24='1. Total PFAS Calculator'!$K$19,"",IF(I11="","",IF('1. Total PFAS Calculator'!$D$24='1. Total PFAS Calculator'!$K$19,"",(I11/F11))))</f>
        <v/>
      </c>
      <c r="O11" s="137"/>
      <c r="P11" s="22">
        <v>17</v>
      </c>
    </row>
    <row r="12" spans="2:16" s="20" customFormat="1" ht="15" customHeight="1" x14ac:dyDescent="0.2">
      <c r="B12" s="106" t="s">
        <v>8</v>
      </c>
      <c r="C12" s="107" t="s">
        <v>26</v>
      </c>
      <c r="D12" s="108" t="s">
        <v>47</v>
      </c>
      <c r="E12" s="300">
        <v>599.13</v>
      </c>
      <c r="F12" s="293">
        <f>IF('1. Total PFAS Calculator'!$D$27='1. Total PFAS Calculator'!$K$22,'3. PFAS Summary Action Levels'!G12,IF('1. Total PFAS Calculator'!$D$27='1. Total PFAS Calculator'!$K$23,'3. PFAS Summary Action Levels'!H12,'3. PFAS Summary Action Levels'!I12))</f>
        <v>126.4273591114293</v>
      </c>
      <c r="G12" s="97" t="str">
        <f>IF('1. Total PFAS Calculator'!$D$24='1. Total PFAS Calculator'!$K$19,"",IF('2. Sample Data Input'!D14="","",'2. Sample Data Input'!D14))</f>
        <v/>
      </c>
      <c r="H12" s="258" t="str">
        <f>IF('1. Total PFAS Calculator'!$D$24='1. Total PFAS Calculator'!$K$19,"",IF('2. Sample Data Input'!E14="","",'2. Sample Data Input'!E14))</f>
        <v/>
      </c>
      <c r="I12" s="244" t="str">
        <f t="shared" si="0"/>
        <v/>
      </c>
      <c r="J12" s="256" t="str">
        <f t="shared" si="1"/>
        <v/>
      </c>
      <c r="K12" s="273" t="str">
        <f t="shared" si="2"/>
        <v/>
      </c>
      <c r="L12" s="277" t="str">
        <f t="shared" si="3"/>
        <v/>
      </c>
      <c r="M12" s="237" t="str">
        <f>IF('1. Total PFAS Calculator'!$D$24='1. Total PFAS Calculator'!$K$19,"",IF(G12="","",IF('1. Total PFAS Calculator'!$D$24='1. Total PFAS Calculator'!$K$19,"",(G12/F12))))</f>
        <v/>
      </c>
      <c r="N12" s="243" t="str">
        <f>IF('1. Total PFAS Calculator'!$D$24='1. Total PFAS Calculator'!$K$19,"",IF(I12="","",IF('1. Total PFAS Calculator'!$D$24='1. Total PFAS Calculator'!$K$19,"",(I12/F12))))</f>
        <v/>
      </c>
      <c r="O12" s="137"/>
      <c r="P12" s="22">
        <v>21</v>
      </c>
    </row>
    <row r="13" spans="2:16" s="20" customFormat="1" ht="15" customHeight="1" x14ac:dyDescent="0.2">
      <c r="B13" s="106" t="s">
        <v>65</v>
      </c>
      <c r="C13" s="107" t="s">
        <v>41</v>
      </c>
      <c r="D13" s="108" t="s">
        <v>50</v>
      </c>
      <c r="E13" s="300">
        <v>164</v>
      </c>
      <c r="F13" s="293">
        <f>IF('1. Total PFAS Calculator'!$D$27='1. Total PFAS Calculator'!$K$22,'3. PFAS Summary Action Levels'!G13,IF('1. Total PFAS Calculator'!$D$27='1. Total PFAS Calculator'!$K$23,'3. PFAS Summary Action Levels'!H13,'3. PFAS Summary Action Levels'!I13))</f>
        <v>5037.6844612152217</v>
      </c>
      <c r="G13" s="97" t="str">
        <f>IF('1. Total PFAS Calculator'!$D$24='1. Total PFAS Calculator'!$K$19,"",IF('2. Sample Data Input'!D15="","",'2. Sample Data Input'!D15))</f>
        <v/>
      </c>
      <c r="H13" s="258" t="str">
        <f>IF('1. Total PFAS Calculator'!$D$24='1. Total PFAS Calculator'!$K$19,"",IF('2. Sample Data Input'!E15="","",'2. Sample Data Input'!E15))</f>
        <v/>
      </c>
      <c r="I13" s="244" t="str">
        <f t="shared" si="0"/>
        <v/>
      </c>
      <c r="J13" s="256" t="str">
        <f t="shared" si="1"/>
        <v/>
      </c>
      <c r="K13" s="273" t="str">
        <f t="shared" si="2"/>
        <v/>
      </c>
      <c r="L13" s="277" t="str">
        <f t="shared" si="3"/>
        <v/>
      </c>
      <c r="M13" s="237" t="str">
        <f>IF('1. Total PFAS Calculator'!$D$24='1. Total PFAS Calculator'!$K$19,"",IF(G13="","",IF('1. Total PFAS Calculator'!$D$24='1. Total PFAS Calculator'!$K$19,"",(G13/F13))))</f>
        <v/>
      </c>
      <c r="N13" s="243" t="str">
        <f>IF('1. Total PFAS Calculator'!$D$24='1. Total PFAS Calculator'!$K$19,"",IF(I13="","",IF('1. Total PFAS Calculator'!$D$24='1. Total PFAS Calculator'!$K$19,"",(I13/F13))))</f>
        <v/>
      </c>
      <c r="O13" s="137"/>
      <c r="P13" s="22">
        <v>5</v>
      </c>
    </row>
    <row r="14" spans="2:16" s="20" customFormat="1" ht="15" customHeight="1" x14ac:dyDescent="0.2">
      <c r="B14" s="106" t="s">
        <v>9</v>
      </c>
      <c r="C14" s="107" t="s">
        <v>27</v>
      </c>
      <c r="D14" s="108" t="s">
        <v>48</v>
      </c>
      <c r="E14" s="300">
        <v>213.03100000000001</v>
      </c>
      <c r="F14" s="293">
        <f>IF('1. Total PFAS Calculator'!$D$27='1. Total PFAS Calculator'!$K$22,'3. PFAS Summary Action Levels'!G14,IF('1. Total PFAS Calculator'!$D$27='1. Total PFAS Calculator'!$K$23,'3. PFAS Summary Action Levels'!H14,'3. PFAS Summary Action Levels'!I14))</f>
        <v>48041.58279245138</v>
      </c>
      <c r="G14" s="97" t="str">
        <f>IF('1. Total PFAS Calculator'!$D$24='1. Total PFAS Calculator'!$K$19,"",IF('2. Sample Data Input'!D16="","",'2. Sample Data Input'!D16))</f>
        <v/>
      </c>
      <c r="H14" s="258" t="str">
        <f>IF('1. Total PFAS Calculator'!$D$24='1. Total PFAS Calculator'!$K$19,"",IF('2. Sample Data Input'!E16="","",'2. Sample Data Input'!E16))</f>
        <v/>
      </c>
      <c r="I14" s="244" t="str">
        <f t="shared" si="0"/>
        <v/>
      </c>
      <c r="J14" s="256" t="str">
        <f t="shared" si="1"/>
        <v/>
      </c>
      <c r="K14" s="273" t="str">
        <f t="shared" si="2"/>
        <v/>
      </c>
      <c r="L14" s="277" t="str">
        <f t="shared" si="3"/>
        <v/>
      </c>
      <c r="M14" s="237" t="str">
        <f>IF('1. Total PFAS Calculator'!$D$24='1. Total PFAS Calculator'!$K$19,"",IF(G14="","",IF('1. Total PFAS Calculator'!$D$24='1. Total PFAS Calculator'!$K$19,"",(G14/F14))))</f>
        <v/>
      </c>
      <c r="N14" s="243" t="str">
        <f>IF('1. Total PFAS Calculator'!$D$24='1. Total PFAS Calculator'!$K$19,"",IF(I14="","",IF('1. Total PFAS Calculator'!$D$24='1. Total PFAS Calculator'!$K$19,"",(I14/F14))))</f>
        <v/>
      </c>
      <c r="O14" s="137"/>
      <c r="P14" s="22">
        <v>7</v>
      </c>
    </row>
    <row r="15" spans="2:16" s="20" customFormat="1" ht="15" customHeight="1" x14ac:dyDescent="0.2">
      <c r="B15" s="106" t="s">
        <v>10</v>
      </c>
      <c r="C15" s="107" t="s">
        <v>28</v>
      </c>
      <c r="D15" s="108" t="s">
        <v>49</v>
      </c>
      <c r="E15" s="300">
        <v>263.03899999999999</v>
      </c>
      <c r="F15" s="293">
        <f>IF('1. Total PFAS Calculator'!$D$27='1. Total PFAS Calculator'!$K$22,'3. PFAS Summary Action Levels'!G15,IF('1. Total PFAS Calculator'!$D$27='1. Total PFAS Calculator'!$K$23,'3. PFAS Summary Action Levels'!H15,'3. PFAS Summary Action Levels'!I15))</f>
        <v>5057.0299660946039</v>
      </c>
      <c r="G15" s="97" t="str">
        <f>IF('1. Total PFAS Calculator'!$D$24='1. Total PFAS Calculator'!$K$19,"",IF('2. Sample Data Input'!D17="","",'2. Sample Data Input'!D17))</f>
        <v/>
      </c>
      <c r="H15" s="258" t="str">
        <f>IF('1. Total PFAS Calculator'!$D$24='1. Total PFAS Calculator'!$K$19,"",IF('2. Sample Data Input'!E17="","",'2. Sample Data Input'!E17))</f>
        <v/>
      </c>
      <c r="I15" s="244" t="str">
        <f t="shared" si="0"/>
        <v/>
      </c>
      <c r="J15" s="256" t="str">
        <f t="shared" si="1"/>
        <v/>
      </c>
      <c r="K15" s="273" t="str">
        <f t="shared" si="2"/>
        <v/>
      </c>
      <c r="L15" s="277" t="str">
        <f t="shared" si="3"/>
        <v/>
      </c>
      <c r="M15" s="237" t="str">
        <f>IF('1. Total PFAS Calculator'!$D$24='1. Total PFAS Calculator'!$K$19,"",IF(G15="","",IF('1. Total PFAS Calculator'!$D$24='1. Total PFAS Calculator'!$K$19,"",(G15/F15))))</f>
        <v/>
      </c>
      <c r="N15" s="243" t="str">
        <f>IF('1. Total PFAS Calculator'!$D$24='1. Total PFAS Calculator'!$K$19,"",IF(I15="","",IF('1. Total PFAS Calculator'!$D$24='1. Total PFAS Calculator'!$K$19,"",(I15/F15))))</f>
        <v/>
      </c>
      <c r="O15" s="137"/>
      <c r="P15" s="22">
        <v>9</v>
      </c>
    </row>
    <row r="16" spans="2:16" s="20" customFormat="1" ht="15" customHeight="1" x14ac:dyDescent="0.2">
      <c r="B16" s="106" t="s">
        <v>11</v>
      </c>
      <c r="C16" s="107" t="s">
        <v>29</v>
      </c>
      <c r="D16" s="108" t="s">
        <v>51</v>
      </c>
      <c r="E16" s="300">
        <v>313.04700000000003</v>
      </c>
      <c r="F16" s="293">
        <f>IF('1. Total PFAS Calculator'!$D$27='1. Total PFAS Calculator'!$K$22,'3. PFAS Summary Action Levels'!G16,IF('1. Total PFAS Calculator'!$D$27='1. Total PFAS Calculator'!$K$23,'3. PFAS Summary Action Levels'!H16,'3. PFAS Summary Action Levels'!I16))</f>
        <v>6321.2874576182548</v>
      </c>
      <c r="G16" s="97" t="str">
        <f>IF('1. Total PFAS Calculator'!$D$24='1. Total PFAS Calculator'!$K$19,"",IF('2. Sample Data Input'!D18="","",'2. Sample Data Input'!D18))</f>
        <v/>
      </c>
      <c r="H16" s="258" t="str">
        <f>IF('1. Total PFAS Calculator'!$D$24='1. Total PFAS Calculator'!$K$19,"",IF('2. Sample Data Input'!E18="","",'2. Sample Data Input'!E18))</f>
        <v/>
      </c>
      <c r="I16" s="244" t="str">
        <f t="shared" si="0"/>
        <v/>
      </c>
      <c r="J16" s="256" t="str">
        <f t="shared" si="1"/>
        <v/>
      </c>
      <c r="K16" s="273" t="str">
        <f t="shared" si="2"/>
        <v/>
      </c>
      <c r="L16" s="277" t="str">
        <f t="shared" si="3"/>
        <v/>
      </c>
      <c r="M16" s="237" t="str">
        <f>IF('1. Total PFAS Calculator'!$D$24='1. Total PFAS Calculator'!$K$19,"",IF(G16="","",IF('1. Total PFAS Calculator'!$D$24='1. Total PFAS Calculator'!$K$19,"",(G16/F16))))</f>
        <v/>
      </c>
      <c r="N16" s="243" t="str">
        <f>IF('1. Total PFAS Calculator'!$D$24='1. Total PFAS Calculator'!$K$19,"",IF(I16="","",IF('1. Total PFAS Calculator'!$D$24='1. Total PFAS Calculator'!$K$19,"",(I16/F16))))</f>
        <v/>
      </c>
      <c r="O16" s="137"/>
      <c r="P16" s="22">
        <v>11</v>
      </c>
    </row>
    <row r="17" spans="2:16" s="20" customFormat="1" ht="15" customHeight="1" x14ac:dyDescent="0.2">
      <c r="B17" s="106" t="s">
        <v>12</v>
      </c>
      <c r="C17" s="107" t="s">
        <v>30</v>
      </c>
      <c r="D17" s="108" t="s">
        <v>52</v>
      </c>
      <c r="E17" s="300">
        <v>363.05500000000001</v>
      </c>
      <c r="F17" s="293">
        <f>IF('1. Total PFAS Calculator'!$D$27='1. Total PFAS Calculator'!$K$22,'3. PFAS Summary Action Levels'!G17,IF('1. Total PFAS Calculator'!$D$27='1. Total PFAS Calculator'!$K$23,'3. PFAS Summary Action Levels'!H17,'3. PFAS Summary Action Levels'!I17))</f>
        <v>252.85471822285859</v>
      </c>
      <c r="G17" s="97" t="str">
        <f>IF('1. Total PFAS Calculator'!$D$24='1. Total PFAS Calculator'!$K$19,"",IF('2. Sample Data Input'!D19="","",'2. Sample Data Input'!D19))</f>
        <v/>
      </c>
      <c r="H17" s="258" t="str">
        <f>IF('1. Total PFAS Calculator'!$D$24='1. Total PFAS Calculator'!$K$19,"",IF('2. Sample Data Input'!E19="","",'2. Sample Data Input'!E19))</f>
        <v/>
      </c>
      <c r="I17" s="244" t="str">
        <f t="shared" si="0"/>
        <v/>
      </c>
      <c r="J17" s="256" t="str">
        <f t="shared" si="1"/>
        <v/>
      </c>
      <c r="K17" s="273" t="str">
        <f t="shared" si="2"/>
        <v/>
      </c>
      <c r="L17" s="277" t="str">
        <f t="shared" si="3"/>
        <v/>
      </c>
      <c r="M17" s="237" t="str">
        <f>IF('1. Total PFAS Calculator'!$D$24='1. Total PFAS Calculator'!$K$19,"",IF(G17="","",IF('1. Total PFAS Calculator'!$D$24='1. Total PFAS Calculator'!$K$19,"",(G17/F17))))</f>
        <v/>
      </c>
      <c r="N17" s="243" t="str">
        <f>IF('1. Total PFAS Calculator'!$D$24='1. Total PFAS Calculator'!$K$19,"",IF(I17="","",IF('1. Total PFAS Calculator'!$D$24='1. Total PFAS Calculator'!$K$19,"",(I17/F17))))</f>
        <v/>
      </c>
      <c r="O17" s="137"/>
      <c r="P17" s="22">
        <v>13</v>
      </c>
    </row>
    <row r="18" spans="2:16" s="20" customFormat="1" ht="15" customHeight="1" x14ac:dyDescent="0.2">
      <c r="B18" s="106" t="s">
        <v>13</v>
      </c>
      <c r="C18" s="107" t="s">
        <v>31</v>
      </c>
      <c r="D18" s="108" t="s">
        <v>53</v>
      </c>
      <c r="E18" s="300">
        <v>413.06299999999999</v>
      </c>
      <c r="F18" s="293">
        <f>IF('1. Total PFAS Calculator'!$D$27='1. Total PFAS Calculator'!$K$22,'3. PFAS Summary Action Levels'!G18,IF('1. Total PFAS Calculator'!$D$27='1. Total PFAS Calculator'!$K$23,'3. PFAS Summary Action Levels'!H18,'3. PFAS Summary Action Levels'!I18))</f>
        <v>37.926970838246824</v>
      </c>
      <c r="G18" s="97" t="str">
        <f>IF('1. Total PFAS Calculator'!$D$24='1. Total PFAS Calculator'!$K$19,"",IF('2. Sample Data Input'!D20="","",'2. Sample Data Input'!D20))</f>
        <v/>
      </c>
      <c r="H18" s="258" t="str">
        <f>IF('1. Total PFAS Calculator'!$D$24='1. Total PFAS Calculator'!$K$19,"",IF('2. Sample Data Input'!E20="","",'2. Sample Data Input'!E20))</f>
        <v/>
      </c>
      <c r="I18" s="244" t="str">
        <f t="shared" si="0"/>
        <v/>
      </c>
      <c r="J18" s="256" t="str">
        <f t="shared" si="1"/>
        <v/>
      </c>
      <c r="K18" s="273" t="str">
        <f t="shared" si="2"/>
        <v/>
      </c>
      <c r="L18" s="277" t="str">
        <f t="shared" si="3"/>
        <v/>
      </c>
      <c r="M18" s="237" t="str">
        <f>IF('1. Total PFAS Calculator'!$D$24='1. Total PFAS Calculator'!$K$19,"",IF(G18="","",IF('1. Total PFAS Calculator'!$D$24='1. Total PFAS Calculator'!$K$19,"",(G18/F18))))</f>
        <v/>
      </c>
      <c r="N18" s="243" t="str">
        <f>IF('1. Total PFAS Calculator'!$D$24='1. Total PFAS Calculator'!$K$19,"",IF(I18="","",IF('1. Total PFAS Calculator'!$D$24='1. Total PFAS Calculator'!$K$19,"",(I18/F18))))</f>
        <v/>
      </c>
      <c r="O18" s="137"/>
      <c r="P18" s="22">
        <v>15</v>
      </c>
    </row>
    <row r="19" spans="2:16" s="20" customFormat="1" ht="15" customHeight="1" x14ac:dyDescent="0.2">
      <c r="B19" s="106" t="s">
        <v>14</v>
      </c>
      <c r="C19" s="107" t="s">
        <v>32</v>
      </c>
      <c r="D19" s="108" t="s">
        <v>54</v>
      </c>
      <c r="E19" s="300">
        <v>463.07</v>
      </c>
      <c r="F19" s="293">
        <f>IF('1. Total PFAS Calculator'!$D$27='1. Total PFAS Calculator'!$K$22,'3. PFAS Summary Action Levels'!G19,IF('1. Total PFAS Calculator'!$D$27='1. Total PFAS Calculator'!$K$23,'3. PFAS Summary Action Levels'!H19,'3. PFAS Summary Action Levels'!I19))</f>
        <v>37.928026611592529</v>
      </c>
      <c r="G19" s="97" t="str">
        <f>IF('1. Total PFAS Calculator'!$D$24='1. Total PFAS Calculator'!$K$19,"",IF('2. Sample Data Input'!D21="","",'2. Sample Data Input'!D21))</f>
        <v/>
      </c>
      <c r="H19" s="258" t="str">
        <f>IF('1. Total PFAS Calculator'!$D$24='1. Total PFAS Calculator'!$K$19,"",IF('2. Sample Data Input'!E21="","",'2. Sample Data Input'!E21))</f>
        <v/>
      </c>
      <c r="I19" s="244" t="str">
        <f t="shared" si="0"/>
        <v/>
      </c>
      <c r="J19" s="256" t="str">
        <f t="shared" si="1"/>
        <v/>
      </c>
      <c r="K19" s="273" t="str">
        <f t="shared" si="2"/>
        <v/>
      </c>
      <c r="L19" s="277" t="str">
        <f t="shared" si="3"/>
        <v/>
      </c>
      <c r="M19" s="237" t="str">
        <f>IF('1. Total PFAS Calculator'!$D$24='1. Total PFAS Calculator'!$K$19,"",IF(G19="","",IF('1. Total PFAS Calculator'!$D$24='1. Total PFAS Calculator'!$K$19,"",(G19/F19))))</f>
        <v/>
      </c>
      <c r="N19" s="243" t="str">
        <f>IF('1. Total PFAS Calculator'!$D$24='1. Total PFAS Calculator'!$K$19,"",IF(I19="","",IF('1. Total PFAS Calculator'!$D$24='1. Total PFAS Calculator'!$K$19,"",(I19/F19))))</f>
        <v/>
      </c>
      <c r="O19" s="137"/>
      <c r="P19" s="22">
        <v>17</v>
      </c>
    </row>
    <row r="20" spans="2:16" s="20" customFormat="1" ht="15" customHeight="1" x14ac:dyDescent="0.2">
      <c r="B20" s="106" t="s">
        <v>15</v>
      </c>
      <c r="C20" s="107" t="s">
        <v>33</v>
      </c>
      <c r="D20" s="108" t="s">
        <v>55</v>
      </c>
      <c r="E20" s="300">
        <v>513.07799999999997</v>
      </c>
      <c r="F20" s="293">
        <f>IF('1. Total PFAS Calculator'!$D$27='1. Total PFAS Calculator'!$K$22,'3. PFAS Summary Action Levels'!G20,IF('1. Total PFAS Calculator'!$D$27='1. Total PFAS Calculator'!$K$23,'3. PFAS Summary Action Levels'!H20,'3. PFAS Summary Action Levels'!I20))</f>
        <v>25.285429294595264</v>
      </c>
      <c r="G20" s="97" t="str">
        <f>IF('1. Total PFAS Calculator'!$D$24='1. Total PFAS Calculator'!$K$19,"",IF('2. Sample Data Input'!D22="","",'2. Sample Data Input'!D22))</f>
        <v/>
      </c>
      <c r="H20" s="258" t="str">
        <f>IF('1. Total PFAS Calculator'!$D$24='1. Total PFAS Calculator'!$K$19,"",IF('2. Sample Data Input'!E22="","",'2. Sample Data Input'!E22))</f>
        <v/>
      </c>
      <c r="I20" s="244" t="str">
        <f t="shared" si="0"/>
        <v/>
      </c>
      <c r="J20" s="256" t="str">
        <f t="shared" si="1"/>
        <v/>
      </c>
      <c r="K20" s="273" t="str">
        <f t="shared" si="2"/>
        <v/>
      </c>
      <c r="L20" s="277" t="str">
        <f t="shared" si="3"/>
        <v/>
      </c>
      <c r="M20" s="237" t="str">
        <f>IF('1. Total PFAS Calculator'!$D$24='1. Total PFAS Calculator'!$K$19,"",IF(G20="","",IF('1. Total PFAS Calculator'!$D$24='1. Total PFAS Calculator'!$K$19,"",(G20/F20))))</f>
        <v/>
      </c>
      <c r="N20" s="243" t="str">
        <f>IF('1. Total PFAS Calculator'!$D$24='1. Total PFAS Calculator'!$K$19,"",IF(I20="","",IF('1. Total PFAS Calculator'!$D$24='1. Total PFAS Calculator'!$K$19,"",(I20/F20))))</f>
        <v/>
      </c>
      <c r="O20" s="137"/>
      <c r="P20" s="22">
        <v>19</v>
      </c>
    </row>
    <row r="21" spans="2:16" s="20" customFormat="1" ht="15" customHeight="1" x14ac:dyDescent="0.2">
      <c r="B21" s="106" t="s">
        <v>16</v>
      </c>
      <c r="C21" s="107" t="s">
        <v>34</v>
      </c>
      <c r="D21" s="108" t="s">
        <v>56</v>
      </c>
      <c r="E21" s="300">
        <v>563.08600000000001</v>
      </c>
      <c r="F21" s="293">
        <f>IF('1. Total PFAS Calculator'!$D$27='1. Total PFAS Calculator'!$K$22,'3. PFAS Summary Action Levels'!G21,IF('1. Total PFAS Calculator'!$D$27='1. Total PFAS Calculator'!$K$23,'3. PFAS Summary Action Levels'!H21,'3. PFAS Summary Action Levels'!I21))</f>
        <v>63.213679555714648</v>
      </c>
      <c r="G21" s="97" t="str">
        <f>IF('1. Total PFAS Calculator'!$D$24='1. Total PFAS Calculator'!$K$19,"",IF('2. Sample Data Input'!D23="","",'2. Sample Data Input'!D23))</f>
        <v/>
      </c>
      <c r="H21" s="258" t="str">
        <f>IF('1. Total PFAS Calculator'!$D$24='1. Total PFAS Calculator'!$K$19,"",IF('2. Sample Data Input'!E23="","",'2. Sample Data Input'!E23))</f>
        <v/>
      </c>
      <c r="I21" s="244" t="str">
        <f t="shared" si="0"/>
        <v/>
      </c>
      <c r="J21" s="256" t="str">
        <f t="shared" si="1"/>
        <v/>
      </c>
      <c r="K21" s="273" t="str">
        <f t="shared" si="2"/>
        <v/>
      </c>
      <c r="L21" s="277" t="str">
        <f t="shared" si="3"/>
        <v/>
      </c>
      <c r="M21" s="237" t="str">
        <f>IF('1. Total PFAS Calculator'!$D$24='1. Total PFAS Calculator'!$K$19,"",IF(G21="","",IF('1. Total PFAS Calculator'!$D$24='1. Total PFAS Calculator'!$K$19,"",(G21/F21))))</f>
        <v/>
      </c>
      <c r="N21" s="243" t="str">
        <f>IF('1. Total PFAS Calculator'!$D$24='1. Total PFAS Calculator'!$K$19,"",IF(I21="","",IF('1. Total PFAS Calculator'!$D$24='1. Total PFAS Calculator'!$K$19,"",(I21/F21))))</f>
        <v/>
      </c>
      <c r="O21" s="137"/>
      <c r="P21" s="22">
        <v>21</v>
      </c>
    </row>
    <row r="22" spans="2:16" s="20" customFormat="1" ht="15" customHeight="1" x14ac:dyDescent="0.2">
      <c r="B22" s="106" t="s">
        <v>17</v>
      </c>
      <c r="C22" s="107" t="s">
        <v>35</v>
      </c>
      <c r="D22" s="108" t="s">
        <v>57</v>
      </c>
      <c r="E22" s="300">
        <v>613.09400000000005</v>
      </c>
      <c r="F22" s="293">
        <f>IF('1. Total PFAS Calculator'!$D$27='1. Total PFAS Calculator'!$K$22,'3. PFAS Summary Action Levels'!G22,IF('1. Total PFAS Calculator'!$D$27='1. Total PFAS Calculator'!$K$23,'3. PFAS Summary Action Levels'!H22,'3. PFAS Summary Action Levels'!I22))</f>
        <v>84.705728342417075</v>
      </c>
      <c r="G22" s="97" t="str">
        <f>IF('1. Total PFAS Calculator'!$D$24='1. Total PFAS Calculator'!$K$19,"",IF('2. Sample Data Input'!D24="","",'2. Sample Data Input'!D24))</f>
        <v/>
      </c>
      <c r="H22" s="258" t="str">
        <f>IF('1. Total PFAS Calculator'!$D$24='1. Total PFAS Calculator'!$K$19,"",IF('2. Sample Data Input'!E24="","",'2. Sample Data Input'!E24))</f>
        <v/>
      </c>
      <c r="I22" s="244" t="str">
        <f t="shared" si="0"/>
        <v/>
      </c>
      <c r="J22" s="256" t="str">
        <f t="shared" si="1"/>
        <v/>
      </c>
      <c r="K22" s="273" t="str">
        <f t="shared" si="2"/>
        <v/>
      </c>
      <c r="L22" s="277" t="str">
        <f t="shared" si="3"/>
        <v/>
      </c>
      <c r="M22" s="237" t="str">
        <f>IF('1. Total PFAS Calculator'!$D$24='1. Total PFAS Calculator'!$K$19,"",IF(G22="","",IF('1. Total PFAS Calculator'!$D$24='1. Total PFAS Calculator'!$K$19,"",(G22/F22))))</f>
        <v/>
      </c>
      <c r="N22" s="243" t="str">
        <f>IF('1. Total PFAS Calculator'!$D$24='1. Total PFAS Calculator'!$K$19,"",IF(I22="","",IF('1. Total PFAS Calculator'!$D$24='1. Total PFAS Calculator'!$K$19,"",(I22/F22))))</f>
        <v/>
      </c>
      <c r="O22" s="137"/>
      <c r="P22" s="22">
        <v>23</v>
      </c>
    </row>
    <row r="23" spans="2:16" s="20" customFormat="1" ht="15" customHeight="1" x14ac:dyDescent="0.2">
      <c r="B23" s="106" t="s">
        <v>18</v>
      </c>
      <c r="C23" s="107" t="s">
        <v>36</v>
      </c>
      <c r="D23" s="108" t="s">
        <v>58</v>
      </c>
      <c r="E23" s="300">
        <v>663.10199999999998</v>
      </c>
      <c r="F23" s="293">
        <f>IF('1. Total PFAS Calculator'!$D$27='1. Total PFAS Calculator'!$K$22,'3. PFAS Summary Action Levels'!G23,IF('1. Total PFAS Calculator'!$D$27='1. Total PFAS Calculator'!$K$23,'3. PFAS Summary Action Levels'!H23,'3. PFAS Summary Action Levels'!I23))</f>
        <v>84.706330604657623</v>
      </c>
      <c r="G23" s="97" t="str">
        <f>IF('1. Total PFAS Calculator'!$D$24='1. Total PFAS Calculator'!$K$19,"",IF('2. Sample Data Input'!D25="","",'2. Sample Data Input'!D25))</f>
        <v/>
      </c>
      <c r="H23" s="258" t="str">
        <f>IF('1. Total PFAS Calculator'!$D$24='1. Total PFAS Calculator'!$K$19,"",IF('2. Sample Data Input'!E25="","",'2. Sample Data Input'!E25))</f>
        <v/>
      </c>
      <c r="I23" s="244" t="str">
        <f t="shared" si="0"/>
        <v/>
      </c>
      <c r="J23" s="256" t="str">
        <f t="shared" si="1"/>
        <v/>
      </c>
      <c r="K23" s="273" t="str">
        <f t="shared" si="2"/>
        <v/>
      </c>
      <c r="L23" s="277" t="str">
        <f t="shared" si="3"/>
        <v/>
      </c>
      <c r="M23" s="237" t="str">
        <f>IF('1. Total PFAS Calculator'!$D$24='1. Total PFAS Calculator'!$K$19,"",IF(G23="","",IF('1. Total PFAS Calculator'!$D$24='1. Total PFAS Calculator'!$K$19,"",(G23/F23))))</f>
        <v/>
      </c>
      <c r="N23" s="243" t="str">
        <f>IF('1. Total PFAS Calculator'!$D$24='1. Total PFAS Calculator'!$K$19,"",IF(I23="","",IF('1. Total PFAS Calculator'!$D$24='1. Total PFAS Calculator'!$K$19,"",(I23/F23))))</f>
        <v/>
      </c>
      <c r="O23" s="137"/>
      <c r="P23" s="22">
        <v>25</v>
      </c>
    </row>
    <row r="24" spans="2:16" s="20" customFormat="1" ht="15" customHeight="1" thickBot="1" x14ac:dyDescent="0.25">
      <c r="B24" s="152" t="s">
        <v>19</v>
      </c>
      <c r="C24" s="148" t="s">
        <v>37</v>
      </c>
      <c r="D24" s="149" t="s">
        <v>59</v>
      </c>
      <c r="E24" s="301">
        <v>713.10900000000004</v>
      </c>
      <c r="F24" s="294">
        <f>IF('1. Total PFAS Calculator'!$D$27='1. Total PFAS Calculator'!$K$22,'3. PFAS Summary Action Levels'!G24,IF('1. Total PFAS Calculator'!$D$27='1. Total PFAS Calculator'!$K$23,'3. PFAS Summary Action Levels'!H24,'3. PFAS Summary Action Levels'!I24))</f>
        <v>847.06330604657603</v>
      </c>
      <c r="G24" s="150" t="str">
        <f>IF('1. Total PFAS Calculator'!$D$24='1. Total PFAS Calculator'!$K$19,"",IF('2. Sample Data Input'!D26="","",'2. Sample Data Input'!D26))</f>
        <v/>
      </c>
      <c r="H24" s="151" t="str">
        <f>IF('1. Total PFAS Calculator'!$D$24='1. Total PFAS Calculator'!$K$19,"",IF('2. Sample Data Input'!E26="","",'2. Sample Data Input'!E26))</f>
        <v/>
      </c>
      <c r="I24" s="247" t="str">
        <f t="shared" si="0"/>
        <v/>
      </c>
      <c r="J24" s="248" t="str">
        <f t="shared" si="1"/>
        <v/>
      </c>
      <c r="K24" s="274" t="str">
        <f t="shared" si="2"/>
        <v/>
      </c>
      <c r="L24" s="278" t="str">
        <f t="shared" si="3"/>
        <v/>
      </c>
      <c r="M24" s="238" t="str">
        <f>IF('1. Total PFAS Calculator'!$D$24='1. Total PFAS Calculator'!$K$19,"",IF(G24="","",IF('1. Total PFAS Calculator'!$D$24='1. Total PFAS Calculator'!$K$19,"",(G24/F24))))</f>
        <v/>
      </c>
      <c r="N24" s="234" t="str">
        <f>IF('1. Total PFAS Calculator'!$D$24='1. Total PFAS Calculator'!$K$19,"",IF(I24="","",IF('1. Total PFAS Calculator'!$D$24='1. Total PFAS Calculator'!$K$19,"",(I24/F24))))</f>
        <v/>
      </c>
      <c r="O24" s="137"/>
      <c r="P24" s="22">
        <v>27</v>
      </c>
    </row>
    <row r="25" spans="2:16" s="20" customFormat="1" ht="13.5" thickBot="1" x14ac:dyDescent="0.25">
      <c r="B25" s="111"/>
      <c r="C25" s="112"/>
      <c r="D25" s="113"/>
      <c r="E25" s="113"/>
      <c r="F25" s="296" t="s">
        <v>74</v>
      </c>
      <c r="G25" s="147" t="str">
        <f>IF('1. Total PFAS Calculator'!$D$24='1. Total PFAS Calculator'!$K$19,"",SUM(G7:G24))</f>
        <v/>
      </c>
      <c r="H25" s="235" t="str">
        <f>IF('1. Total PFAS Calculator'!$D$24='1. Total PFAS Calculator'!$K$19,"",SUM(H7:H24))</f>
        <v/>
      </c>
      <c r="I25" s="246" t="str">
        <f>IF('1. Total PFAS Calculator'!$D$24='1. Total PFAS Calculator'!$K$19,"",SUM(I7:I24))</f>
        <v/>
      </c>
      <c r="J25" s="251" t="str">
        <f>IF('1. Total PFAS Calculator'!$D$24='1. Total PFAS Calculator'!$K$19,"",SUM(J7:J24))</f>
        <v/>
      </c>
      <c r="K25" s="254" t="str">
        <f>IF('1. Total PFAS Calculator'!$D$24='1. Total PFAS Calculator'!$K$19,"",SUM(K7:K24))</f>
        <v/>
      </c>
      <c r="L25" s="279" t="str">
        <f>IF('1. Total PFAS Calculator'!$D$24='1. Total PFAS Calculator'!$K$19,"",SUM(L7:L24))</f>
        <v/>
      </c>
      <c r="M25" s="231" t="str">
        <f>IF('1. Total PFAS Calculator'!$D$24='1. Total PFAS Calculator'!$K$19,"",SUM(M7:M24))</f>
        <v/>
      </c>
      <c r="N25" s="233" t="str">
        <f>IF('1. Total PFAS Calculator'!$D$24='1. Total PFAS Calculator'!$K$19,"",SUM(N7:N24))</f>
        <v/>
      </c>
      <c r="O25" s="253"/>
      <c r="P25" s="22"/>
    </row>
    <row r="26" spans="2:16" s="20" customFormat="1" ht="13.5" thickTop="1" x14ac:dyDescent="0.2">
      <c r="B26" s="36"/>
      <c r="C26" s="19"/>
      <c r="D26" s="53"/>
      <c r="E26" s="53"/>
      <c r="F26" s="56"/>
      <c r="G26" s="56"/>
      <c r="H26" s="56"/>
      <c r="I26" s="262"/>
      <c r="J26" s="263"/>
      <c r="K26" s="263" t="s">
        <v>120</v>
      </c>
      <c r="L26" s="268" t="str">
        <f>IF('1. Total PFAS Calculator'!$D$24='1. Total PFAS Calculator'!$K$19,"",IF('2. Sample Data Input'!D4="","",'2. Sample Data Input'!D4))</f>
        <v/>
      </c>
      <c r="M26" s="288" t="str">
        <f>IF('1. Total PFAS Calculator'!$D$24='1. Total PFAS Calculator'!$K$19,"",IF('2. Sample Data Input'!D4="","  TOF Data Missing",""))</f>
        <v/>
      </c>
      <c r="N26" s="22"/>
      <c r="O26" s="22"/>
      <c r="P26" s="22"/>
    </row>
    <row r="27" spans="2:16" s="20" customFormat="1" ht="15" x14ac:dyDescent="0.2">
      <c r="C27" s="19"/>
      <c r="D27" s="53"/>
      <c r="E27" s="53"/>
      <c r="F27" s="37"/>
      <c r="G27" s="37"/>
      <c r="H27" s="37"/>
      <c r="I27" s="264"/>
      <c r="J27" s="265"/>
      <c r="K27" s="266" t="s">
        <v>139</v>
      </c>
      <c r="L27" s="269" t="str">
        <f>IF('1. Total PFAS Calculator'!$D$24='1. Total PFAS Calculator'!$K$19,"",IF('2. Sample Data Input'!D4="","",IF(L26&lt;L25,"Error",(L26-L25))))</f>
        <v/>
      </c>
      <c r="M27" s="339" t="str">
        <f>IF('2. Sample Data Input'!D4="","",IF(L26&lt;L25,"Error - Input TOF Less Than TOPs-Predicted TOF",""))</f>
        <v/>
      </c>
      <c r="N27" s="22"/>
      <c r="O27" s="22"/>
      <c r="P27" s="22"/>
    </row>
    <row r="28" spans="2:16" s="20" customFormat="1" ht="15" x14ac:dyDescent="0.2">
      <c r="B28" s="39"/>
      <c r="C28" s="19"/>
      <c r="D28" s="53"/>
      <c r="E28" s="53"/>
      <c r="F28" s="37"/>
      <c r="G28" s="37"/>
      <c r="H28" s="37"/>
      <c r="I28" s="264"/>
      <c r="J28" s="265"/>
      <c r="K28" s="266" t="s">
        <v>140</v>
      </c>
      <c r="L28" s="270" t="str">
        <f>IF('1. Total PFAS Calculator'!$D$24='1. Total PFAS Calculator'!$K$19,"",'2. Sample Data Input'!D5)</f>
        <v/>
      </c>
      <c r="M28" s="59"/>
      <c r="N28" s="22"/>
      <c r="O28" s="22"/>
      <c r="P28" s="22"/>
    </row>
    <row r="29" spans="2:16" s="20" customFormat="1" ht="15" x14ac:dyDescent="0.2">
      <c r="C29" s="19"/>
      <c r="D29" s="53"/>
      <c r="E29" s="53"/>
      <c r="F29" s="37"/>
      <c r="G29" s="37"/>
      <c r="H29" s="37"/>
      <c r="I29" s="316"/>
      <c r="J29" s="317"/>
      <c r="K29" s="318" t="s">
        <v>141</v>
      </c>
      <c r="L29" s="319" t="str">
        <f>IF('1. Total PFAS Calculator'!$D$24='1. Total PFAS Calculator'!$K$19,"",IF('2. Sample Data Input'!D4="","",IF(L26&lt;L25,"Error",(L27*L28))))</f>
        <v/>
      </c>
      <c r="M29" s="59"/>
      <c r="N29" s="22"/>
      <c r="O29" s="22"/>
      <c r="P29" s="22"/>
    </row>
    <row r="30" spans="2:16" s="20" customFormat="1" ht="13.5" thickBot="1" x14ac:dyDescent="0.25">
      <c r="B30" s="39"/>
      <c r="C30" s="19"/>
      <c r="D30" s="53"/>
      <c r="E30" s="53"/>
      <c r="F30" s="37"/>
      <c r="G30" s="37"/>
      <c r="H30" s="37"/>
      <c r="I30" s="333"/>
      <c r="J30" s="267"/>
      <c r="K30" s="267" t="s">
        <v>172</v>
      </c>
      <c r="L30" s="334" t="str">
        <f>IF(L29="","",IF(L29="Error","",L29/F13))</f>
        <v/>
      </c>
      <c r="M30" s="59"/>
      <c r="N30" s="22"/>
      <c r="O30" s="22"/>
      <c r="P30" s="22"/>
    </row>
    <row r="31" spans="2:16" s="20" customFormat="1" ht="13.5" thickTop="1" x14ac:dyDescent="0.2">
      <c r="B31" s="39"/>
      <c r="C31" s="19"/>
      <c r="D31" s="53"/>
      <c r="E31" s="53"/>
      <c r="F31" s="37"/>
      <c r="G31" s="37"/>
      <c r="H31" s="37"/>
      <c r="I31" s="297"/>
      <c r="J31" s="297"/>
      <c r="K31" s="297"/>
      <c r="L31" s="335"/>
      <c r="M31" s="59"/>
      <c r="N31" s="22"/>
      <c r="O31" s="22"/>
      <c r="P31" s="22"/>
    </row>
    <row r="32" spans="2:16" s="20" customFormat="1" ht="30" customHeight="1" x14ac:dyDescent="0.2">
      <c r="B32" s="383" t="s">
        <v>179</v>
      </c>
      <c r="C32" s="349"/>
      <c r="D32" s="349"/>
      <c r="E32" s="349"/>
      <c r="F32" s="349"/>
      <c r="G32" s="349"/>
      <c r="H32" s="349"/>
      <c r="I32" s="349"/>
      <c r="J32" s="349"/>
      <c r="K32" s="349"/>
      <c r="L32" s="349"/>
      <c r="M32" s="349"/>
      <c r="N32" s="349"/>
      <c r="O32" s="22"/>
      <c r="P32" s="22"/>
    </row>
    <row r="33" spans="2:16" s="20" customFormat="1" x14ac:dyDescent="0.2">
      <c r="B33" s="39"/>
      <c r="C33" s="19"/>
      <c r="D33" s="53"/>
      <c r="E33" s="53"/>
      <c r="F33" s="37"/>
      <c r="G33" s="37"/>
      <c r="H33" s="37"/>
      <c r="I33" s="37"/>
      <c r="J33" s="37"/>
      <c r="K33" s="297"/>
      <c r="L33" s="57"/>
      <c r="M33" s="59"/>
      <c r="N33" s="22"/>
      <c r="O33" s="22"/>
      <c r="P33" s="22"/>
    </row>
    <row r="34" spans="2:16" s="20" customFormat="1" x14ac:dyDescent="0.2">
      <c r="B34" s="39" t="s">
        <v>0</v>
      </c>
      <c r="C34" s="19"/>
      <c r="D34" s="53"/>
      <c r="E34" s="53"/>
      <c r="F34" s="37"/>
      <c r="G34" s="37"/>
      <c r="H34" s="37"/>
      <c r="I34" s="37"/>
      <c r="J34" s="37"/>
      <c r="K34" s="297"/>
      <c r="L34" s="57"/>
      <c r="M34" s="59"/>
      <c r="N34" s="22"/>
      <c r="O34" s="22"/>
      <c r="P34" s="22"/>
    </row>
    <row r="35" spans="2:16" s="40" customFormat="1" ht="17.100000000000001" customHeight="1" x14ac:dyDescent="0.2">
      <c r="B35" s="383" t="s">
        <v>138</v>
      </c>
      <c r="C35" s="349"/>
      <c r="D35" s="349"/>
      <c r="E35" s="349"/>
      <c r="F35" s="349"/>
      <c r="G35" s="349"/>
      <c r="H35" s="349"/>
      <c r="I35" s="349"/>
      <c r="J35" s="349"/>
      <c r="K35" s="349"/>
      <c r="L35" s="349"/>
      <c r="M35" s="349"/>
      <c r="N35" s="349"/>
      <c r="P35" s="22"/>
    </row>
    <row r="36" spans="2:16" s="40" customFormat="1" ht="17.100000000000001" customHeight="1" x14ac:dyDescent="0.2">
      <c r="B36" s="383" t="s">
        <v>135</v>
      </c>
      <c r="C36" s="349"/>
      <c r="D36" s="349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P36" s="22"/>
    </row>
    <row r="37" spans="2:16" ht="17.100000000000001" customHeight="1" x14ac:dyDescent="0.2">
      <c r="B37" s="383" t="s">
        <v>180</v>
      </c>
      <c r="C37" s="349"/>
      <c r="D37" s="349"/>
      <c r="E37" s="349"/>
      <c r="F37" s="349"/>
      <c r="G37" s="349"/>
      <c r="H37" s="349"/>
      <c r="I37" s="349"/>
      <c r="J37" s="349"/>
      <c r="K37" s="349"/>
      <c r="L37" s="349"/>
      <c r="M37" s="349"/>
      <c r="N37" s="349"/>
    </row>
    <row r="38" spans="2:16" ht="17.100000000000001" customHeight="1" x14ac:dyDescent="0.2">
      <c r="B38" s="383" t="s">
        <v>142</v>
      </c>
      <c r="C38" s="349"/>
      <c r="D38" s="349"/>
      <c r="E38" s="349"/>
      <c r="F38" s="349"/>
      <c r="G38" s="349"/>
      <c r="H38" s="349"/>
      <c r="I38" s="349"/>
      <c r="J38" s="349"/>
      <c r="K38" s="349"/>
      <c r="L38" s="349"/>
      <c r="M38" s="349"/>
      <c r="N38" s="349"/>
    </row>
    <row r="39" spans="2:16" ht="39.950000000000003" customHeight="1" x14ac:dyDescent="0.2">
      <c r="B39" s="383" t="s">
        <v>156</v>
      </c>
      <c r="C39" s="349"/>
      <c r="D39" s="349"/>
      <c r="E39" s="349"/>
      <c r="F39" s="349"/>
      <c r="G39" s="349"/>
      <c r="H39" s="349"/>
      <c r="I39" s="349"/>
      <c r="J39" s="349"/>
      <c r="K39" s="349"/>
      <c r="L39" s="349"/>
      <c r="M39" s="349"/>
      <c r="N39" s="349"/>
    </row>
    <row r="40" spans="2:16" ht="17.100000000000001" customHeight="1" x14ac:dyDescent="0.2">
      <c r="B40" s="383" t="s">
        <v>143</v>
      </c>
      <c r="C40" s="349"/>
      <c r="D40" s="349"/>
      <c r="E40" s="349"/>
      <c r="F40" s="349"/>
      <c r="G40" s="349"/>
      <c r="H40" s="349"/>
      <c r="I40" s="349"/>
      <c r="J40" s="349"/>
      <c r="K40" s="349"/>
      <c r="L40" s="349"/>
      <c r="M40" s="349"/>
      <c r="N40" s="349"/>
    </row>
  </sheetData>
  <sheetProtection algorithmName="SHA-512" hashValue="000RoOfrVM7SJ0x5dj5iVsHkP2JKUIKfKANQ8ks/nbf+bZMy0uS3veJRDYM3PADKQ80hOarRKOVsORF5/+nI/g==" saltValue="P2xV2upz5ZZjnjbAVN0bng==" spinCount="100000" sheet="1" objects="1" scenarios="1"/>
  <mergeCells count="8">
    <mergeCell ref="B37:N37"/>
    <mergeCell ref="B38:N38"/>
    <mergeCell ref="B39:N39"/>
    <mergeCell ref="B40:N40"/>
    <mergeCell ref="M5:N5"/>
    <mergeCell ref="B32:N32"/>
    <mergeCell ref="B35:N35"/>
    <mergeCell ref="B36:N36"/>
  </mergeCells>
  <pageMargins left="0.7" right="0.7" top="0.75" bottom="0.75" header="0.3" footer="0.3"/>
  <pageSetup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01C47-34C6-4863-8FDE-F9668D3EC58C}">
  <sheetPr>
    <tabColor rgb="FF00FFFF"/>
    <pageSetUpPr fitToPage="1"/>
  </sheetPr>
  <dimension ref="B2:P40"/>
  <sheetViews>
    <sheetView topLeftCell="B1" zoomScaleNormal="100" workbookViewId="0">
      <selection activeCell="L7" sqref="L7"/>
    </sheetView>
  </sheetViews>
  <sheetFormatPr defaultRowHeight="12.75" x14ac:dyDescent="0.2"/>
  <cols>
    <col min="2" max="2" width="12.5703125" customWidth="1"/>
    <col min="3" max="3" width="30.5703125" customWidth="1"/>
    <col min="4" max="4" width="15.5703125" customWidth="1"/>
    <col min="5" max="5" width="8.5703125" customWidth="1"/>
    <col min="6" max="6" width="12.5703125" customWidth="1"/>
    <col min="7" max="12" width="13.5703125" customWidth="1"/>
    <col min="13" max="14" width="14.5703125" customWidth="1"/>
    <col min="15" max="15" width="15.140625" customWidth="1"/>
    <col min="16" max="16" width="9.140625" customWidth="1"/>
    <col min="17" max="17" width="12.5703125" customWidth="1"/>
  </cols>
  <sheetData>
    <row r="2" spans="2:16" x14ac:dyDescent="0.2">
      <c r="F2" s="18"/>
    </row>
    <row r="4" spans="2:16" ht="16.5" thickBot="1" x14ac:dyDescent="0.3">
      <c r="B4" s="116" t="s">
        <v>145</v>
      </c>
    </row>
    <row r="5" spans="2:16" ht="14.25" thickTop="1" thickBot="1" x14ac:dyDescent="0.25">
      <c r="M5" s="384" t="s">
        <v>75</v>
      </c>
      <c r="N5" s="385"/>
    </row>
    <row r="6" spans="2:16" s="20" customFormat="1" ht="54.6" customHeight="1" thickTop="1" thickBot="1" x14ac:dyDescent="0.25">
      <c r="B6" s="98" t="s">
        <v>71</v>
      </c>
      <c r="C6" s="99" t="s">
        <v>72</v>
      </c>
      <c r="D6" s="100" t="s">
        <v>66</v>
      </c>
      <c r="E6" s="298" t="s">
        <v>20</v>
      </c>
      <c r="F6" s="140" t="s">
        <v>87</v>
      </c>
      <c r="G6" s="101" t="s">
        <v>78</v>
      </c>
      <c r="H6" s="102" t="s">
        <v>80</v>
      </c>
      <c r="I6" s="249" t="s">
        <v>134</v>
      </c>
      <c r="J6" s="245" t="s">
        <v>115</v>
      </c>
      <c r="K6" s="271" t="s">
        <v>116</v>
      </c>
      <c r="L6" s="275" t="s">
        <v>166</v>
      </c>
      <c r="M6" s="161" t="s">
        <v>114</v>
      </c>
      <c r="N6" s="232" t="s">
        <v>171</v>
      </c>
      <c r="O6" s="132"/>
      <c r="P6" s="29" t="s">
        <v>61</v>
      </c>
    </row>
    <row r="7" spans="2:16" s="20" customFormat="1" ht="15" x14ac:dyDescent="0.2">
      <c r="B7" s="103" t="s">
        <v>4</v>
      </c>
      <c r="C7" s="104" t="s">
        <v>23</v>
      </c>
      <c r="D7" s="105" t="s">
        <v>43</v>
      </c>
      <c r="E7" s="299">
        <v>299.08999999999997</v>
      </c>
      <c r="F7" s="138">
        <f>'3. PFAS Summary Action Levels'!D7</f>
        <v>7344.6327683615809</v>
      </c>
      <c r="G7" s="240" t="str">
        <f>IF('1. Total PFAS Calculator'!$D$24='1. Total PFAS Calculator'!$K$20,"",IF('2. Sample Data Input'!D9="","",'2. Sample Data Input'!D9))</f>
        <v/>
      </c>
      <c r="H7" s="242" t="str">
        <f>IF('1. Total PFAS Calculator'!$D$24='1. Total PFAS Calculator'!$K$20,"",IF('2. Sample Data Input'!E9="","",'2. Sample Data Input'!E9))</f>
        <v/>
      </c>
      <c r="I7" s="244" t="str">
        <f>IF(H7="","",IF(AND(G7="",H7=""),"",IF(AND(G7="",H7&gt;0),H7,IF((H7-G7)&lt;0,"",(H7-G7)))))</f>
        <v/>
      </c>
      <c r="J7" s="255" t="str">
        <f>IF(G7="","",IF(G7=0,"",(G7/$G$25)))</f>
        <v/>
      </c>
      <c r="K7" s="272" t="str">
        <f>IF(I7="","",IF(AND(G7="",H7&gt;0),(I7/$I$25),IF((H7-G7)&lt;0,"",(I7/$I$25))))</f>
        <v/>
      </c>
      <c r="L7" s="281" t="str">
        <f>IF(H7="","",((P7*18.998)/E7)*H7)</f>
        <v/>
      </c>
      <c r="M7" s="236" t="str">
        <f>IF('1. Total PFAS Calculator'!$D$24='1. Total PFAS Calculator'!$K$20,"",IF(G7="","",(G7/F7)))</f>
        <v/>
      </c>
      <c r="N7" s="257" t="str">
        <f>IF('1. Total PFAS Calculator'!$D$24='1. Total PFAS Calculator'!$K$20,"",IF(I7="","",(I7/F7)))</f>
        <v/>
      </c>
      <c r="O7" s="132"/>
      <c r="P7" s="22">
        <v>9</v>
      </c>
    </row>
    <row r="8" spans="2:16" s="20" customFormat="1" ht="15" x14ac:dyDescent="0.2">
      <c r="B8" s="103" t="s">
        <v>6</v>
      </c>
      <c r="C8" s="104" t="s">
        <v>158</v>
      </c>
      <c r="D8" s="105" t="s">
        <v>62</v>
      </c>
      <c r="E8" s="300">
        <v>349</v>
      </c>
      <c r="F8" s="138">
        <f>'3. PFAS Summary Action Levels'!D8</f>
        <v>2538.4615384615381</v>
      </c>
      <c r="G8" s="261" t="str">
        <f>IF('1. Total PFAS Calculator'!$D$24='1. Total PFAS Calculator'!$K$20,"",IF('2. Sample Data Input'!D10="","",'2. Sample Data Input'!D10))</f>
        <v/>
      </c>
      <c r="H8" s="258" t="str">
        <f>IF('1. Total PFAS Calculator'!$D$24='1. Total PFAS Calculator'!$K$20,"",IF('2. Sample Data Input'!E10="","",'2. Sample Data Input'!E10))</f>
        <v/>
      </c>
      <c r="I8" s="244" t="str">
        <f t="shared" ref="I8:I24" si="0">IF(H8="","",IF(AND(G8="",H8=""),"",IF(AND(G8="",H8&gt;0),H8,IF((H8-G8)&lt;0,"",(H8-G8)))))</f>
        <v/>
      </c>
      <c r="J8" s="256" t="str">
        <f t="shared" ref="J8:J24" si="1">IF(G8="","",IF(G8=0,"",(G8/$G$25)))</f>
        <v/>
      </c>
      <c r="K8" s="273" t="str">
        <f t="shared" ref="K8:K24" si="2">IF(I8="","",IF(AND(G8="",H8&gt;0),(I8/$I$25),IF((H8-G8)&lt;0,"",(I8/$I$25))))</f>
        <v/>
      </c>
      <c r="L8" s="282" t="str">
        <f t="shared" ref="L8:L24" si="3">IF(H8="","",((P8*18.998)/E8)*H8)</f>
        <v/>
      </c>
      <c r="M8" s="237" t="str">
        <f>IF('1. Total PFAS Calculator'!$D$24='1. Total PFAS Calculator'!$K$20,"",IF(G8="","",(G8/F8)))</f>
        <v/>
      </c>
      <c r="N8" s="243" t="str">
        <f>IF('1. Total PFAS Calculator'!$D$24='1. Total PFAS Calculator'!$K$20,"",IF(I8="","",(I8/F8)))</f>
        <v/>
      </c>
      <c r="O8" s="132"/>
      <c r="P8" s="22">
        <v>15</v>
      </c>
    </row>
    <row r="9" spans="2:16" s="20" customFormat="1" ht="15" x14ac:dyDescent="0.2">
      <c r="B9" s="106" t="s">
        <v>5</v>
      </c>
      <c r="C9" s="107" t="s">
        <v>24</v>
      </c>
      <c r="D9" s="108" t="s">
        <v>44</v>
      </c>
      <c r="E9" s="300">
        <v>399.1</v>
      </c>
      <c r="F9" s="138">
        <f>'3. PFAS Summary Action Levels'!D9</f>
        <v>7.6923076923076898</v>
      </c>
      <c r="G9" s="261" t="str">
        <f>IF('1. Total PFAS Calculator'!$D$24='1. Total PFAS Calculator'!$K$20,"",IF('2. Sample Data Input'!D11="","",'2. Sample Data Input'!D11))</f>
        <v/>
      </c>
      <c r="H9" s="258" t="str">
        <f>IF('1. Total PFAS Calculator'!$D$24='1. Total PFAS Calculator'!$K$20,"",IF('2. Sample Data Input'!E11="","",'2. Sample Data Input'!E11))</f>
        <v/>
      </c>
      <c r="I9" s="244" t="str">
        <f t="shared" si="0"/>
        <v/>
      </c>
      <c r="J9" s="256" t="str">
        <f t="shared" si="1"/>
        <v/>
      </c>
      <c r="K9" s="273" t="str">
        <f t="shared" si="2"/>
        <v/>
      </c>
      <c r="L9" s="282" t="str">
        <f t="shared" si="3"/>
        <v/>
      </c>
      <c r="M9" s="237" t="str">
        <f>IF('1. Total PFAS Calculator'!$D$24='1. Total PFAS Calculator'!$K$20,"",IF(G9="","",(G9/F9)))</f>
        <v/>
      </c>
      <c r="N9" s="243" t="str">
        <f>IF('1. Total PFAS Calculator'!$D$24='1. Total PFAS Calculator'!$K$20,"",IF(I9="","",(I9/F9)))</f>
        <v/>
      </c>
      <c r="P9" s="22">
        <v>13</v>
      </c>
    </row>
    <row r="10" spans="2:16" s="20" customFormat="1" ht="15.75" x14ac:dyDescent="0.25">
      <c r="B10" s="106" t="s">
        <v>6</v>
      </c>
      <c r="C10" s="109" t="s">
        <v>40</v>
      </c>
      <c r="D10" s="110" t="s">
        <v>45</v>
      </c>
      <c r="E10" s="300">
        <v>449.11</v>
      </c>
      <c r="F10" s="138">
        <f>'3. PFAS Summary Action Levels'!D10</f>
        <v>38.461538461538474</v>
      </c>
      <c r="G10" s="261" t="str">
        <f>IF('1. Total PFAS Calculator'!$D$24='1. Total PFAS Calculator'!$K$20,"",IF('2. Sample Data Input'!D12="","",'2. Sample Data Input'!D12))</f>
        <v/>
      </c>
      <c r="H10" s="258" t="str">
        <f>IF('1. Total PFAS Calculator'!$D$24='1. Total PFAS Calculator'!$K$20,"",IF('2. Sample Data Input'!E12="","",'2. Sample Data Input'!E12))</f>
        <v/>
      </c>
      <c r="I10" s="244" t="str">
        <f t="shared" si="0"/>
        <v/>
      </c>
      <c r="J10" s="256" t="str">
        <f t="shared" si="1"/>
        <v/>
      </c>
      <c r="K10" s="273" t="str">
        <f t="shared" si="2"/>
        <v/>
      </c>
      <c r="L10" s="282" t="str">
        <f t="shared" si="3"/>
        <v/>
      </c>
      <c r="M10" s="237" t="str">
        <f>IF('1. Total PFAS Calculator'!$D$24='1. Total PFAS Calculator'!$K$20,"",IF(G10="","",(G10/F10)))</f>
        <v/>
      </c>
      <c r="N10" s="243" t="str">
        <f>IF('1. Total PFAS Calculator'!$D$24='1. Total PFAS Calculator'!$K$20,"",IF(I10="","",(I10/F10)))</f>
        <v/>
      </c>
      <c r="O10" s="28"/>
      <c r="P10" s="22">
        <v>15</v>
      </c>
    </row>
    <row r="11" spans="2:16" s="20" customFormat="1" ht="15.75" x14ac:dyDescent="0.25">
      <c r="B11" s="106" t="s">
        <v>7</v>
      </c>
      <c r="C11" s="107" t="s">
        <v>25</v>
      </c>
      <c r="D11" s="108" t="s">
        <v>46</v>
      </c>
      <c r="E11" s="300">
        <v>499.12</v>
      </c>
      <c r="F11" s="138">
        <f>'3. PFAS Summary Action Levels'!D11</f>
        <v>7.6923076923076925</v>
      </c>
      <c r="G11" s="261" t="str">
        <f>IF('1. Total PFAS Calculator'!$D$24='1. Total PFAS Calculator'!$K$20,"",IF('2. Sample Data Input'!D13="","",'2. Sample Data Input'!D13))</f>
        <v/>
      </c>
      <c r="H11" s="258" t="str">
        <f>IF('1. Total PFAS Calculator'!$D$24='1. Total PFAS Calculator'!$K$20,"",IF('2. Sample Data Input'!E13="","",'2. Sample Data Input'!E13))</f>
        <v/>
      </c>
      <c r="I11" s="244" t="str">
        <f t="shared" si="0"/>
        <v/>
      </c>
      <c r="J11" s="256" t="str">
        <f t="shared" si="1"/>
        <v/>
      </c>
      <c r="K11" s="273" t="str">
        <f t="shared" si="2"/>
        <v/>
      </c>
      <c r="L11" s="282" t="str">
        <f t="shared" si="3"/>
        <v/>
      </c>
      <c r="M11" s="237" t="str">
        <f>IF('1. Total PFAS Calculator'!$D$24='1. Total PFAS Calculator'!$K$20,"",IF(G11="","",(G11/F11)))</f>
        <v/>
      </c>
      <c r="N11" s="243" t="str">
        <f>IF('1. Total PFAS Calculator'!$D$24='1. Total PFAS Calculator'!$K$20,"",IF(I11="","",(I11/F11)))</f>
        <v/>
      </c>
      <c r="O11" s="28"/>
      <c r="P11" s="22">
        <v>17</v>
      </c>
    </row>
    <row r="12" spans="2:16" s="20" customFormat="1" ht="15" customHeight="1" x14ac:dyDescent="0.25">
      <c r="B12" s="106" t="s">
        <v>8</v>
      </c>
      <c r="C12" s="107" t="s">
        <v>26</v>
      </c>
      <c r="D12" s="108" t="s">
        <v>47</v>
      </c>
      <c r="E12" s="300">
        <v>599.13</v>
      </c>
      <c r="F12" s="138">
        <f>'3. PFAS Summary Action Levels'!D12</f>
        <v>38.461538461538474</v>
      </c>
      <c r="G12" s="261" t="str">
        <f>IF('1. Total PFAS Calculator'!$D$24='1. Total PFAS Calculator'!$K$20,"",IF('2. Sample Data Input'!D14="","",'2. Sample Data Input'!D14))</f>
        <v/>
      </c>
      <c r="H12" s="258" t="str">
        <f>IF('1. Total PFAS Calculator'!$D$24='1. Total PFAS Calculator'!$K$20,"",IF('2. Sample Data Input'!E14="","",'2. Sample Data Input'!E14))</f>
        <v/>
      </c>
      <c r="I12" s="244" t="str">
        <f t="shared" si="0"/>
        <v/>
      </c>
      <c r="J12" s="256" t="str">
        <f t="shared" si="1"/>
        <v/>
      </c>
      <c r="K12" s="273" t="str">
        <f t="shared" si="2"/>
        <v/>
      </c>
      <c r="L12" s="282" t="str">
        <f t="shared" si="3"/>
        <v/>
      </c>
      <c r="M12" s="237" t="str">
        <f>IF('1. Total PFAS Calculator'!$D$24='1. Total PFAS Calculator'!$K$20,"",IF(G12="","",(G12/F12)))</f>
        <v/>
      </c>
      <c r="N12" s="243" t="str">
        <f>IF('1. Total PFAS Calculator'!$D$24='1. Total PFAS Calculator'!$K$20,"",IF(I12="","",(I12/F12)))</f>
        <v/>
      </c>
      <c r="O12" s="28"/>
      <c r="P12" s="22">
        <v>21</v>
      </c>
    </row>
    <row r="13" spans="2:16" s="20" customFormat="1" ht="15" customHeight="1" x14ac:dyDescent="0.2">
      <c r="B13" s="106" t="s">
        <v>65</v>
      </c>
      <c r="C13" s="107" t="s">
        <v>41</v>
      </c>
      <c r="D13" s="108" t="s">
        <v>50</v>
      </c>
      <c r="E13" s="300">
        <v>164</v>
      </c>
      <c r="F13" s="138">
        <f>'3. PFAS Summary Action Levels'!D13</f>
        <v>513.19648093841647</v>
      </c>
      <c r="G13" s="261" t="str">
        <f>IF('1. Total PFAS Calculator'!$D$24='1. Total PFAS Calculator'!$K$20,"",IF('2. Sample Data Input'!D15="","",'2. Sample Data Input'!D15))</f>
        <v/>
      </c>
      <c r="H13" s="258" t="str">
        <f>IF('1. Total PFAS Calculator'!$D$24='1. Total PFAS Calculator'!$K$20,"",IF('2. Sample Data Input'!E15="","",'2. Sample Data Input'!E15))</f>
        <v/>
      </c>
      <c r="I13" s="244" t="str">
        <f t="shared" si="0"/>
        <v/>
      </c>
      <c r="J13" s="256" t="str">
        <f t="shared" si="1"/>
        <v/>
      </c>
      <c r="K13" s="273" t="str">
        <f t="shared" si="2"/>
        <v/>
      </c>
      <c r="L13" s="282" t="str">
        <f t="shared" si="3"/>
        <v/>
      </c>
      <c r="M13" s="237" t="str">
        <f>IF('1. Total PFAS Calculator'!$D$24='1. Total PFAS Calculator'!$K$20,"",IF(G13="","",(G13/F13)))</f>
        <v/>
      </c>
      <c r="N13" s="243" t="str">
        <f>IF('1. Total PFAS Calculator'!$D$24='1. Total PFAS Calculator'!$K$20,"",IF(I13="","",(I13/F13)))</f>
        <v/>
      </c>
      <c r="P13" s="22">
        <v>5</v>
      </c>
    </row>
    <row r="14" spans="2:16" s="20" customFormat="1" ht="15" customHeight="1" x14ac:dyDescent="0.2">
      <c r="B14" s="106" t="s">
        <v>9</v>
      </c>
      <c r="C14" s="107" t="s">
        <v>27</v>
      </c>
      <c r="D14" s="108" t="s">
        <v>48</v>
      </c>
      <c r="E14" s="300">
        <v>213.03100000000001</v>
      </c>
      <c r="F14" s="138">
        <f>'3. PFAS Summary Action Levels'!D14</f>
        <v>14615.384615384617</v>
      </c>
      <c r="G14" s="261" t="str">
        <f>IF('1. Total PFAS Calculator'!$D$24='1. Total PFAS Calculator'!$K$20,"",IF('2. Sample Data Input'!D16="","",'2. Sample Data Input'!D16))</f>
        <v/>
      </c>
      <c r="H14" s="258" t="str">
        <f>IF('1. Total PFAS Calculator'!$D$24='1. Total PFAS Calculator'!$K$20,"",IF('2. Sample Data Input'!E16="","",'2. Sample Data Input'!E16))</f>
        <v/>
      </c>
      <c r="I14" s="244" t="str">
        <f t="shared" si="0"/>
        <v/>
      </c>
      <c r="J14" s="256" t="str">
        <f t="shared" si="1"/>
        <v/>
      </c>
      <c r="K14" s="273" t="str">
        <f t="shared" si="2"/>
        <v/>
      </c>
      <c r="L14" s="282" t="str">
        <f t="shared" si="3"/>
        <v/>
      </c>
      <c r="M14" s="237" t="str">
        <f>IF('1. Total PFAS Calculator'!$D$24='1. Total PFAS Calculator'!$K$20,"",IF(G14="","",(G14/F14)))</f>
        <v/>
      </c>
      <c r="N14" s="243" t="str">
        <f>IF('1. Total PFAS Calculator'!$D$24='1. Total PFAS Calculator'!$K$20,"",IF(I14="","",(I14/F14)))</f>
        <v/>
      </c>
      <c r="P14" s="22">
        <v>7</v>
      </c>
    </row>
    <row r="15" spans="2:16" s="20" customFormat="1" ht="15" customHeight="1" x14ac:dyDescent="0.2">
      <c r="B15" s="106" t="s">
        <v>10</v>
      </c>
      <c r="C15" s="107" t="s">
        <v>28</v>
      </c>
      <c r="D15" s="108" t="s">
        <v>49</v>
      </c>
      <c r="E15" s="300">
        <v>263.03899999999999</v>
      </c>
      <c r="F15" s="138">
        <f>'3. PFAS Summary Action Levels'!D15</f>
        <v>1538.4615384615383</v>
      </c>
      <c r="G15" s="261" t="str">
        <f>IF('1. Total PFAS Calculator'!$D$24='1. Total PFAS Calculator'!$K$20,"",IF('2. Sample Data Input'!D17="","",'2. Sample Data Input'!D17))</f>
        <v/>
      </c>
      <c r="H15" s="258" t="str">
        <f>IF('1. Total PFAS Calculator'!$D$24='1. Total PFAS Calculator'!$K$20,"",IF('2. Sample Data Input'!E17="","",'2. Sample Data Input'!E17))</f>
        <v/>
      </c>
      <c r="I15" s="244" t="str">
        <f t="shared" si="0"/>
        <v/>
      </c>
      <c r="J15" s="256" t="str">
        <f t="shared" si="1"/>
        <v/>
      </c>
      <c r="K15" s="273" t="str">
        <f t="shared" si="2"/>
        <v/>
      </c>
      <c r="L15" s="282" t="str">
        <f t="shared" si="3"/>
        <v/>
      </c>
      <c r="M15" s="237" t="str">
        <f>IF('1. Total PFAS Calculator'!$D$24='1. Total PFAS Calculator'!$K$20,"",IF(G15="","",(G15/F15)))</f>
        <v/>
      </c>
      <c r="N15" s="243" t="str">
        <f>IF('1. Total PFAS Calculator'!$D$24='1. Total PFAS Calculator'!$K$20,"",IF(I15="","",(I15/F15)))</f>
        <v/>
      </c>
      <c r="P15" s="22">
        <v>9</v>
      </c>
    </row>
    <row r="16" spans="2:16" s="20" customFormat="1" ht="15" customHeight="1" x14ac:dyDescent="0.2">
      <c r="B16" s="106" t="s">
        <v>11</v>
      </c>
      <c r="C16" s="107" t="s">
        <v>29</v>
      </c>
      <c r="D16" s="108" t="s">
        <v>51</v>
      </c>
      <c r="E16" s="300">
        <v>313.04700000000003</v>
      </c>
      <c r="F16" s="138">
        <f>'3. PFAS Summary Action Levels'!D16</f>
        <v>1923.0769230769231</v>
      </c>
      <c r="G16" s="261" t="str">
        <f>IF('1. Total PFAS Calculator'!$D$24='1. Total PFAS Calculator'!$K$20,"",IF('2. Sample Data Input'!D18="","",'2. Sample Data Input'!D18))</f>
        <v/>
      </c>
      <c r="H16" s="258" t="str">
        <f>IF('1. Total PFAS Calculator'!$D$24='1. Total PFAS Calculator'!$K$20,"",IF('2. Sample Data Input'!E18="","",'2. Sample Data Input'!E18))</f>
        <v/>
      </c>
      <c r="I16" s="244" t="str">
        <f t="shared" si="0"/>
        <v/>
      </c>
      <c r="J16" s="256" t="str">
        <f t="shared" si="1"/>
        <v/>
      </c>
      <c r="K16" s="273" t="str">
        <f t="shared" si="2"/>
        <v/>
      </c>
      <c r="L16" s="282" t="str">
        <f t="shared" si="3"/>
        <v/>
      </c>
      <c r="M16" s="237" t="str">
        <f>IF('1. Total PFAS Calculator'!$D$24='1. Total PFAS Calculator'!$K$20,"",IF(G16="","",(G16/F16)))</f>
        <v/>
      </c>
      <c r="N16" s="243" t="str">
        <f>IF('1. Total PFAS Calculator'!$D$24='1. Total PFAS Calculator'!$K$20,"",IF(I16="","",(I16/F16)))</f>
        <v/>
      </c>
      <c r="P16" s="22">
        <v>11</v>
      </c>
    </row>
    <row r="17" spans="2:16" s="20" customFormat="1" ht="15" customHeight="1" x14ac:dyDescent="0.2">
      <c r="B17" s="106" t="s">
        <v>12</v>
      </c>
      <c r="C17" s="107" t="s">
        <v>30</v>
      </c>
      <c r="D17" s="108" t="s">
        <v>52</v>
      </c>
      <c r="E17" s="300">
        <v>363.05500000000001</v>
      </c>
      <c r="F17" s="138">
        <f>'3. PFAS Summary Action Levels'!D17</f>
        <v>76.923076923076948</v>
      </c>
      <c r="G17" s="261" t="str">
        <f>IF('1. Total PFAS Calculator'!$D$24='1. Total PFAS Calculator'!$K$20,"",IF('2. Sample Data Input'!D19="","",'2. Sample Data Input'!D19))</f>
        <v/>
      </c>
      <c r="H17" s="258" t="str">
        <f>IF('1. Total PFAS Calculator'!$D$24='1. Total PFAS Calculator'!$K$20,"",IF('2. Sample Data Input'!E19="","",'2. Sample Data Input'!E19))</f>
        <v/>
      </c>
      <c r="I17" s="244" t="str">
        <f t="shared" si="0"/>
        <v/>
      </c>
      <c r="J17" s="256" t="str">
        <f t="shared" si="1"/>
        <v/>
      </c>
      <c r="K17" s="273" t="str">
        <f t="shared" si="2"/>
        <v/>
      </c>
      <c r="L17" s="282" t="str">
        <f t="shared" si="3"/>
        <v/>
      </c>
      <c r="M17" s="237" t="str">
        <f>IF('1. Total PFAS Calculator'!$D$24='1. Total PFAS Calculator'!$K$20,"",IF(G17="","",(G17/F17)))</f>
        <v/>
      </c>
      <c r="N17" s="243" t="str">
        <f>IF('1. Total PFAS Calculator'!$D$24='1. Total PFAS Calculator'!$K$20,"",IF(I17="","",(I17/F17)))</f>
        <v/>
      </c>
      <c r="P17" s="22">
        <v>13</v>
      </c>
    </row>
    <row r="18" spans="2:16" s="20" customFormat="1" ht="15" customHeight="1" x14ac:dyDescent="0.2">
      <c r="B18" s="106" t="s">
        <v>13</v>
      </c>
      <c r="C18" s="107" t="s">
        <v>31</v>
      </c>
      <c r="D18" s="108" t="s">
        <v>53</v>
      </c>
      <c r="E18" s="300">
        <v>413.06299999999999</v>
      </c>
      <c r="F18" s="138">
        <f>'3. PFAS Summary Action Levels'!D18</f>
        <v>11.538461538461538</v>
      </c>
      <c r="G18" s="261" t="str">
        <f>IF('1. Total PFAS Calculator'!$D$24='1. Total PFAS Calculator'!$K$20,"",IF('2. Sample Data Input'!D20="","",'2. Sample Data Input'!D20))</f>
        <v/>
      </c>
      <c r="H18" s="258" t="str">
        <f>IF('1. Total PFAS Calculator'!$D$24='1. Total PFAS Calculator'!$K$20,"",IF('2. Sample Data Input'!E20="","",'2. Sample Data Input'!E20))</f>
        <v/>
      </c>
      <c r="I18" s="244" t="str">
        <f t="shared" si="0"/>
        <v/>
      </c>
      <c r="J18" s="256" t="str">
        <f t="shared" si="1"/>
        <v/>
      </c>
      <c r="K18" s="273" t="str">
        <f t="shared" si="2"/>
        <v/>
      </c>
      <c r="L18" s="282" t="str">
        <f t="shared" si="3"/>
        <v/>
      </c>
      <c r="M18" s="237" t="str">
        <f>IF('1. Total PFAS Calculator'!$D$24='1. Total PFAS Calculator'!$K$20,"",IF(G18="","",(G18/F18)))</f>
        <v/>
      </c>
      <c r="N18" s="243" t="str">
        <f>IF('1. Total PFAS Calculator'!$D$24='1. Total PFAS Calculator'!$K$20,"",IF(I18="","",(I18/F18)))</f>
        <v/>
      </c>
      <c r="P18" s="22">
        <v>15</v>
      </c>
    </row>
    <row r="19" spans="2:16" s="20" customFormat="1" ht="15" customHeight="1" x14ac:dyDescent="0.2">
      <c r="B19" s="106" t="s">
        <v>14</v>
      </c>
      <c r="C19" s="107" t="s">
        <v>32</v>
      </c>
      <c r="D19" s="108" t="s">
        <v>54</v>
      </c>
      <c r="E19" s="300">
        <v>463.07</v>
      </c>
      <c r="F19" s="138">
        <f>'3. PFAS Summary Action Levels'!D19</f>
        <v>11.538461538461538</v>
      </c>
      <c r="G19" s="261" t="str">
        <f>IF('1. Total PFAS Calculator'!$D$24='1. Total PFAS Calculator'!$K$20,"",IF('2. Sample Data Input'!D21="","",'2. Sample Data Input'!D21))</f>
        <v/>
      </c>
      <c r="H19" s="258" t="str">
        <f>IF('1. Total PFAS Calculator'!$D$24='1. Total PFAS Calculator'!$K$20,"",IF('2. Sample Data Input'!E21="","",'2. Sample Data Input'!E21))</f>
        <v/>
      </c>
      <c r="I19" s="244" t="str">
        <f t="shared" si="0"/>
        <v/>
      </c>
      <c r="J19" s="256" t="str">
        <f t="shared" si="1"/>
        <v/>
      </c>
      <c r="K19" s="273" t="str">
        <f t="shared" si="2"/>
        <v/>
      </c>
      <c r="L19" s="282" t="str">
        <f t="shared" si="3"/>
        <v/>
      </c>
      <c r="M19" s="237" t="str">
        <f>IF('1. Total PFAS Calculator'!$D$24='1. Total PFAS Calculator'!$K$20,"",IF(G19="","",(G19/F19)))</f>
        <v/>
      </c>
      <c r="N19" s="243" t="str">
        <f>IF('1. Total PFAS Calculator'!$D$24='1. Total PFAS Calculator'!$K$20,"",IF(I19="","",(I19/F19)))</f>
        <v/>
      </c>
      <c r="P19" s="22">
        <v>17</v>
      </c>
    </row>
    <row r="20" spans="2:16" s="20" customFormat="1" ht="15" customHeight="1" x14ac:dyDescent="0.2">
      <c r="B20" s="106" t="s">
        <v>15</v>
      </c>
      <c r="C20" s="107" t="s">
        <v>33</v>
      </c>
      <c r="D20" s="108" t="s">
        <v>55</v>
      </c>
      <c r="E20" s="300">
        <v>513.07799999999997</v>
      </c>
      <c r="F20" s="138">
        <f>'3. PFAS Summary Action Levels'!D20</f>
        <v>7.6923076923076925</v>
      </c>
      <c r="G20" s="261" t="str">
        <f>IF('1. Total PFAS Calculator'!$D$24='1. Total PFAS Calculator'!$K$20,"",IF('2. Sample Data Input'!D22="","",'2. Sample Data Input'!D22))</f>
        <v/>
      </c>
      <c r="H20" s="258" t="str">
        <f>IF('1. Total PFAS Calculator'!$D$24='1. Total PFAS Calculator'!$K$20,"",IF('2. Sample Data Input'!E22="","",'2. Sample Data Input'!E22))</f>
        <v/>
      </c>
      <c r="I20" s="244" t="str">
        <f t="shared" si="0"/>
        <v/>
      </c>
      <c r="J20" s="256" t="str">
        <f t="shared" si="1"/>
        <v/>
      </c>
      <c r="K20" s="273" t="str">
        <f t="shared" si="2"/>
        <v/>
      </c>
      <c r="L20" s="282" t="str">
        <f t="shared" si="3"/>
        <v/>
      </c>
      <c r="M20" s="237" t="str">
        <f>IF('1. Total PFAS Calculator'!$D$24='1. Total PFAS Calculator'!$K$20,"",IF(G20="","",(G20/F20)))</f>
        <v/>
      </c>
      <c r="N20" s="243" t="str">
        <f>IF('1. Total PFAS Calculator'!$D$24='1. Total PFAS Calculator'!$K$20,"",IF(I20="","",(I20/F20)))</f>
        <v/>
      </c>
      <c r="P20" s="22">
        <v>19</v>
      </c>
    </row>
    <row r="21" spans="2:16" s="20" customFormat="1" ht="15" customHeight="1" x14ac:dyDescent="0.2">
      <c r="B21" s="106" t="s">
        <v>16</v>
      </c>
      <c r="C21" s="107" t="s">
        <v>34</v>
      </c>
      <c r="D21" s="108" t="s">
        <v>56</v>
      </c>
      <c r="E21" s="300">
        <v>563.08600000000001</v>
      </c>
      <c r="F21" s="138">
        <f>'3. PFAS Summary Action Levels'!D21</f>
        <v>19.230769230769237</v>
      </c>
      <c r="G21" s="261" t="str">
        <f>IF('1. Total PFAS Calculator'!$D$24='1. Total PFAS Calculator'!$K$20,"",IF('2. Sample Data Input'!D23="","",'2. Sample Data Input'!D23))</f>
        <v/>
      </c>
      <c r="H21" s="258" t="str">
        <f>IF('1. Total PFAS Calculator'!$D$24='1. Total PFAS Calculator'!$K$20,"",IF('2. Sample Data Input'!E23="","",'2. Sample Data Input'!E23))</f>
        <v/>
      </c>
      <c r="I21" s="244" t="str">
        <f t="shared" si="0"/>
        <v/>
      </c>
      <c r="J21" s="256" t="str">
        <f t="shared" si="1"/>
        <v/>
      </c>
      <c r="K21" s="273" t="str">
        <f t="shared" si="2"/>
        <v/>
      </c>
      <c r="L21" s="282" t="str">
        <f t="shared" si="3"/>
        <v/>
      </c>
      <c r="M21" s="237" t="str">
        <f>IF('1. Total PFAS Calculator'!$D$24='1. Total PFAS Calculator'!$K$20,"",IF(G21="","",(G21/F21)))</f>
        <v/>
      </c>
      <c r="N21" s="243" t="str">
        <f>IF('1. Total PFAS Calculator'!$D$24='1. Total PFAS Calculator'!$K$20,"",IF(I21="","",(I21/F21)))</f>
        <v/>
      </c>
      <c r="P21" s="22">
        <v>21</v>
      </c>
    </row>
    <row r="22" spans="2:16" s="20" customFormat="1" ht="15" customHeight="1" x14ac:dyDescent="0.2">
      <c r="B22" s="106" t="s">
        <v>17</v>
      </c>
      <c r="C22" s="107" t="s">
        <v>35</v>
      </c>
      <c r="D22" s="108" t="s">
        <v>57</v>
      </c>
      <c r="E22" s="300">
        <v>613.09400000000005</v>
      </c>
      <c r="F22" s="138">
        <f>'3. PFAS Summary Action Levels'!D22</f>
        <v>25.769230769230766</v>
      </c>
      <c r="G22" s="261" t="str">
        <f>IF('1. Total PFAS Calculator'!$D$24='1. Total PFAS Calculator'!$K$20,"",IF('2. Sample Data Input'!D24="","",'2. Sample Data Input'!D24))</f>
        <v/>
      </c>
      <c r="H22" s="258" t="str">
        <f>IF('1. Total PFAS Calculator'!$D$24='1. Total PFAS Calculator'!$K$20,"",IF('2. Sample Data Input'!E24="","",'2. Sample Data Input'!E24))</f>
        <v/>
      </c>
      <c r="I22" s="244" t="str">
        <f t="shared" si="0"/>
        <v/>
      </c>
      <c r="J22" s="256" t="str">
        <f t="shared" si="1"/>
        <v/>
      </c>
      <c r="K22" s="273" t="str">
        <f t="shared" si="2"/>
        <v/>
      </c>
      <c r="L22" s="282" t="str">
        <f t="shared" si="3"/>
        <v/>
      </c>
      <c r="M22" s="237" t="str">
        <f>IF('1. Total PFAS Calculator'!$D$24='1. Total PFAS Calculator'!$K$20,"",IF(G22="","",(G22/F22)))</f>
        <v/>
      </c>
      <c r="N22" s="243" t="str">
        <f>IF('1. Total PFAS Calculator'!$D$24='1. Total PFAS Calculator'!$K$20,"",IF(I22="","",(I22/F22)))</f>
        <v/>
      </c>
      <c r="P22" s="22">
        <v>23</v>
      </c>
    </row>
    <row r="23" spans="2:16" s="20" customFormat="1" ht="15" customHeight="1" x14ac:dyDescent="0.2">
      <c r="B23" s="106" t="s">
        <v>18</v>
      </c>
      <c r="C23" s="107" t="s">
        <v>36</v>
      </c>
      <c r="D23" s="108" t="s">
        <v>58</v>
      </c>
      <c r="E23" s="300">
        <v>663.10199999999998</v>
      </c>
      <c r="F23" s="138">
        <f>'3. PFAS Summary Action Levels'!D23</f>
        <v>25.769230769230766</v>
      </c>
      <c r="G23" s="261" t="str">
        <f>IF('1. Total PFAS Calculator'!$D$24='1. Total PFAS Calculator'!$K$20,"",IF('2. Sample Data Input'!D25="","",'2. Sample Data Input'!D25))</f>
        <v/>
      </c>
      <c r="H23" s="258" t="str">
        <f>IF('1. Total PFAS Calculator'!$D$24='1. Total PFAS Calculator'!$K$20,"",IF('2. Sample Data Input'!E25="","",'2. Sample Data Input'!E25))</f>
        <v/>
      </c>
      <c r="I23" s="244" t="str">
        <f t="shared" si="0"/>
        <v/>
      </c>
      <c r="J23" s="256" t="str">
        <f t="shared" si="1"/>
        <v/>
      </c>
      <c r="K23" s="273" t="str">
        <f t="shared" si="2"/>
        <v/>
      </c>
      <c r="L23" s="282" t="str">
        <f t="shared" si="3"/>
        <v/>
      </c>
      <c r="M23" s="237" t="str">
        <f>IF('1. Total PFAS Calculator'!$D$24='1. Total PFAS Calculator'!$K$20,"",IF(G23="","",(G23/F23)))</f>
        <v/>
      </c>
      <c r="N23" s="243" t="str">
        <f>IF('1. Total PFAS Calculator'!$D$24='1. Total PFAS Calculator'!$K$20,"",IF(I23="","",(I23/F23)))</f>
        <v/>
      </c>
      <c r="P23" s="22">
        <v>25</v>
      </c>
    </row>
    <row r="24" spans="2:16" s="20" customFormat="1" ht="15" customHeight="1" thickBot="1" x14ac:dyDescent="0.25">
      <c r="B24" s="152" t="s">
        <v>19</v>
      </c>
      <c r="C24" s="148" t="s">
        <v>37</v>
      </c>
      <c r="D24" s="149" t="s">
        <v>59</v>
      </c>
      <c r="E24" s="301">
        <v>713.10900000000004</v>
      </c>
      <c r="F24" s="295">
        <f>'3. PFAS Summary Action Levels'!D24</f>
        <v>257.69230769230774</v>
      </c>
      <c r="G24" s="150" t="str">
        <f>IF('1. Total PFAS Calculator'!$D$24='1. Total PFAS Calculator'!$K$20,"",IF('2. Sample Data Input'!D26="","",'2. Sample Data Input'!D26))</f>
        <v/>
      </c>
      <c r="H24" s="151" t="str">
        <f>IF('1. Total PFAS Calculator'!$D$24='1. Total PFAS Calculator'!$K$20,"",IF('2. Sample Data Input'!E26="","",'2. Sample Data Input'!E26))</f>
        <v/>
      </c>
      <c r="I24" s="247" t="str">
        <f t="shared" si="0"/>
        <v/>
      </c>
      <c r="J24" s="248" t="str">
        <f t="shared" si="1"/>
        <v/>
      </c>
      <c r="K24" s="274" t="str">
        <f t="shared" si="2"/>
        <v/>
      </c>
      <c r="L24" s="283" t="str">
        <f t="shared" si="3"/>
        <v/>
      </c>
      <c r="M24" s="238" t="str">
        <f>IF('1. Total PFAS Calculator'!$D$24='1. Total PFAS Calculator'!$K$20,"",IF(G24="","",(G24/F24)))</f>
        <v/>
      </c>
      <c r="N24" s="234" t="str">
        <f>IF('1. Total PFAS Calculator'!$D$24='1. Total PFAS Calculator'!$K$20,"",IF(I24="","",(I24/F24)))</f>
        <v/>
      </c>
      <c r="P24" s="22">
        <v>27</v>
      </c>
    </row>
    <row r="25" spans="2:16" s="20" customFormat="1" ht="13.5" thickBot="1" x14ac:dyDescent="0.25">
      <c r="B25" s="111"/>
      <c r="C25" s="112"/>
      <c r="D25" s="113"/>
      <c r="E25" s="113"/>
      <c r="F25" s="296" t="s">
        <v>74</v>
      </c>
      <c r="G25" s="147">
        <f>IF('1. Total PFAS Calculator'!$D$24='1. Total PFAS Calculator'!$K$20,"",SUM(G7:G24))</f>
        <v>0</v>
      </c>
      <c r="H25" s="235">
        <f>IF('1. Total PFAS Calculator'!$D$24='1. Total PFAS Calculator'!$K$20,"",SUM(H7:H24))</f>
        <v>0</v>
      </c>
      <c r="I25" s="259">
        <f>IF('1. Total PFAS Calculator'!$D$24='1. Total PFAS Calculator'!$K$20,"",SUM(I7:I24))</f>
        <v>0</v>
      </c>
      <c r="J25" s="260">
        <f>IF('1. Total PFAS Calculator'!$D$24='1. Total PFAS Calculator'!$K$20,"",SUM(J7:J24))</f>
        <v>0</v>
      </c>
      <c r="K25" s="280">
        <f>IF('1. Total PFAS Calculator'!$D$24='1. Total PFAS Calculator'!$K$20,"",SUM(K7:K24))</f>
        <v>0</v>
      </c>
      <c r="L25" s="246">
        <f>IF('1. Total PFAS Calculator'!$D$24='1. Total PFAS Calculator'!$K$20,"",SUM(L7:L24))</f>
        <v>0</v>
      </c>
      <c r="M25" s="239">
        <f>IF('1. Total PFAS Calculator'!$D$24='1. Total PFAS Calculator'!$K$20,"",SUM(M7:M24))</f>
        <v>0</v>
      </c>
      <c r="N25" s="241">
        <f>IF('1. Total PFAS Calculator'!$D$24='1. Total PFAS Calculator'!$K$20,"",SUM(N7:N24))</f>
        <v>0</v>
      </c>
      <c r="P25" s="22"/>
    </row>
    <row r="26" spans="2:16" s="20" customFormat="1" ht="13.5" thickTop="1" x14ac:dyDescent="0.2">
      <c r="B26" s="36"/>
      <c r="C26" s="19"/>
      <c r="D26" s="53"/>
      <c r="E26" s="53"/>
      <c r="F26" s="56"/>
      <c r="G26" s="56"/>
      <c r="H26" s="56"/>
      <c r="I26" s="262"/>
      <c r="J26" s="263"/>
      <c r="K26" s="327" t="s">
        <v>121</v>
      </c>
      <c r="L26" s="323" t="str">
        <f>IF('1. Total PFAS Calculator'!$D$24='1. Total PFAS Calculator'!$K$20,"",IF('2. Sample Data Input'!D4="","",'2. Sample Data Input'!D4))</f>
        <v/>
      </c>
      <c r="M26" s="288" t="str">
        <f>IF('1. Total PFAS Calculator'!$D$24='1. Total PFAS Calculator'!$K$20,"",IF('2. Sample Data Input'!D4="","  TOF Data Missing",""))</f>
        <v xml:space="preserve">  TOF Data Missing</v>
      </c>
      <c r="N26" s="22"/>
      <c r="P26" s="22"/>
    </row>
    <row r="27" spans="2:16" s="20" customFormat="1" ht="15" x14ac:dyDescent="0.2">
      <c r="B27" s="36"/>
      <c r="C27" s="19"/>
      <c r="D27" s="53"/>
      <c r="E27" s="53"/>
      <c r="F27" s="56"/>
      <c r="G27" s="56"/>
      <c r="H27" s="56"/>
      <c r="I27" s="264"/>
      <c r="J27" s="265"/>
      <c r="K27" s="328" t="s">
        <v>146</v>
      </c>
      <c r="L27" s="324" t="str">
        <f>IF('1. Total PFAS Calculator'!$D$24='1. Total PFAS Calculator'!$K$20,"",IF('2. Sample Data Input'!D4="","",IF(L26&lt;L25,"Error",(L26-L25))))</f>
        <v/>
      </c>
      <c r="M27" s="20" t="str">
        <f>IF('2. Sample Data Input'!D4="","",IF(L26&lt;L25,"Error - Input TOF Less Than TOPs-Predicted TOF",""))</f>
        <v/>
      </c>
      <c r="N27" s="22"/>
      <c r="P27" s="22"/>
    </row>
    <row r="28" spans="2:16" s="20" customFormat="1" ht="15" x14ac:dyDescent="0.2">
      <c r="B28" s="36"/>
      <c r="C28" s="19"/>
      <c r="D28" s="53"/>
      <c r="E28" s="53"/>
      <c r="F28" s="56"/>
      <c r="G28" s="56"/>
      <c r="H28" s="56"/>
      <c r="I28" s="286"/>
      <c r="J28" s="287"/>
      <c r="K28" s="329" t="s">
        <v>140</v>
      </c>
      <c r="L28" s="325">
        <f>IF('1. Total PFAS Calculator'!$D$24='1. Total PFAS Calculator'!$K$20,"",'2. Sample Data Input'!D5)</f>
        <v>1.73</v>
      </c>
      <c r="M28" s="49"/>
      <c r="N28" s="22"/>
      <c r="P28" s="22"/>
    </row>
    <row r="29" spans="2:16" s="20" customFormat="1" ht="15" x14ac:dyDescent="0.2">
      <c r="B29" s="36"/>
      <c r="C29" s="19"/>
      <c r="D29" s="53"/>
      <c r="E29" s="53"/>
      <c r="F29" s="56"/>
      <c r="G29" s="56"/>
      <c r="H29" s="56"/>
      <c r="I29" s="320"/>
      <c r="J29" s="318"/>
      <c r="K29" s="330" t="s">
        <v>147</v>
      </c>
      <c r="L29" s="326" t="str">
        <f>IF('1. Total PFAS Calculator'!$D$24='1. Total PFAS Calculator'!$K$20,"",IF('2. Sample Data Input'!D4="","",IF(L26&lt;L25,"Error",(L27*L28))))</f>
        <v/>
      </c>
      <c r="M29" s="49"/>
      <c r="N29" s="22"/>
      <c r="P29" s="22"/>
    </row>
    <row r="30" spans="2:16" s="20" customFormat="1" ht="13.5" thickBot="1" x14ac:dyDescent="0.25">
      <c r="B30" s="39"/>
      <c r="C30" s="19"/>
      <c r="D30" s="53"/>
      <c r="E30" s="53"/>
      <c r="F30" s="37"/>
      <c r="G30" s="37"/>
      <c r="H30" s="37"/>
      <c r="I30" s="321"/>
      <c r="J30" s="322"/>
      <c r="K30" s="331" t="s">
        <v>172</v>
      </c>
      <c r="L30" s="332" t="str">
        <f>IF(L29="","",L29/F13)</f>
        <v/>
      </c>
      <c r="M30" s="59"/>
      <c r="N30" s="22"/>
      <c r="P30" s="22"/>
    </row>
    <row r="31" spans="2:16" s="20" customFormat="1" ht="13.5" thickTop="1" x14ac:dyDescent="0.2">
      <c r="B31" s="39"/>
      <c r="C31" s="19"/>
      <c r="D31" s="53"/>
      <c r="E31" s="53"/>
      <c r="F31" s="37"/>
      <c r="G31" s="37"/>
      <c r="H31" s="37"/>
      <c r="I31" s="37"/>
      <c r="J31" s="37"/>
      <c r="K31" s="37"/>
      <c r="M31" s="59"/>
      <c r="N31" s="22"/>
      <c r="P31" s="22"/>
    </row>
    <row r="32" spans="2:16" s="20" customFormat="1" ht="30" customHeight="1" x14ac:dyDescent="0.2">
      <c r="B32" s="383" t="s">
        <v>179</v>
      </c>
      <c r="C32" s="349"/>
      <c r="D32" s="349"/>
      <c r="E32" s="349"/>
      <c r="F32" s="349"/>
      <c r="G32" s="349"/>
      <c r="H32" s="349"/>
      <c r="I32" s="349"/>
      <c r="J32" s="349"/>
      <c r="K32" s="349"/>
      <c r="L32" s="349"/>
      <c r="M32" s="349"/>
      <c r="N32" s="349"/>
      <c r="O32" s="22"/>
      <c r="P32" s="22"/>
    </row>
    <row r="33" spans="2:16" s="20" customFormat="1" x14ac:dyDescent="0.2">
      <c r="B33" s="39"/>
      <c r="C33" s="19"/>
      <c r="D33" s="53"/>
      <c r="E33" s="53"/>
      <c r="F33" s="37"/>
      <c r="G33" s="37"/>
      <c r="H33" s="37"/>
      <c r="I33" s="37"/>
      <c r="J33" s="37"/>
      <c r="K33" s="297"/>
      <c r="L33" s="57"/>
      <c r="M33" s="59"/>
      <c r="N33" s="22"/>
      <c r="O33" s="22"/>
      <c r="P33" s="22"/>
    </row>
    <row r="34" spans="2:16" s="20" customFormat="1" x14ac:dyDescent="0.2">
      <c r="B34" s="39" t="s">
        <v>0</v>
      </c>
      <c r="C34" s="19"/>
      <c r="D34" s="53"/>
      <c r="E34" s="53"/>
      <c r="F34" s="37"/>
      <c r="G34" s="37"/>
      <c r="H34" s="37"/>
      <c r="I34" s="37"/>
      <c r="J34" s="37"/>
      <c r="K34" s="297"/>
      <c r="L34" s="57"/>
      <c r="M34" s="59"/>
      <c r="N34" s="22"/>
      <c r="O34" s="22"/>
      <c r="P34" s="22"/>
    </row>
    <row r="35" spans="2:16" s="40" customFormat="1" ht="17.100000000000001" customHeight="1" x14ac:dyDescent="0.2">
      <c r="B35" s="383" t="s">
        <v>157</v>
      </c>
      <c r="C35" s="349"/>
      <c r="D35" s="349"/>
      <c r="E35" s="349"/>
      <c r="F35" s="349"/>
      <c r="G35" s="349"/>
      <c r="H35" s="349"/>
      <c r="I35" s="349"/>
      <c r="J35" s="349"/>
      <c r="K35" s="349"/>
      <c r="L35" s="349"/>
      <c r="M35" s="349"/>
      <c r="N35" s="349"/>
      <c r="P35" s="22"/>
    </row>
    <row r="36" spans="2:16" s="40" customFormat="1" ht="17.100000000000001" customHeight="1" x14ac:dyDescent="0.2">
      <c r="B36" s="383" t="s">
        <v>135</v>
      </c>
      <c r="C36" s="349"/>
      <c r="D36" s="349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P36" s="22"/>
    </row>
    <row r="37" spans="2:16" ht="17.100000000000001" customHeight="1" x14ac:dyDescent="0.2">
      <c r="B37" s="383" t="s">
        <v>181</v>
      </c>
      <c r="C37" s="349"/>
      <c r="D37" s="349"/>
      <c r="E37" s="349"/>
      <c r="F37" s="349"/>
      <c r="G37" s="349"/>
      <c r="H37" s="349"/>
      <c r="I37" s="349"/>
      <c r="J37" s="349"/>
      <c r="K37" s="349"/>
      <c r="L37" s="349"/>
      <c r="M37" s="349"/>
      <c r="N37" s="349"/>
    </row>
    <row r="38" spans="2:16" ht="17.100000000000001" customHeight="1" x14ac:dyDescent="0.2">
      <c r="B38" s="383" t="s">
        <v>142</v>
      </c>
      <c r="C38" s="349"/>
      <c r="D38" s="349"/>
      <c r="E38" s="349"/>
      <c r="F38" s="349"/>
      <c r="G38" s="349"/>
      <c r="H38" s="349"/>
      <c r="I38" s="349"/>
      <c r="J38" s="349"/>
      <c r="K38" s="349"/>
      <c r="L38" s="349"/>
      <c r="M38" s="349"/>
      <c r="N38" s="349"/>
    </row>
    <row r="39" spans="2:16" ht="39.950000000000003" customHeight="1" x14ac:dyDescent="0.2">
      <c r="B39" s="383" t="s">
        <v>156</v>
      </c>
      <c r="C39" s="349"/>
      <c r="D39" s="349"/>
      <c r="E39" s="349"/>
      <c r="F39" s="349"/>
      <c r="G39" s="349"/>
      <c r="H39" s="349"/>
      <c r="I39" s="349"/>
      <c r="J39" s="349"/>
      <c r="K39" s="349"/>
      <c r="L39" s="349"/>
      <c r="M39" s="349"/>
      <c r="N39" s="349"/>
    </row>
    <row r="40" spans="2:16" ht="17.100000000000001" customHeight="1" x14ac:dyDescent="0.2">
      <c r="B40" s="383" t="s">
        <v>155</v>
      </c>
      <c r="C40" s="349"/>
      <c r="D40" s="349"/>
      <c r="E40" s="349"/>
      <c r="F40" s="349"/>
      <c r="G40" s="349"/>
      <c r="H40" s="349"/>
      <c r="I40" s="349"/>
      <c r="J40" s="349"/>
      <c r="K40" s="349"/>
      <c r="L40" s="349"/>
      <c r="M40" s="349"/>
      <c r="N40" s="349"/>
    </row>
  </sheetData>
  <sheetProtection algorithmName="SHA-512" hashValue="SX5RHB5TtedBvlhFEq8dqfLlfBnS5KDcp9a73xOSoJDACiDDUiYRuivGBZOGrp3q3dxKvIxmdzqIqjSkOcUWTQ==" saltValue="b7kpJe8/A4gK8defZFdOPg==" spinCount="100000" sheet="1" objects="1" scenarios="1"/>
  <mergeCells count="8">
    <mergeCell ref="M5:N5"/>
    <mergeCell ref="B32:N32"/>
    <mergeCell ref="B40:N40"/>
    <mergeCell ref="B35:N35"/>
    <mergeCell ref="B36:N36"/>
    <mergeCell ref="B37:N37"/>
    <mergeCell ref="B38:N38"/>
    <mergeCell ref="B39:N39"/>
  </mergeCells>
  <pageMargins left="0.7" right="0.7" top="0.75" bottom="0.75" header="0.3" footer="0.3"/>
  <pageSetup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D2120-E4D3-4184-97FC-91361FE72117}">
  <sheetPr>
    <tabColor rgb="FF00FFFF"/>
    <pageSetUpPr fitToPage="1"/>
  </sheetPr>
  <dimension ref="B3:Q29"/>
  <sheetViews>
    <sheetView showGridLines="0" showRowColHeaders="0" workbookViewId="0">
      <selection activeCell="H17" sqref="H17"/>
    </sheetView>
  </sheetViews>
  <sheetFormatPr defaultRowHeight="12.75" x14ac:dyDescent="0.2"/>
  <cols>
    <col min="2" max="2" width="12.5703125" customWidth="1"/>
    <col min="3" max="3" width="30.5703125" customWidth="1"/>
    <col min="4" max="9" width="15.5703125" customWidth="1"/>
    <col min="10" max="10" width="40.5703125" customWidth="1"/>
    <col min="12" max="16" width="12.5703125" customWidth="1"/>
    <col min="17" max="17" width="12.5703125" style="1" customWidth="1"/>
    <col min="18" max="18" width="12.5703125" customWidth="1"/>
  </cols>
  <sheetData>
    <row r="3" spans="2:16" x14ac:dyDescent="0.2">
      <c r="H3" s="175"/>
    </row>
    <row r="4" spans="2:16" ht="15.75" x14ac:dyDescent="0.25">
      <c r="B4" s="116" t="s">
        <v>148</v>
      </c>
      <c r="G4" s="175"/>
      <c r="H4" s="136"/>
      <c r="I4" s="136"/>
    </row>
    <row r="5" spans="2:16" ht="13.5" thickBot="1" x14ac:dyDescent="0.25"/>
    <row r="6" spans="2:16" s="20" customFormat="1" ht="54.6" customHeight="1" thickTop="1" thickBot="1" x14ac:dyDescent="0.3">
      <c r="B6" s="98" t="s">
        <v>71</v>
      </c>
      <c r="C6" s="99" t="s">
        <v>72</v>
      </c>
      <c r="D6" s="100" t="s">
        <v>66</v>
      </c>
      <c r="E6" s="101" t="s">
        <v>102</v>
      </c>
      <c r="F6" s="102" t="s">
        <v>103</v>
      </c>
      <c r="G6" s="169" t="s">
        <v>86</v>
      </c>
      <c r="H6" s="173" t="s">
        <v>98</v>
      </c>
      <c r="I6" s="174" t="s">
        <v>99</v>
      </c>
      <c r="J6" s="170" t="s">
        <v>104</v>
      </c>
      <c r="K6" s="21"/>
      <c r="M6" s="132"/>
    </row>
    <row r="7" spans="2:16" s="20" customFormat="1" ht="15.75" x14ac:dyDescent="0.25">
      <c r="B7" s="103" t="s">
        <v>4</v>
      </c>
      <c r="C7" s="104" t="s">
        <v>23</v>
      </c>
      <c r="D7" s="105" t="s">
        <v>43</v>
      </c>
      <c r="E7" s="97">
        <f>IF('1. Total PFAS Calculator'!$D$24='1. Total PFAS Calculator'!$K$20,"-",IF('2. Sample Data Input'!D9="",0,'2. Sample Data Input'!D9))</f>
        <v>0</v>
      </c>
      <c r="F7" s="115">
        <f>IF('1. Total PFAS Calculator'!$D$24='1. Total PFAS Calculator'!$K$20,"-",IF('2. Sample Data Input'!E9="",0,'2. Sample Data Input'!E9))</f>
        <v>0</v>
      </c>
      <c r="G7" s="166">
        <f>IF('1. Total PFAS Calculator'!$D$24='1. Total PFAS Calculator'!$K$20,"-",IF(AND(E7=0,F7=0),E7,IF((F7-E7)&lt;0,"",(F7-E7))))</f>
        <v>0</v>
      </c>
      <c r="H7" s="215">
        <f>'3. PFAS Summary Action Levels'!E7</f>
        <v>127000000</v>
      </c>
      <c r="I7" s="216">
        <f>'3. PFAS Summary Action Levels'!F7</f>
        <v>127000000</v>
      </c>
      <c r="J7" s="171" t="str">
        <f>IF('1. Total PFAS Calculator'!$D$24='1. Total PFAS Calculator'!$K$20,"",IF(AND(G7&gt;H7,G7&gt;I7),"Potential Chronic and acute aquatic toxicity risk",IF(G7&gt;H7,"Potential chronic aquatic toxicity risk","")))</f>
        <v/>
      </c>
      <c r="K7" s="21"/>
      <c r="L7" s="22"/>
      <c r="M7" s="125"/>
      <c r="N7" s="22"/>
      <c r="O7" s="22"/>
      <c r="P7" s="22"/>
    </row>
    <row r="8" spans="2:16" s="20" customFormat="1" ht="15.75" x14ac:dyDescent="0.25">
      <c r="B8" s="103" t="s">
        <v>6</v>
      </c>
      <c r="C8" s="104" t="s">
        <v>158</v>
      </c>
      <c r="D8" s="105" t="s">
        <v>62</v>
      </c>
      <c r="E8" s="97">
        <f>IF('1. Total PFAS Calculator'!$D$24='1. Total PFAS Calculator'!$K$20,"-",IF('2. Sample Data Input'!D10="",0,'2. Sample Data Input'!D10))</f>
        <v>0</v>
      </c>
      <c r="F8" s="115">
        <f>IF('1. Total PFAS Calculator'!$D$24='1. Total PFAS Calculator'!$K$20,"-",IF('2. Sample Data Input'!E10="",0,'2. Sample Data Input'!E10))</f>
        <v>0</v>
      </c>
      <c r="G8" s="167">
        <f>IF('1. Total PFAS Calculator'!$D$24='1. Total PFAS Calculator'!$K$20,"-",IF(AND(E8=0,F8=0),E8,IF((F8-E8)&lt;0,"",(F8-E8))))</f>
        <v>0</v>
      </c>
      <c r="H8" s="172">
        <f>'3. PFAS Summary Action Levels'!E8</f>
        <v>2538.4615384615381</v>
      </c>
      <c r="I8" s="217">
        <f>'3. PFAS Summary Action Levels'!F8</f>
        <v>2538.4615384615381</v>
      </c>
      <c r="J8" s="171" t="str">
        <f>IF('1. Total PFAS Calculator'!$D$24='1. Total PFAS Calculator'!$K$20,"",IF(AND(G8&gt;H8,G8&gt;I8),"Potential Chronic and acute aquatic toxicity risk",IF(G8&gt;H8,"Potential chronic aquatic toxicity risk","")))</f>
        <v/>
      </c>
      <c r="K8" s="21"/>
      <c r="L8" s="123"/>
      <c r="M8" s="125"/>
      <c r="N8" s="22"/>
      <c r="O8" s="22"/>
      <c r="P8" s="22"/>
    </row>
    <row r="9" spans="2:16" s="20" customFormat="1" ht="15.75" x14ac:dyDescent="0.25">
      <c r="B9" s="106" t="s">
        <v>5</v>
      </c>
      <c r="C9" s="107" t="s">
        <v>24</v>
      </c>
      <c r="D9" s="108" t="s">
        <v>44</v>
      </c>
      <c r="E9" s="97">
        <f>IF('1. Total PFAS Calculator'!$D$24='1. Total PFAS Calculator'!$K$20,"-",IF('2. Sample Data Input'!D11="",0,'2. Sample Data Input'!D11))</f>
        <v>0</v>
      </c>
      <c r="F9" s="115">
        <f>IF('1. Total PFAS Calculator'!$D$24='1. Total PFAS Calculator'!$K$20,"-",IF('2. Sample Data Input'!E11="",0,'2. Sample Data Input'!E11))</f>
        <v>0</v>
      </c>
      <c r="G9" s="167">
        <f>IF('1. Total PFAS Calculator'!$D$24='1. Total PFAS Calculator'!$K$20,"-",IF(AND(E9=0,F9=0),E9,IF((F9-E9)&lt;0,"",(F9-E9))))</f>
        <v>0</v>
      </c>
      <c r="H9" s="172">
        <f>'3. PFAS Summary Action Levels'!E9</f>
        <v>10000</v>
      </c>
      <c r="I9" s="217">
        <f>'3. PFAS Summary Action Levels'!F9</f>
        <v>10000</v>
      </c>
      <c r="J9" s="171" t="str">
        <f>IF('1. Total PFAS Calculator'!$D$24='1. Total PFAS Calculator'!$K$20,"",IF(AND(G9&gt;H9,G9&gt;I9),"Potential Chronic and acute aquatic toxicity risk",IF(G9&gt;H9,"Potential chronic aquatic toxicity risk","")))</f>
        <v/>
      </c>
      <c r="K9" s="21"/>
      <c r="L9" s="22"/>
      <c r="M9" s="125"/>
      <c r="N9" s="22"/>
      <c r="O9" s="22"/>
      <c r="P9" s="22"/>
    </row>
    <row r="10" spans="2:16" s="20" customFormat="1" ht="15.75" x14ac:dyDescent="0.25">
      <c r="B10" s="106" t="s">
        <v>6</v>
      </c>
      <c r="C10" s="109" t="s">
        <v>40</v>
      </c>
      <c r="D10" s="110" t="s">
        <v>45</v>
      </c>
      <c r="E10" s="97">
        <f>IF('1. Total PFAS Calculator'!$D$24='1. Total PFAS Calculator'!$K$20,"-",IF('2. Sample Data Input'!D12="",0,'2. Sample Data Input'!D12))</f>
        <v>0</v>
      </c>
      <c r="F10" s="115">
        <f>IF('1. Total PFAS Calculator'!$D$24='1. Total PFAS Calculator'!$K$20,"-",IF('2. Sample Data Input'!E12="",0,'2. Sample Data Input'!E12))</f>
        <v>0</v>
      </c>
      <c r="G10" s="167">
        <f>IF('1. Total PFAS Calculator'!$D$24='1. Total PFAS Calculator'!$K$20,"-",IF(AND(E10=0,F10=0),E10,IF((F10-E10)&lt;0,"",(F10-E10))))</f>
        <v>0</v>
      </c>
      <c r="H10" s="172">
        <f>'3. PFAS Summary Action Levels'!E10</f>
        <v>38.461538461538474</v>
      </c>
      <c r="I10" s="217">
        <f>'3. PFAS Summary Action Levels'!F10</f>
        <v>38.461538461538474</v>
      </c>
      <c r="J10" s="171" t="str">
        <f>IF('1. Total PFAS Calculator'!$D$24='1. Total PFAS Calculator'!$K$20,"",IF(AND(G10&gt;H10,G10&gt;I10),"Potential Chronic and acute aquatic toxicity risk",IF(G10&gt;H10,"Potential chronic aquatic toxicity risk","")))</f>
        <v/>
      </c>
      <c r="K10" s="21"/>
      <c r="L10" s="22"/>
      <c r="M10" s="125"/>
      <c r="N10" s="22"/>
      <c r="O10" s="22"/>
      <c r="P10" s="22"/>
    </row>
    <row r="11" spans="2:16" s="20" customFormat="1" ht="15.75" x14ac:dyDescent="0.25">
      <c r="B11" s="106" t="s">
        <v>7</v>
      </c>
      <c r="C11" s="107" t="s">
        <v>25</v>
      </c>
      <c r="D11" s="108" t="s">
        <v>46</v>
      </c>
      <c r="E11" s="97">
        <f>IF('1. Total PFAS Calculator'!$D$24='1. Total PFAS Calculator'!$K$20,"-",IF('2. Sample Data Input'!D13="",0,'2. Sample Data Input'!D13))</f>
        <v>0</v>
      </c>
      <c r="F11" s="115">
        <f>IF('1. Total PFAS Calculator'!$D$24='1. Total PFAS Calculator'!$K$20,"-",IF('2. Sample Data Input'!E13="",0,'2. Sample Data Input'!E13))</f>
        <v>0</v>
      </c>
      <c r="G11" s="167">
        <f>IF('1. Total PFAS Calculator'!$D$24='1. Total PFAS Calculator'!$K$20,"-",IF(AND(E11=0,F11=0),E11,IF((F11-E11)&lt;0,"",(F11-E11))))</f>
        <v>0</v>
      </c>
      <c r="H11" s="172">
        <f>'3. PFAS Summary Action Levels'!E11</f>
        <v>1100</v>
      </c>
      <c r="I11" s="217">
        <f>'3. PFAS Summary Action Levels'!F11</f>
        <v>31000</v>
      </c>
      <c r="J11" s="171" t="str">
        <f>IF('1. Total PFAS Calculator'!$D$24='1. Total PFAS Calculator'!$K$20,"",IF(AND(G11&gt;H11,G11&gt;I11),"Potential Chronic and acute aquatic toxicity risk",IF(G11&gt;H11,"Potential chronic aquatic toxicity risk","")))</f>
        <v/>
      </c>
      <c r="K11" s="21"/>
      <c r="L11" s="22"/>
      <c r="M11" s="125"/>
      <c r="N11" s="22"/>
      <c r="O11" s="22"/>
      <c r="P11" s="22"/>
    </row>
    <row r="12" spans="2:16" s="20" customFormat="1" ht="15" customHeight="1" x14ac:dyDescent="0.25">
      <c r="B12" s="106" t="s">
        <v>8</v>
      </c>
      <c r="C12" s="107" t="s">
        <v>26</v>
      </c>
      <c r="D12" s="108" t="s">
        <v>47</v>
      </c>
      <c r="E12" s="97">
        <f>IF('1. Total PFAS Calculator'!$D$24='1. Total PFAS Calculator'!$K$20,"-",IF('2. Sample Data Input'!D14="",0,'2. Sample Data Input'!D14))</f>
        <v>0</v>
      </c>
      <c r="F12" s="115">
        <f>IF('1. Total PFAS Calculator'!$D$24='1. Total PFAS Calculator'!$K$20,"-",IF('2. Sample Data Input'!E14="",0,'2. Sample Data Input'!E14))</f>
        <v>0</v>
      </c>
      <c r="G12" s="167">
        <f>IF('1. Total PFAS Calculator'!$D$24='1. Total PFAS Calculator'!$K$20,"-",IF(AND(E12=0,F12=0),E12,IF((F12-E12)&lt;0,"",(F12-E12))))</f>
        <v>0</v>
      </c>
      <c r="H12" s="172">
        <f>'3. PFAS Summary Action Levels'!E12</f>
        <v>38.461538461538474</v>
      </c>
      <c r="I12" s="217">
        <f>'3. PFAS Summary Action Levels'!F12</f>
        <v>38.461538461538474</v>
      </c>
      <c r="J12" s="171" t="str">
        <f>IF('1. Total PFAS Calculator'!$D$24='1. Total PFAS Calculator'!$K$20,"",IF(AND(G12&gt;H12,G12&gt;I12),"Potential Chronic and acute aquatic toxicity risk",IF(G12&gt;H12,"Potential chronic aquatic toxicity risk","")))</f>
        <v/>
      </c>
      <c r="K12" s="21"/>
      <c r="L12" s="22"/>
      <c r="M12" s="125"/>
      <c r="N12" s="22"/>
      <c r="O12" s="22"/>
      <c r="P12" s="22"/>
    </row>
    <row r="13" spans="2:16" s="20" customFormat="1" ht="15" customHeight="1" x14ac:dyDescent="0.25">
      <c r="B13" s="106" t="s">
        <v>65</v>
      </c>
      <c r="C13" s="107" t="s">
        <v>41</v>
      </c>
      <c r="D13" s="108" t="s">
        <v>50</v>
      </c>
      <c r="E13" s="97">
        <f>IF('1. Total PFAS Calculator'!$D$24='1. Total PFAS Calculator'!$K$20,"-",IF('2. Sample Data Input'!D15="",0,'2. Sample Data Input'!D15))</f>
        <v>0</v>
      </c>
      <c r="F13" s="115">
        <f>IF('1. Total PFAS Calculator'!$D$24='1. Total PFAS Calculator'!$K$20,"-",IF('2. Sample Data Input'!E15="",0,'2. Sample Data Input'!E15))</f>
        <v>0</v>
      </c>
      <c r="G13" s="167">
        <f>IF('1. Total PFAS Calculator'!$D$24='1. Total PFAS Calculator'!$K$20,"-",IF(AND(E13=0,F13=0),E13,IF((F13-E13)&lt;0,"",(F13-E13))))</f>
        <v>0</v>
      </c>
      <c r="H13" s="172">
        <f>'3. PFAS Summary Action Levels'!E13</f>
        <v>513.19648093841647</v>
      </c>
      <c r="I13" s="217">
        <f>'3. PFAS Summary Action Levels'!F13</f>
        <v>513.19648093841647</v>
      </c>
      <c r="J13" s="171" t="str">
        <f>IF('1. Total PFAS Calculator'!$D$24='1. Total PFAS Calculator'!$K$20,"",IF(AND(G13&gt;H13,G13&gt;I13),"Potential Chronic and acute aquatic toxicity risk",IF(G13&gt;H13,"Potential chronic aquatic toxicity risk","")))</f>
        <v/>
      </c>
      <c r="K13" s="21"/>
      <c r="L13" s="22"/>
      <c r="M13" s="125"/>
      <c r="N13" s="22"/>
      <c r="O13" s="22"/>
      <c r="P13" s="22"/>
    </row>
    <row r="14" spans="2:16" s="20" customFormat="1" ht="15" customHeight="1" x14ac:dyDescent="0.25">
      <c r="B14" s="106" t="s">
        <v>9</v>
      </c>
      <c r="C14" s="107" t="s">
        <v>27</v>
      </c>
      <c r="D14" s="108" t="s">
        <v>48</v>
      </c>
      <c r="E14" s="97">
        <f>IF('1. Total PFAS Calculator'!$D$24='1. Total PFAS Calculator'!$K$20,"-",IF('2. Sample Data Input'!D16="",0,'2. Sample Data Input'!D16))</f>
        <v>0</v>
      </c>
      <c r="F14" s="115">
        <f>IF('1. Total PFAS Calculator'!$D$24='1. Total PFAS Calculator'!$K$20,"-",IF('2. Sample Data Input'!E16="",0,'2. Sample Data Input'!E16))</f>
        <v>0</v>
      </c>
      <c r="G14" s="167">
        <f>IF('1. Total PFAS Calculator'!$D$24='1. Total PFAS Calculator'!$K$20,"-",IF(AND(E14=0,F14=0),E14,IF((F14-E14)&lt;0,"",(F14-E14))))</f>
        <v>0</v>
      </c>
      <c r="H14" s="172">
        <f>'3. PFAS Summary Action Levels'!E14</f>
        <v>830000</v>
      </c>
      <c r="I14" s="217">
        <f>'3. PFAS Summary Action Levels'!F14</f>
        <v>830000</v>
      </c>
      <c r="J14" s="171" t="str">
        <f>IF('1. Total PFAS Calculator'!$D$24='1. Total PFAS Calculator'!$K$20,"",IF(AND(G14&gt;H14,G14&gt;I14),"Potential Chronic and acute aquatic toxicity risk",IF(G14&gt;H14,"Potential chronic aquatic toxicity risk","")))</f>
        <v/>
      </c>
      <c r="K14" s="21"/>
      <c r="L14" s="22"/>
      <c r="M14" s="125"/>
      <c r="N14" s="22"/>
      <c r="O14" s="22"/>
      <c r="P14" s="22"/>
    </row>
    <row r="15" spans="2:16" s="20" customFormat="1" ht="15" customHeight="1" x14ac:dyDescent="0.25">
      <c r="B15" s="106" t="s">
        <v>10</v>
      </c>
      <c r="C15" s="107" t="s">
        <v>28</v>
      </c>
      <c r="D15" s="108" t="s">
        <v>49</v>
      </c>
      <c r="E15" s="97">
        <f>IF('1. Total PFAS Calculator'!$D$24='1. Total PFAS Calculator'!$K$20,"-",IF('2. Sample Data Input'!D17="",0,'2. Sample Data Input'!D17))</f>
        <v>0</v>
      </c>
      <c r="F15" s="115">
        <f>IF('1. Total PFAS Calculator'!$D$24='1. Total PFAS Calculator'!$K$20,"-",IF('2. Sample Data Input'!E17="",0,'2. Sample Data Input'!E17))</f>
        <v>0</v>
      </c>
      <c r="G15" s="167">
        <f>IF('1. Total PFAS Calculator'!$D$24='1. Total PFAS Calculator'!$K$20,"-",IF(AND(E15=0,F15=0),E15,IF((F15-E15)&lt;0,"",(F15-E15))))</f>
        <v>0</v>
      </c>
      <c r="H15" s="172">
        <f>'3. PFAS Summary Action Levels'!E15</f>
        <v>1538.4615384615383</v>
      </c>
      <c r="I15" s="217">
        <f>'3. PFAS Summary Action Levels'!F15</f>
        <v>1538.4615384615383</v>
      </c>
      <c r="J15" s="171" t="str">
        <f>IF('1. Total PFAS Calculator'!$D$24='1. Total PFAS Calculator'!$K$20,"",IF(AND(G15&gt;H15,G15&gt;I15),"Potential Chronic and acute aquatic toxicity risk",IF(G15&gt;H15,"Potential chronic aquatic toxicity risk","")))</f>
        <v/>
      </c>
      <c r="K15" s="21"/>
      <c r="L15" s="22"/>
      <c r="M15" s="22"/>
      <c r="N15" s="22"/>
      <c r="O15" s="22"/>
      <c r="P15" s="22"/>
    </row>
    <row r="16" spans="2:16" s="20" customFormat="1" ht="15" customHeight="1" x14ac:dyDescent="0.25">
      <c r="B16" s="106" t="s">
        <v>11</v>
      </c>
      <c r="C16" s="107" t="s">
        <v>29</v>
      </c>
      <c r="D16" s="108" t="s">
        <v>51</v>
      </c>
      <c r="E16" s="97">
        <f>IF('1. Total PFAS Calculator'!$D$24='1. Total PFAS Calculator'!$K$20,"-",IF('2. Sample Data Input'!D18="",0,'2. Sample Data Input'!D18))</f>
        <v>0</v>
      </c>
      <c r="F16" s="115">
        <f>IF('1. Total PFAS Calculator'!$D$24='1. Total PFAS Calculator'!$K$20,"-",IF('2. Sample Data Input'!E18="",0,'2. Sample Data Input'!E18))</f>
        <v>0</v>
      </c>
      <c r="G16" s="167">
        <f>IF('1. Total PFAS Calculator'!$D$24='1. Total PFAS Calculator'!$K$20,"-",IF(AND(E16=0,F16=0),E16,IF((F16-E16)&lt;0,"",(F16-E16))))</f>
        <v>0</v>
      </c>
      <c r="H16" s="172">
        <f>'3. PFAS Summary Action Levels'!E16</f>
        <v>6300000</v>
      </c>
      <c r="I16" s="217">
        <f>'3. PFAS Summary Action Levels'!F16</f>
        <v>48000000</v>
      </c>
      <c r="J16" s="171" t="str">
        <f>IF('1. Total PFAS Calculator'!$D$24='1. Total PFAS Calculator'!$K$20,"",IF(AND(G16&gt;H16,G16&gt;I16),"Potential Chronic and acute aquatic toxicity risk",IF(G16&gt;H16,"Potential chronic aquatic toxicity risk","")))</f>
        <v/>
      </c>
      <c r="K16" s="21"/>
      <c r="L16" s="22"/>
      <c r="M16" s="22"/>
      <c r="N16" s="22"/>
      <c r="O16" s="22"/>
      <c r="P16" s="22"/>
    </row>
    <row r="17" spans="2:17" s="20" customFormat="1" ht="15" customHeight="1" x14ac:dyDescent="0.25">
      <c r="B17" s="106" t="s">
        <v>12</v>
      </c>
      <c r="C17" s="107" t="s">
        <v>30</v>
      </c>
      <c r="D17" s="108" t="s">
        <v>52</v>
      </c>
      <c r="E17" s="97">
        <f>IF('1. Total PFAS Calculator'!$D$24='1. Total PFAS Calculator'!$K$20,"-",IF('2. Sample Data Input'!D19="",0,'2. Sample Data Input'!D19))</f>
        <v>0</v>
      </c>
      <c r="F17" s="115">
        <f>IF('1. Total PFAS Calculator'!$D$24='1. Total PFAS Calculator'!$K$20,"-",IF('2. Sample Data Input'!E19="",0,'2. Sample Data Input'!E19))</f>
        <v>0</v>
      </c>
      <c r="G17" s="167">
        <f>IF('1. Total PFAS Calculator'!$D$24='1. Total PFAS Calculator'!$K$20,"-",IF(AND(E17=0,F17=0),E17,IF((F17-E17)&lt;0,"",(F17-E17))))</f>
        <v>0</v>
      </c>
      <c r="H17" s="172">
        <f>'3. PFAS Summary Action Levels'!E17</f>
        <v>76.923076923076948</v>
      </c>
      <c r="I17" s="217">
        <f>'3. PFAS Summary Action Levels'!F17</f>
        <v>76.923076923076948</v>
      </c>
      <c r="J17" s="171" t="str">
        <f>IF('1. Total PFAS Calculator'!$D$24='1. Total PFAS Calculator'!$K$20,"",IF(AND(G17&gt;H17,G17&gt;I17),"Potential Chronic and acute aquatic toxicity risk",IF(G17&gt;H17,"Potential chronic aquatic toxicity risk","")))</f>
        <v/>
      </c>
      <c r="K17" s="21"/>
      <c r="L17" s="22"/>
      <c r="M17" s="22"/>
      <c r="N17" s="22"/>
      <c r="O17" s="22"/>
      <c r="P17" s="22"/>
    </row>
    <row r="18" spans="2:17" s="20" customFormat="1" ht="15" customHeight="1" x14ac:dyDescent="0.25">
      <c r="B18" s="106" t="s">
        <v>13</v>
      </c>
      <c r="C18" s="107" t="s">
        <v>31</v>
      </c>
      <c r="D18" s="108" t="s">
        <v>53</v>
      </c>
      <c r="E18" s="97">
        <f>IF('1. Total PFAS Calculator'!$D$24='1. Total PFAS Calculator'!$K$20,"-",IF('2. Sample Data Input'!D20="",0,'2. Sample Data Input'!D20))</f>
        <v>0</v>
      </c>
      <c r="F18" s="115">
        <f>IF('1. Total PFAS Calculator'!$D$24='1. Total PFAS Calculator'!$K$20,"-",IF('2. Sample Data Input'!E20="",0,'2. Sample Data Input'!E20))</f>
        <v>0</v>
      </c>
      <c r="G18" s="167">
        <f>IF('1. Total PFAS Calculator'!$D$24='1. Total PFAS Calculator'!$K$20,"-",IF(AND(E18=0,F18=0),E18,IF((F18-E18)&lt;0,"",(F18-E18))))</f>
        <v>0</v>
      </c>
      <c r="H18" s="172">
        <f>'3. PFAS Summary Action Levels'!E18</f>
        <v>8300</v>
      </c>
      <c r="I18" s="217">
        <f>'3. PFAS Summary Action Levels'!F18</f>
        <v>119000</v>
      </c>
      <c r="J18" s="171" t="str">
        <f>IF('1. Total PFAS Calculator'!$D$24='1. Total PFAS Calculator'!$K$20,"",IF(AND(G18&gt;H18,G18&gt;I18),"Potential Chronic and acute aquatic toxicity risk",IF(G18&gt;H18,"Potential chronic aquatic toxicity risk","")))</f>
        <v/>
      </c>
      <c r="K18" s="21"/>
      <c r="L18" s="22"/>
      <c r="M18" s="22"/>
      <c r="N18" s="22"/>
      <c r="O18" s="22"/>
      <c r="P18" s="22"/>
    </row>
    <row r="19" spans="2:17" s="20" customFormat="1" ht="15" customHeight="1" x14ac:dyDescent="0.25">
      <c r="B19" s="106" t="s">
        <v>14</v>
      </c>
      <c r="C19" s="107" t="s">
        <v>32</v>
      </c>
      <c r="D19" s="108" t="s">
        <v>54</v>
      </c>
      <c r="E19" s="97">
        <f>IF('1. Total PFAS Calculator'!$D$24='1. Total PFAS Calculator'!$K$20,"-",IF('2. Sample Data Input'!D21="",0,'2. Sample Data Input'!D21))</f>
        <v>0</v>
      </c>
      <c r="F19" s="115">
        <f>IF('1. Total PFAS Calculator'!$D$24='1. Total PFAS Calculator'!$K$20,"-",IF('2. Sample Data Input'!E21="",0,'2. Sample Data Input'!E21))</f>
        <v>0</v>
      </c>
      <c r="G19" s="167">
        <f>IF('1. Total PFAS Calculator'!$D$24='1. Total PFAS Calculator'!$K$20,"-",IF(AND(E19=0,F19=0),E19,IF((F19-E19)&lt;0,"",(F19-E19))))</f>
        <v>0</v>
      </c>
      <c r="H19" s="172">
        <f>'3. PFAS Summary Action Levels'!E19</f>
        <v>8000</v>
      </c>
      <c r="I19" s="217">
        <f>'3. PFAS Summary Action Levels'!F19</f>
        <v>8000</v>
      </c>
      <c r="J19" s="171" t="str">
        <f>IF('1. Total PFAS Calculator'!$D$24='1. Total PFAS Calculator'!$K$20,"",IF(AND(G19&gt;H19,G19&gt;I19),"Potential Chronic and acute aquatic toxicity risk",IF(G19&gt;H19,"Potential chronic aquatic toxicity risk","")))</f>
        <v/>
      </c>
      <c r="K19" s="21"/>
      <c r="L19" s="22"/>
      <c r="M19" s="22"/>
      <c r="N19" s="22"/>
      <c r="O19" s="22"/>
      <c r="P19" s="22"/>
    </row>
    <row r="20" spans="2:17" s="20" customFormat="1" ht="15" customHeight="1" x14ac:dyDescent="0.25">
      <c r="B20" s="106" t="s">
        <v>15</v>
      </c>
      <c r="C20" s="107" t="s">
        <v>33</v>
      </c>
      <c r="D20" s="108" t="s">
        <v>55</v>
      </c>
      <c r="E20" s="97">
        <f>IF('1. Total PFAS Calculator'!$D$24='1. Total PFAS Calculator'!$K$20,"-",IF('2. Sample Data Input'!D22="",0,'2. Sample Data Input'!D22))</f>
        <v>0</v>
      </c>
      <c r="F20" s="115">
        <f>IF('1. Total PFAS Calculator'!$D$24='1. Total PFAS Calculator'!$K$20,"-",IF('2. Sample Data Input'!E22="",0,'2. Sample Data Input'!E22))</f>
        <v>0</v>
      </c>
      <c r="G20" s="167">
        <f>IF('1. Total PFAS Calculator'!$D$24='1. Total PFAS Calculator'!$K$20,"-",IF(AND(E20=0,F20=0),E20,IF((F20-E20)&lt;0,"",(F20-E20))))</f>
        <v>0</v>
      </c>
      <c r="H20" s="172">
        <f>'3. PFAS Summary Action Levels'!E20</f>
        <v>10000</v>
      </c>
      <c r="I20" s="217">
        <f>'3. PFAS Summary Action Levels'!F20</f>
        <v>10000</v>
      </c>
      <c r="J20" s="171" t="str">
        <f>IF('1. Total PFAS Calculator'!$D$24='1. Total PFAS Calculator'!$K$20,"",IF(AND(G20&gt;H20,G20&gt;I20),"Potential Chronic and acute aquatic toxicity risk",IF(G20&gt;H20,"Potential chronic aquatic toxicity risk","")))</f>
        <v/>
      </c>
      <c r="K20" s="21"/>
      <c r="L20" s="22"/>
      <c r="M20" s="22"/>
      <c r="N20" s="22"/>
      <c r="O20" s="22"/>
      <c r="P20" s="22"/>
    </row>
    <row r="21" spans="2:17" s="20" customFormat="1" ht="15" customHeight="1" x14ac:dyDescent="0.25">
      <c r="B21" s="106" t="s">
        <v>16</v>
      </c>
      <c r="C21" s="107" t="s">
        <v>34</v>
      </c>
      <c r="D21" s="108" t="s">
        <v>56</v>
      </c>
      <c r="E21" s="97">
        <f>IF('1. Total PFAS Calculator'!$D$24='1. Total PFAS Calculator'!$K$20,"-",IF('2. Sample Data Input'!D23="",0,'2. Sample Data Input'!D23))</f>
        <v>0</v>
      </c>
      <c r="F21" s="115">
        <f>IF('1. Total PFAS Calculator'!$D$24='1. Total PFAS Calculator'!$K$20,"-",IF('2. Sample Data Input'!E23="",0,'2. Sample Data Input'!E23))</f>
        <v>0</v>
      </c>
      <c r="G21" s="167">
        <f>IF('1. Total PFAS Calculator'!$D$24='1. Total PFAS Calculator'!$K$20,"-",IF(AND(E21=0,F21=0),E21,IF((F21-E21)&lt;0,"",(F21-E21))))</f>
        <v>0</v>
      </c>
      <c r="H21" s="172">
        <f>'3. PFAS Summary Action Levels'!E21</f>
        <v>10000</v>
      </c>
      <c r="I21" s="217">
        <f>'3. PFAS Summary Action Levels'!F21</f>
        <v>10000</v>
      </c>
      <c r="J21" s="171" t="str">
        <f>IF('1. Total PFAS Calculator'!$D$24='1. Total PFAS Calculator'!$K$20,"",IF(AND(G21&gt;H21,G21&gt;I21),"Potential Chronic and acute aquatic toxicity risk",IF(G21&gt;H21,"Potential chronic aquatic toxicity risk","")))</f>
        <v/>
      </c>
      <c r="K21" s="21"/>
      <c r="L21" s="22"/>
      <c r="M21" s="22"/>
      <c r="N21" s="22"/>
      <c r="O21" s="22"/>
      <c r="P21" s="22"/>
    </row>
    <row r="22" spans="2:17" s="20" customFormat="1" ht="15" customHeight="1" x14ac:dyDescent="0.25">
      <c r="B22" s="106" t="s">
        <v>17</v>
      </c>
      <c r="C22" s="107" t="s">
        <v>35</v>
      </c>
      <c r="D22" s="108" t="s">
        <v>57</v>
      </c>
      <c r="E22" s="97">
        <f>IF('1. Total PFAS Calculator'!$D$24='1. Total PFAS Calculator'!$K$20,"-",IF('2. Sample Data Input'!D24="",0,'2. Sample Data Input'!D24))</f>
        <v>0</v>
      </c>
      <c r="F22" s="115">
        <f>IF('1. Total PFAS Calculator'!$D$24='1. Total PFAS Calculator'!$K$20,"-",IF('2. Sample Data Input'!E24="",0,'2. Sample Data Input'!E24))</f>
        <v>0</v>
      </c>
      <c r="G22" s="167">
        <f>IF('1. Total PFAS Calculator'!$D$24='1. Total PFAS Calculator'!$K$20,"-",IF(AND(E22=0,F22=0),E22,IF((F22-E22)&lt;0,"",(F22-E22))))</f>
        <v>0</v>
      </c>
      <c r="H22" s="172">
        <f>'3. PFAS Summary Action Levels'!E22</f>
        <v>20000</v>
      </c>
      <c r="I22" s="217">
        <f>'3. PFAS Summary Action Levels'!F22</f>
        <v>20000</v>
      </c>
      <c r="J22" s="171" t="str">
        <f>IF('1. Total PFAS Calculator'!$D$24='1. Total PFAS Calculator'!$K$20,"",IF(AND(G22&gt;H22,G22&gt;I22),"Potential Chronic and acute aquatic toxicity risk",IF(G22&gt;H22,"Potential chronic aquatic toxicity risk","")))</f>
        <v/>
      </c>
      <c r="K22" s="21"/>
      <c r="L22" s="22"/>
      <c r="M22" s="22"/>
      <c r="N22" s="22"/>
      <c r="O22" s="22"/>
      <c r="P22" s="22"/>
    </row>
    <row r="23" spans="2:17" s="20" customFormat="1" ht="15" customHeight="1" x14ac:dyDescent="0.25">
      <c r="B23" s="106" t="s">
        <v>18</v>
      </c>
      <c r="C23" s="107" t="s">
        <v>36</v>
      </c>
      <c r="D23" s="108" t="s">
        <v>58</v>
      </c>
      <c r="E23" s="97">
        <f>IF('1. Total PFAS Calculator'!$D$24='1. Total PFAS Calculator'!$K$20,"-",IF('2. Sample Data Input'!D25="",0,'2. Sample Data Input'!D25))</f>
        <v>0</v>
      </c>
      <c r="F23" s="115">
        <f>IF('1. Total PFAS Calculator'!$D$24='1. Total PFAS Calculator'!$K$20,"-",IF('2. Sample Data Input'!E25="",0,'2. Sample Data Input'!E25))</f>
        <v>0</v>
      </c>
      <c r="G23" s="167">
        <f>IF('1. Total PFAS Calculator'!$D$24='1. Total PFAS Calculator'!$K$20,"-",IF(AND(E23=0,F23=0),E23,IF((F23-E23)&lt;0,"",(F23-E23))))</f>
        <v>0</v>
      </c>
      <c r="H23" s="172">
        <f>'3. PFAS Summary Action Levels'!E23</f>
        <v>25.769230769230766</v>
      </c>
      <c r="I23" s="217">
        <f>'3. PFAS Summary Action Levels'!F23</f>
        <v>25.769230769230766</v>
      </c>
      <c r="J23" s="171" t="str">
        <f>IF('1. Total PFAS Calculator'!$D$24='1. Total PFAS Calculator'!$K$20,"",IF(AND(G23&gt;H23,G23&gt;I23),"Potential Chronic and acute aquatic toxicity risk",IF(G23&gt;H23,"Potential chronic aquatic toxicity risk","")))</f>
        <v/>
      </c>
      <c r="K23" s="21"/>
      <c r="L23" s="22"/>
      <c r="M23" s="22"/>
      <c r="N23" s="22"/>
      <c r="O23" s="22"/>
      <c r="P23" s="22"/>
    </row>
    <row r="24" spans="2:17" s="20" customFormat="1" ht="15" customHeight="1" thickBot="1" x14ac:dyDescent="0.3">
      <c r="B24" s="218" t="s">
        <v>19</v>
      </c>
      <c r="C24" s="219" t="s">
        <v>37</v>
      </c>
      <c r="D24" s="220" t="s">
        <v>59</v>
      </c>
      <c r="E24" s="221">
        <f>IF('1. Total PFAS Calculator'!$D$24='1. Total PFAS Calculator'!$K$20,"-",IF('2. Sample Data Input'!D26="",0,'2. Sample Data Input'!D26))</f>
        <v>0</v>
      </c>
      <c r="F24" s="222">
        <f>IF('1. Total PFAS Calculator'!$D$24='1. Total PFAS Calculator'!$K$20,"-",IF('2. Sample Data Input'!E26="",0,'2. Sample Data Input'!E26))</f>
        <v>0</v>
      </c>
      <c r="G24" s="223">
        <f>IF('1. Total PFAS Calculator'!$D$24='1. Total PFAS Calculator'!$K$20,"-",IF(AND(E24=0,F24=0),E24,IF((F24-E24)&lt;0,"",(F24-E24))))</f>
        <v>0</v>
      </c>
      <c r="H24" s="224">
        <f>'3. PFAS Summary Action Levels'!E24</f>
        <v>257.69230769230774</v>
      </c>
      <c r="I24" s="225">
        <f>'3. PFAS Summary Action Levels'!F24</f>
        <v>257.69230769230774</v>
      </c>
      <c r="J24" s="226" t="str">
        <f>IF('1. Total PFAS Calculator'!$D$24='1. Total PFAS Calculator'!$K$20,"",IF(AND(G24&gt;H24,G24&gt;I24),"Potential Chronic and acute aquatic toxicity risk",IF(G24&gt;H24,"Potential chronic aquatic toxicity risk","")))</f>
        <v/>
      </c>
      <c r="K24" s="21"/>
      <c r="L24" s="22"/>
      <c r="M24" s="22"/>
      <c r="N24" s="22"/>
      <c r="O24" s="22"/>
      <c r="P24" s="22"/>
    </row>
    <row r="25" spans="2:17" s="20" customFormat="1" ht="15.75" thickTop="1" x14ac:dyDescent="0.25">
      <c r="B25" s="36"/>
      <c r="C25" s="19"/>
      <c r="D25" s="53"/>
      <c r="E25" s="56"/>
      <c r="F25" s="57"/>
      <c r="G25" s="49"/>
      <c r="H25" s="49"/>
      <c r="I25" s="49"/>
      <c r="J25" s="49"/>
      <c r="K25" s="21"/>
      <c r="L25" s="22"/>
      <c r="M25" s="22"/>
      <c r="N25" s="22"/>
      <c r="O25" s="22"/>
      <c r="P25" s="22"/>
      <c r="Q25" s="22"/>
    </row>
    <row r="26" spans="2:17" s="20" customFormat="1" ht="33.950000000000003" customHeight="1" x14ac:dyDescent="0.2">
      <c r="B26" s="383" t="s">
        <v>179</v>
      </c>
      <c r="C26" s="349"/>
      <c r="D26" s="349"/>
      <c r="E26" s="349"/>
      <c r="F26" s="349"/>
      <c r="G26" s="349"/>
      <c r="H26" s="349"/>
      <c r="I26" s="349"/>
      <c r="J26" s="349"/>
      <c r="K26"/>
      <c r="L26"/>
      <c r="M26"/>
      <c r="N26"/>
      <c r="O26" s="22"/>
      <c r="P26" s="22"/>
      <c r="Q26" s="22"/>
    </row>
    <row r="27" spans="2:17" s="20" customFormat="1" ht="15" x14ac:dyDescent="0.25">
      <c r="B27" s="36"/>
      <c r="C27" s="19"/>
      <c r="D27" s="53"/>
      <c r="E27" s="56"/>
      <c r="F27" s="57"/>
      <c r="G27" s="49"/>
      <c r="H27" s="49"/>
      <c r="I27" s="49"/>
      <c r="J27" s="49"/>
      <c r="K27" s="21"/>
      <c r="L27" s="22"/>
      <c r="M27" s="22"/>
      <c r="N27" s="22"/>
      <c r="O27" s="22"/>
      <c r="P27" s="22"/>
      <c r="Q27" s="22"/>
    </row>
    <row r="28" spans="2:17" s="20" customFormat="1" ht="15" x14ac:dyDescent="0.25">
      <c r="B28" s="39" t="s">
        <v>0</v>
      </c>
      <c r="C28" s="19"/>
      <c r="D28" s="53"/>
      <c r="E28" s="37"/>
      <c r="F28" s="59"/>
      <c r="G28" s="59"/>
      <c r="H28" s="59"/>
      <c r="I28" s="59"/>
      <c r="J28" s="59"/>
      <c r="K28" s="21"/>
      <c r="L28" s="22"/>
      <c r="M28" s="22"/>
      <c r="N28" s="22"/>
      <c r="O28" s="22"/>
      <c r="P28" s="22"/>
      <c r="Q28" s="22"/>
    </row>
    <row r="29" spans="2:17" s="40" customFormat="1" ht="30" customHeight="1" x14ac:dyDescent="0.2">
      <c r="B29" s="368" t="s">
        <v>70</v>
      </c>
      <c r="C29" s="368"/>
      <c r="D29" s="368"/>
      <c r="E29" s="368"/>
      <c r="F29" s="368"/>
      <c r="G29" s="368"/>
      <c r="H29" s="368"/>
      <c r="I29" s="368"/>
      <c r="J29" s="368"/>
      <c r="K29" s="41"/>
      <c r="Q29" s="55"/>
    </row>
  </sheetData>
  <sheetProtection algorithmName="SHA-512" hashValue="bucHnBtt3OENO9QWWl2XztsAxSZJnZUAlJePLAOOTviutJCMk76E33DfNODVV6AdXlNJL8YMAq+cW1FPyxEoNw==" saltValue="A+fsi6InNOaMcjCOiZ96rQ==" spinCount="100000" sheet="1" objects="1" scenarios="1"/>
  <mergeCells count="2">
    <mergeCell ref="B29:J29"/>
    <mergeCell ref="B26:J26"/>
  </mergeCells>
  <pageMargins left="0.7" right="0.7" top="0.75" bottom="0.75" header="0.3" footer="0.3"/>
  <pageSetup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Y V i E V k i y 5 f i k A A A A 9 g A A A B I A H A B D b 2 5 m a W c v U G F j a 2 F n Z S 5 4 b W w g o h g A K K A U A A A A A A A A A A A A A A A A A A A A A A A A A A A A h Y 8 x D o I w G I W v Q r r T l m o M I a U M r p K Y E I 1 r U y o 0 w o + h x X I 3 B 4 / k F c Q o 6 u b 4 v v c N 7 9 2 v N 5 6 N b R N c d G 9 N B y m K M E W B B t W V B q o U D e 4 Y x i g T f C v V S V Y 6 m G S w y W j L F N X O n R N C v P f Y L 3 D X V 4 R R G p F D v i l U r V u J P r L 5 L 4 c G r J O g N B J 8 / x o j G I 6 i J Y 5 X D F N O Z s h z A 1 + B T X u f 7 Q / k 6 6 F x Q 6 + F h n B X c D J H T t 4 f x A N Q S w M E F A A C A A g A Y V i E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F Y h F Y o i k e 4 D g A A A B E A A A A T A B w A R m 9 y b X V s Y X M v U 2 V j d G l v b j E u b S C i G A A o o B Q A A A A A A A A A A A A A A A A A A A A A A A A A A A A r T k 0 u y c z P U w i G 0 I b W A F B L A Q I t A B Q A A g A I A G F Y h F Z I s u X 4 p A A A A P Y A A A A S A A A A A A A A A A A A A A A A A A A A A A B D b 2 5 m a W c v U G F j a 2 F n Z S 5 4 b W x Q S w E C L Q A U A A I A C A B h W I R W D 8 r p q 6 Q A A A D p A A A A E w A A A A A A A A A A A A A A A A D w A A A A W 0 N v b n R l b n R f V H l w Z X N d L n h t b F B L A Q I t A B Q A A g A I A G F Y h F Y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b o t t J h w P O S p + v p i G d x Q J e A A A A A A I A A A A A A B B m A A A A A Q A A I A A A A F t c b A A Q u 7 h m b 5 P B E a o O J a 2 p t t w 8 l I n F g 7 F C Y A S o h 0 O 5 A A A A A A 6 A A A A A A g A A I A A A A M u y e L f W E c 2 4 m s M X L h c V R U 9 F p 6 O S q l A A R I O 0 P f 0 U M 1 D R U A A A A E s U h f A x C Z R I V I b m l y U U J J E d o p n d e q N 4 P K 3 Z v h n X Z a D 0 s j s E U C i w W E S C o 7 q m n q g c 7 p S w M l 9 A V l l e B h i 3 9 S H f k q 6 D 8 j 8 M O V 9 U A q W V y R z B Y A J g Q A A A A B F y Y N G I V O 4 2 i n 4 B J S 6 Z U 5 / M C t w G k F 8 j 2 3 w e y q s C S 3 x S z 9 c F B v a 7 m 1 b m m T x 8 2 E 5 5 v W e Y B k e 1 E D u O r Y 6 J P W S t k + s = < / D a t a M a s h u p > 
</file>

<file path=customXml/itemProps1.xml><?xml version="1.0" encoding="utf-8"?>
<ds:datastoreItem xmlns:ds="http://schemas.openxmlformats.org/officeDocument/2006/customXml" ds:itemID="{8F09E1A6-970C-428A-B7B3-537C473DEBF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Updates</vt:lpstr>
      <vt:lpstr>1. Total PFAS Calculator</vt:lpstr>
      <vt:lpstr>2. Sample Data Input</vt:lpstr>
      <vt:lpstr>3. PFAS Summary Action Levels</vt:lpstr>
      <vt:lpstr>4. Solids Total PFASs Risk</vt:lpstr>
      <vt:lpstr>5. Liquids Total PFASs Risk</vt:lpstr>
      <vt:lpstr>6. Aquatic Toxicity Risk</vt:lpstr>
      <vt:lpstr>'1. Total PFAS Calculator'!Print_Area</vt:lpstr>
      <vt:lpstr>'2. Sample Data Input'!Print_Area</vt:lpstr>
      <vt:lpstr>'3. PFAS Summary Action Levels'!Print_Area</vt:lpstr>
      <vt:lpstr>'4. Solids Total PFASs Risk'!Print_Area</vt:lpstr>
      <vt:lpstr>'5. Liquids Total PFASs Risk'!Print_Area</vt:lpstr>
      <vt:lpstr>'6. Aquatic Toxicity Risk'!Print_Area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Brewer</dc:creator>
  <cp:lastModifiedBy>Brewer, Roger C</cp:lastModifiedBy>
  <cp:lastPrinted>2020-12-22T20:54:16Z</cp:lastPrinted>
  <dcterms:created xsi:type="dcterms:W3CDTF">1999-05-06T02:39:42Z</dcterms:created>
  <dcterms:modified xsi:type="dcterms:W3CDTF">2024-06-19T03:44:05Z</dcterms:modified>
</cp:coreProperties>
</file>