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020" windowHeight="12435" activeTab="1"/>
  </bookViews>
  <sheets>
    <sheet name="Batch Test Leaching Model" sheetId="1" r:id="rId1"/>
    <sheet name="Constants" sheetId="2" r:id="rId2"/>
  </sheets>
  <definedNames>
    <definedName name="_xlnm.Print_Area" localSheetId="0">'Batch Test Leaching Model'!$A$1:$I$91</definedName>
    <definedName name="_xlnm.Print_Titles" localSheetId="1">'Constants'!$1:$9</definedName>
  </definedNames>
  <calcPr fullCalcOnLoad="1"/>
</workbook>
</file>

<file path=xl/sharedStrings.xml><?xml version="1.0" encoding="utf-8"?>
<sst xmlns="http://schemas.openxmlformats.org/spreadsheetml/2006/main" count="811" uniqueCount="336">
  <si>
    <t>DEFAULT</t>
  </si>
  <si>
    <t>INPUT</t>
  </si>
  <si>
    <t>N/A</t>
  </si>
  <si>
    <t>Calculations:</t>
  </si>
  <si>
    <t>Sample porosity - total</t>
  </si>
  <si>
    <t>Sample porosity - air-filled</t>
  </si>
  <si>
    <t>Sample porosity - water-filled</t>
  </si>
  <si>
    <t>References:</t>
  </si>
  <si>
    <t>Organic</t>
  </si>
  <si>
    <t>Pure</t>
  </si>
  <si>
    <t>Cancer</t>
  </si>
  <si>
    <t>carbon</t>
  </si>
  <si>
    <t>component</t>
  </si>
  <si>
    <t>Skin</t>
  </si>
  <si>
    <t>Slope</t>
  </si>
  <si>
    <t>Reference</t>
  </si>
  <si>
    <t>partition</t>
  </si>
  <si>
    <t>Diffusivity</t>
  </si>
  <si>
    <t>water</t>
  </si>
  <si>
    <t>Henry's</t>
  </si>
  <si>
    <t>Absorption</t>
  </si>
  <si>
    <t>Factor</t>
  </si>
  <si>
    <t>Dose</t>
  </si>
  <si>
    <t>Modeled</t>
  </si>
  <si>
    <t>coefficient,</t>
  </si>
  <si>
    <t>in air,</t>
  </si>
  <si>
    <t>in water,</t>
  </si>
  <si>
    <t>solubility,</t>
  </si>
  <si>
    <t>Law constant</t>
  </si>
  <si>
    <t>Oral</t>
  </si>
  <si>
    <t>Physical</t>
  </si>
  <si>
    <t>Molecular</t>
  </si>
  <si>
    <r>
      <t>K</t>
    </r>
    <r>
      <rPr>
        <b/>
        <vertAlign val="subscript"/>
        <sz val="8"/>
        <rFont val="Arial"/>
        <family val="2"/>
      </rPr>
      <t>oc</t>
    </r>
  </si>
  <si>
    <r>
      <t>D</t>
    </r>
    <r>
      <rPr>
        <b/>
        <vertAlign val="subscript"/>
        <sz val="8"/>
        <rFont val="Arial"/>
        <family val="2"/>
      </rPr>
      <t>a</t>
    </r>
  </si>
  <si>
    <r>
      <t>D</t>
    </r>
    <r>
      <rPr>
        <b/>
        <vertAlign val="subscript"/>
        <sz val="8"/>
        <rFont val="Arial"/>
        <family val="2"/>
      </rPr>
      <t>w</t>
    </r>
  </si>
  <si>
    <t>S</t>
  </si>
  <si>
    <t>H</t>
  </si>
  <si>
    <t>H'</t>
  </si>
  <si>
    <t>ABS</t>
  </si>
  <si>
    <t>CSFo</t>
  </si>
  <si>
    <t>RfDo</t>
  </si>
  <si>
    <t>CONTAMINANT</t>
  </si>
  <si>
    <t>State</t>
  </si>
  <si>
    <t>Weight</t>
  </si>
  <si>
    <r>
      <t>(cm</t>
    </r>
    <r>
      <rPr>
        <b/>
        <vertAlign val="superscript"/>
        <sz val="8"/>
        <rFont val="Arial"/>
        <family val="2"/>
      </rPr>
      <t>3</t>
    </r>
    <r>
      <rPr>
        <b/>
        <sz val="8"/>
        <rFont val="Arial"/>
        <family val="2"/>
      </rPr>
      <t>/g)</t>
    </r>
  </si>
  <si>
    <r>
      <t>(cm</t>
    </r>
    <r>
      <rPr>
        <b/>
        <vertAlign val="superscript"/>
        <sz val="8"/>
        <rFont val="Arial"/>
        <family val="2"/>
      </rPr>
      <t>2</t>
    </r>
    <r>
      <rPr>
        <b/>
        <sz val="8"/>
        <rFont val="Arial"/>
        <family val="2"/>
      </rPr>
      <t>/s)</t>
    </r>
  </si>
  <si>
    <t>(mg/L)</t>
  </si>
  <si>
    <r>
      <t>(atm-m</t>
    </r>
    <r>
      <rPr>
        <b/>
        <vertAlign val="superscript"/>
        <sz val="8"/>
        <rFont val="Arial"/>
        <family val="2"/>
      </rPr>
      <t>3</t>
    </r>
    <r>
      <rPr>
        <b/>
        <sz val="8"/>
        <rFont val="Arial"/>
        <family val="2"/>
      </rPr>
      <t>/mol)</t>
    </r>
  </si>
  <si>
    <t>(unitless)</t>
  </si>
  <si>
    <t>(mg/kg-d)</t>
  </si>
  <si>
    <t>ACENAPHTHENE</t>
  </si>
  <si>
    <t>V</t>
  </si>
  <si>
    <t>ACENAPHTHYLENE</t>
  </si>
  <si>
    <t>ACETONE</t>
  </si>
  <si>
    <t>L</t>
  </si>
  <si>
    <t>ALDRIN</t>
  </si>
  <si>
    <t>NV</t>
  </si>
  <si>
    <t>ANTHRACENE</t>
  </si>
  <si>
    <t>ANTIMONY</t>
  </si>
  <si>
    <t>ARSENIC</t>
  </si>
  <si>
    <t>BARIUM</t>
  </si>
  <si>
    <t>BENZENE</t>
  </si>
  <si>
    <t>BENZO(a)ANTHRACENE</t>
  </si>
  <si>
    <t>BENZO(a)PYRENE</t>
  </si>
  <si>
    <t>BENZO(b)FLUORANTHENE</t>
  </si>
  <si>
    <t>BENZO(g,h,i)PERYLENE</t>
  </si>
  <si>
    <t>BENZO(k)FLUORANTHENE</t>
  </si>
  <si>
    <t>BERYLLIUM</t>
  </si>
  <si>
    <t>BIPHENYL, 1,1-</t>
  </si>
  <si>
    <t>BIS(2-CHLOROETHYL)ETHER</t>
  </si>
  <si>
    <t>BIS(2-CHLOROISOPROPYL)ETHER</t>
  </si>
  <si>
    <t>BIS(2-ETHYLHEXYL)PHTHALATE</t>
  </si>
  <si>
    <t>BORON</t>
  </si>
  <si>
    <t>BROMODICHLOROMETHANE</t>
  </si>
  <si>
    <t>BROMOFORM</t>
  </si>
  <si>
    <t>BROMOMETHANE</t>
  </si>
  <si>
    <t>G</t>
  </si>
  <si>
    <t>CADMIUM</t>
  </si>
  <si>
    <t>CARBON TETRACHLORIDE</t>
  </si>
  <si>
    <t>CHLOROANILINE, p-</t>
  </si>
  <si>
    <t>CHLOROBENZENE</t>
  </si>
  <si>
    <t>CHLOROETHANE</t>
  </si>
  <si>
    <t>CHLOROFORM</t>
  </si>
  <si>
    <t>CHLOROMETHANE</t>
  </si>
  <si>
    <t>CHLOROPHENOL, 2-</t>
  </si>
  <si>
    <t>CHROMIUM (Total)</t>
  </si>
  <si>
    <t>CHROMIUM III</t>
  </si>
  <si>
    <t>CHROMIUM VI</t>
  </si>
  <si>
    <t>CHRYSENE</t>
  </si>
  <si>
    <t>COBALT</t>
  </si>
  <si>
    <t>COPPER</t>
  </si>
  <si>
    <t>CYANIDE (Free)</t>
  </si>
  <si>
    <t>DIBENZO(a,h)ANTHTRACENE</t>
  </si>
  <si>
    <t>DIBROMOCHLOROMETHANE</t>
  </si>
  <si>
    <t>DIBROMOETHANE, 1,2-</t>
  </si>
  <si>
    <t>DICHLOROBENZENE, 1,2-</t>
  </si>
  <si>
    <t>DICHLOROBENZENE, 1,3-</t>
  </si>
  <si>
    <t>DICHLOROBENZENE, 1,4-</t>
  </si>
  <si>
    <t>DICHLOROBENZIDINE, 3,3-</t>
  </si>
  <si>
    <t>DICHLORODIPHENYLDICHLOROETHANE (DDD)</t>
  </si>
  <si>
    <t>DICHLORODIPHENYLDICHLOROETHYLENE (DDE)</t>
  </si>
  <si>
    <t>DICHLORODIPHENYLTRICHLOROETHANE (DDT)</t>
  </si>
  <si>
    <t>DICHLOROETHANE, 1,1-</t>
  </si>
  <si>
    <t>DICHLOROETHANE, 1,2-</t>
  </si>
  <si>
    <t>DICHLOROETHYLENE, 1,1-</t>
  </si>
  <si>
    <t>DICHLOROETHYLENE, Cis 1,2-</t>
  </si>
  <si>
    <t>DICHLOROETHYLENE, Trans 1,2-</t>
  </si>
  <si>
    <t>DICHLOROPHENOL, 2,4-</t>
  </si>
  <si>
    <t>DICHLOROPROPANE, 1,2-</t>
  </si>
  <si>
    <t>DICHLOROPROPENE, 1,3-</t>
  </si>
  <si>
    <t>DIELDRIN</t>
  </si>
  <si>
    <t>DIETHYLPHTHALATE</t>
  </si>
  <si>
    <t>DIMETHYLPHENOL, 2,4-</t>
  </si>
  <si>
    <t>DIMETHYLPHTHALATE</t>
  </si>
  <si>
    <t>DINITROPHENOL, 2,4-</t>
  </si>
  <si>
    <t>DIOXANE, 1,4-</t>
  </si>
  <si>
    <t>ENDOSULFAN</t>
  </si>
  <si>
    <t>ENDRIN</t>
  </si>
  <si>
    <t>ETHYLBENZENE</t>
  </si>
  <si>
    <t>FLUORANTHENE</t>
  </si>
  <si>
    <t>FLUORENE</t>
  </si>
  <si>
    <t>HEPTACHLOR</t>
  </si>
  <si>
    <t>HEPTACHLOR EPOXIDE</t>
  </si>
  <si>
    <t>HEXACHLOROBENZENE</t>
  </si>
  <si>
    <t>HEXACHLOROBUTADIENE</t>
  </si>
  <si>
    <t>HEXACHLOROCYCLOHEXANE (gamma) LINDANE</t>
  </si>
  <si>
    <t>HEXACHLOROETHANE</t>
  </si>
  <si>
    <t>INDENO(1,2,3-cd)PYRENE</t>
  </si>
  <si>
    <t>LEAD</t>
  </si>
  <si>
    <t>MERCURY</t>
  </si>
  <si>
    <t>METHOXYCHLOR</t>
  </si>
  <si>
    <t>METHYL ETHYL KETONE</t>
  </si>
  <si>
    <t>METHYL ISOBUTYL KETONE</t>
  </si>
  <si>
    <t>METHYL MERCURY</t>
  </si>
  <si>
    <t>METHYL TERT BUTYL ETHER</t>
  </si>
  <si>
    <t>METHYLENE CHLORIDE</t>
  </si>
  <si>
    <t>MOLYBDENUM</t>
  </si>
  <si>
    <t>NAPHTHALENE</t>
  </si>
  <si>
    <t>NICKEL</t>
  </si>
  <si>
    <t>PENTACHLOROPHENOL</t>
  </si>
  <si>
    <t>PERCHLORATE</t>
  </si>
  <si>
    <t>PHENANTHRENE</t>
  </si>
  <si>
    <t>PHENOL</t>
  </si>
  <si>
    <t>POLYCHLORINATED BIPHENYLS (PCBs)</t>
  </si>
  <si>
    <t>PYRENE</t>
  </si>
  <si>
    <t>SELENIUM</t>
  </si>
  <si>
    <t>STYRENE</t>
  </si>
  <si>
    <t>tert-BUTYL ALCOHOL</t>
  </si>
  <si>
    <t>TETRACHLOROETHANE, 1,1,1,2-</t>
  </si>
  <si>
    <t>TETRACHLOROETHANE, 1,1,2,2-</t>
  </si>
  <si>
    <t>TETRACHLOROETHYLENE</t>
  </si>
  <si>
    <t>THALLIUM</t>
  </si>
  <si>
    <t>TOLUENE</t>
  </si>
  <si>
    <t>TOXAPHENE</t>
  </si>
  <si>
    <t>TPH (gasolines)</t>
  </si>
  <si>
    <t>TPH (middle distillates)</t>
  </si>
  <si>
    <t>TPH (residual fuels)</t>
  </si>
  <si>
    <t>TRICHLOROBENZENE, 1,2,4-</t>
  </si>
  <si>
    <t>TRICHLOROETHANE, 1,1,1-</t>
  </si>
  <si>
    <t>TRICHLOROETHANE, 1,1,2-</t>
  </si>
  <si>
    <t>TRICHLOROETHYLENE</t>
  </si>
  <si>
    <t>TRICHLOROPHENOL, 2,4,5-</t>
  </si>
  <si>
    <t>TRICHLOROPHENOL, 2,4,6-</t>
  </si>
  <si>
    <t>VANADIUM</t>
  </si>
  <si>
    <t>XYLENES</t>
  </si>
  <si>
    <t>ZINC</t>
  </si>
  <si>
    <t>Dibromochloromethane, dibromochloropropane and pyrene considered volatile for purposes of modeling (USEPA 2004). (Molecular weight adjusted to 199 in column E (hidden) to permit generation of volatilization factor in soil</t>
  </si>
  <si>
    <t>direct-exposure models.)</t>
  </si>
  <si>
    <t>VINYL CHLORIDE</t>
  </si>
  <si>
    <t>USEPA, 1999, Understanding Variation in Partition Coefficient, Kd, Values: Office of Air and Radiation, August 1999, EPA/402/R/99/004A, http://www.epa.gov/radiation/docs/kdreport/</t>
  </si>
  <si>
    <t>USEPA, 1994, Synthetic Precipitation Leaching Procedure: U.S. Environmental Protection Agency, Office of Solid Waste, SW-846 Method 1312, September 1994, www.epa.gov/epaoswer/hazwaste/test/main.htm.</t>
  </si>
  <si>
    <t xml:space="preserve"> STEPS:</t>
  </si>
  <si>
    <t>Kh (atm m3/mole)</t>
  </si>
  <si>
    <t>Kh (dimensionless)</t>
  </si>
  <si>
    <t>-Check to ensure that this is an up-to-date version of the spreadsheet.</t>
  </si>
  <si>
    <t xml:space="preserve">2. Input total contaminant concentration and SPLP (or other applicable batch test) concentration. </t>
  </si>
  <si>
    <t>3. Input sample properties. Use default values if sample-specific data are not available.</t>
  </si>
  <si>
    <t>Step 2: Input Sample Data</t>
  </si>
  <si>
    <t>Model Results</t>
  </si>
  <si>
    <t>ETHANOL</t>
  </si>
  <si>
    <t>1. Total contaminant concentration measured in soil sample and results of Batch Test analysis (e.g., SPLP).</t>
  </si>
  <si>
    <r>
      <t>2</t>
    </r>
    <r>
      <rPr>
        <sz val="10"/>
        <rFont val="Arial"/>
        <family val="2"/>
      </rPr>
      <t>Batch Test Sample Weight (grams)</t>
    </r>
  </si>
  <si>
    <r>
      <t>Step 3: Input Sample Properties (</t>
    </r>
    <r>
      <rPr>
        <b/>
        <vertAlign val="superscript"/>
        <sz val="10"/>
        <rFont val="Arial"/>
        <family val="2"/>
      </rPr>
      <t>5</t>
    </r>
    <r>
      <rPr>
        <b/>
        <sz val="10"/>
        <rFont val="Arial"/>
        <family val="2"/>
      </rPr>
      <t>USEPA soil defaults noted)</t>
    </r>
  </si>
  <si>
    <t>Step 4: Batch Test Method Data (SPLP defaults noted)</t>
  </si>
  <si>
    <t>Fraction air-filled porosity (assume saturated soil)</t>
  </si>
  <si>
    <r>
      <t>4</t>
    </r>
    <r>
      <rPr>
        <b/>
        <sz val="10"/>
        <rFont val="Arial"/>
        <family val="2"/>
      </rPr>
      <t>Step 6 (optional): Input Target Groundwater Concentration (ug/L)</t>
    </r>
  </si>
  <si>
    <t>4. Target groundwater action level.  Refer to HDOH EAL document and appropriate groundwater category.</t>
  </si>
  <si>
    <t>4. Input Batch Test method information.  Default SPLP method parameter values noted.</t>
  </si>
  <si>
    <t>Notes (refer also to accompanying memo).</t>
  </si>
  <si>
    <t>TABLE H. PHYSIO-CHEMICAL AND TOXICITY CONSTANTS USED IN MODELS.</t>
  </si>
  <si>
    <t>AMETRYN</t>
  </si>
  <si>
    <t>AMINO,4- DINITROTOLUENE,2,6-</t>
  </si>
  <si>
    <t>ATRAZINE</t>
  </si>
  <si>
    <t>CHLORDANE (TECHNICAL)</t>
  </si>
  <si>
    <t>CYCLO-1,3,5-TRIMETHYLENE-2,4,6-TRINITRAMINE (RDX)</t>
  </si>
  <si>
    <t>DALAPON</t>
  </si>
  <si>
    <t>DICHLOROPHENOXYACETIC ACID (2,4-D)</t>
  </si>
  <si>
    <t>DINITROBENZENE, 1,3-</t>
  </si>
  <si>
    <t>DINITROTOLUENE, 2,4- (2,4-DNT)</t>
  </si>
  <si>
    <t>DINITROTOLUENE, 2,6- (2,6-DNT)</t>
  </si>
  <si>
    <t>DIURON</t>
  </si>
  <si>
    <t>GLYPHOSATE</t>
  </si>
  <si>
    <t>HEXAZINONE</t>
  </si>
  <si>
    <t>ISOPHORONE</t>
  </si>
  <si>
    <t>NITROBENZENE</t>
  </si>
  <si>
    <t>NITROGLYCERIN</t>
  </si>
  <si>
    <t>NITROTOLUENE, 2-</t>
  </si>
  <si>
    <t>NITROTOLUENE, 3-</t>
  </si>
  <si>
    <t>NITROTOLUENE, 4-</t>
  </si>
  <si>
    <t>PENTAERYTHRITOLTETRANITRATE (PETN)</t>
  </si>
  <si>
    <t>PROPICONAZOLE</t>
  </si>
  <si>
    <t>SIMAZINE</t>
  </si>
  <si>
    <t>TERBACIL</t>
  </si>
  <si>
    <t>TETRACHLOROPHENOL, 2,3,4,6-</t>
  </si>
  <si>
    <t>TETRANITRO-1,3,5,7-TETRAAZOCYCLOOCTANE (HMX)</t>
  </si>
  <si>
    <t>TRICHLOROPHENOXYPROPIONIC ACID, 2,4,5- (2,4,5-TP)</t>
  </si>
  <si>
    <t>TRICHLOROPROPANE, 1,2,3-</t>
  </si>
  <si>
    <t>TRICHLOROPROPENE, 1,2,3-</t>
  </si>
  <si>
    <t>TRIFLURALIN</t>
  </si>
  <si>
    <t>TRINITROPHENYLMETHYLNITRAMINE, 2,4,6- (TETRYL)</t>
  </si>
  <si>
    <t>TRINITROTOLUENE, 2,4,6- (TNT)</t>
  </si>
  <si>
    <r>
      <t>5</t>
    </r>
    <r>
      <rPr>
        <sz val="10"/>
        <rFont val="Arial"/>
        <family val="2"/>
      </rPr>
      <t>Kd partition Coefficient (cm</t>
    </r>
    <r>
      <rPr>
        <vertAlign val="superscript"/>
        <sz val="10"/>
        <rFont val="Arial"/>
        <family val="2"/>
      </rPr>
      <t>3</t>
    </r>
    <r>
      <rPr>
        <sz val="10"/>
        <rFont val="Arial"/>
        <family val="2"/>
      </rPr>
      <t>/g):</t>
    </r>
  </si>
  <si>
    <r>
      <t>Sample density (g/cm</t>
    </r>
    <r>
      <rPr>
        <vertAlign val="superscript"/>
        <sz val="10"/>
        <rFont val="Arial"/>
        <family val="2"/>
      </rPr>
      <t>3</t>
    </r>
    <r>
      <rPr>
        <sz val="10"/>
        <rFont val="Arial"/>
        <family val="2"/>
      </rPr>
      <t>)</t>
    </r>
  </si>
  <si>
    <r>
      <t>Particle density (g/cm</t>
    </r>
    <r>
      <rPr>
        <vertAlign val="superscript"/>
        <sz val="10"/>
        <rFont val="Arial"/>
        <family val="2"/>
      </rPr>
      <t>3</t>
    </r>
    <r>
      <rPr>
        <sz val="10"/>
        <rFont val="Arial"/>
        <family val="2"/>
      </rPr>
      <t>)</t>
    </r>
  </si>
  <si>
    <t>Batch Test Solid-Phase Contaminant Conc. (mg/kg)</t>
  </si>
  <si>
    <t>Solubility (ug/L)</t>
  </si>
  <si>
    <t>-Possibility of past impacts to groundwater not considered and must be evaluated separately.</t>
  </si>
  <si>
    <r>
      <t>1</t>
    </r>
    <r>
      <rPr>
        <sz val="10"/>
        <rFont val="Arial"/>
        <family val="2"/>
      </rPr>
      <t>Concentration in soil sample (mg/kg)</t>
    </r>
  </si>
  <si>
    <t>-Spreadsheet calculates Kd desorption coefficient based on input contaminant concentration in soil and Batch Test data.</t>
  </si>
  <si>
    <t>1. Select chemical from pulldown list (unlisted chemicals - unprotect spreadsheet and input chemical name and chemical constants).</t>
  </si>
  <si>
    <t>-Refer to accompanying technical memorandum for background and use of this spreadsheet (HDOH 2007).</t>
  </si>
  <si>
    <t>-Correlative concentration of contaminant in leachate calculated based on estimated Kd value (may differ from batch test data).</t>
  </si>
  <si>
    <t>-Alternative model based on soil gas data provided in accompanying worksheet.</t>
  </si>
  <si>
    <r>
      <t>3</t>
    </r>
    <r>
      <rPr>
        <b/>
        <sz val="10"/>
        <rFont val="Arial"/>
        <family val="2"/>
      </rPr>
      <t>Step 5: Input Groundwater/
Leachate Dilution Factor</t>
    </r>
  </si>
  <si>
    <t>Batch Test Solution Contaminant Conc. (ug/L)</t>
  </si>
  <si>
    <r>
      <t>1</t>
    </r>
    <r>
      <rPr>
        <sz val="10"/>
        <rFont val="Arial"/>
        <family val="2"/>
      </rPr>
      <t>Concentration in Batch Test solution (ug/L)</t>
    </r>
  </si>
  <si>
    <r>
      <t>2</t>
    </r>
    <r>
      <rPr>
        <sz val="10"/>
        <rFont val="Arial"/>
        <family val="2"/>
      </rPr>
      <t>Batch Test Solution Volume (ml):</t>
    </r>
  </si>
  <si>
    <r>
      <t>2</t>
    </r>
    <r>
      <rPr>
        <sz val="10"/>
        <rFont val="Arial"/>
        <family val="2"/>
      </rPr>
      <t>Batch Test Solution Density (g/cm</t>
    </r>
    <r>
      <rPr>
        <vertAlign val="superscript"/>
        <sz val="10"/>
        <rFont val="Arial"/>
        <family val="2"/>
      </rPr>
      <t>3</t>
    </r>
    <r>
      <rPr>
        <sz val="10"/>
        <rFont val="Arial"/>
        <family val="2"/>
      </rPr>
      <t>):</t>
    </r>
  </si>
  <si>
    <t>2. Batch Test: Default SPLP method calls for 100 grams of sample and 2 liters of solution with a density of approximately 1.0
   (USEPA 1994).</t>
  </si>
  <si>
    <t>Concentration Sorbed (ug/kg)</t>
  </si>
  <si>
    <t>Mass Contaminant in Batch Test Solution (ug)</t>
  </si>
  <si>
    <t>Mass Contaminant Sorbed to Soil (ug)</t>
  </si>
  <si>
    <t>Total Mass of Contaminant (ug)</t>
  </si>
  <si>
    <t>Batch Test Solution Mass (grams)</t>
  </si>
  <si>
    <t>Batch Test Sample Mass (grams)</t>
  </si>
  <si>
    <t>Sample Mass:Solution Mass Ratio (gm/gm)</t>
  </si>
  <si>
    <r>
      <t>5. Partition Coefficient (Kd)  = Concentration</t>
    </r>
    <r>
      <rPr>
        <vertAlign val="subscript"/>
        <sz val="10"/>
        <rFont val="Arial"/>
        <family val="2"/>
      </rPr>
      <t>sorbed</t>
    </r>
    <r>
      <rPr>
        <sz val="10"/>
        <rFont val="Arial"/>
        <family val="2"/>
      </rPr>
      <t>/Concentration</t>
    </r>
    <r>
      <rPr>
        <vertAlign val="subscript"/>
        <sz val="10"/>
        <rFont val="Arial"/>
        <family val="2"/>
      </rPr>
      <t>solution</t>
    </r>
    <r>
      <rPr>
        <sz val="10"/>
        <rFont val="Arial"/>
        <family val="2"/>
      </rPr>
      <t xml:space="preserve"> (after Roy et al 1992).</t>
    </r>
  </si>
  <si>
    <r>
      <t xml:space="preserve">    Partition Coefficient units in L/Kg [(ug/Kg)/ug/L)] or cm</t>
    </r>
    <r>
      <rPr>
        <vertAlign val="superscript"/>
        <sz val="10"/>
        <rFont val="Arial"/>
        <family val="2"/>
      </rPr>
      <t>3</t>
    </r>
    <r>
      <rPr>
        <sz val="10"/>
        <rFont val="Arial"/>
        <family val="2"/>
      </rPr>
      <t>/g [(ug/g)/ug/cm</t>
    </r>
    <r>
      <rPr>
        <vertAlign val="superscript"/>
        <sz val="10"/>
        <rFont val="Arial"/>
        <family val="2"/>
      </rPr>
      <t>3</t>
    </r>
    <r>
      <rPr>
        <sz val="10"/>
        <rFont val="Arial"/>
        <family val="2"/>
      </rPr>
      <t xml:space="preserve">)] </t>
    </r>
  </si>
  <si>
    <t>6. Input target groundwater action level for comparison to model calculation of groundwater impacts (optional).</t>
  </si>
  <si>
    <t>-Future impacts to groundwater estimated using simple groundwater/leachate dilution factor.</t>
  </si>
  <si>
    <t>7. Tier 3 concentration in groundwater calculated as concentration in leachate divided by input dilution factor.  Reduction of
    contaminant concentration in leachate during transport through vadose zone not considered.  Refer to Tier 2 concentration
    in groundwater if higher.</t>
  </si>
  <si>
    <t>Batch Test Percent Solid Phase</t>
  </si>
  <si>
    <t>Batch Test Percent Dissolved Phase</t>
  </si>
  <si>
    <r>
      <t>6</t>
    </r>
    <r>
      <rPr>
        <sz val="10"/>
        <rFont val="Arial"/>
        <family val="2"/>
      </rPr>
      <t>Estimated Concentration in
  Source Area Leachate (ug/L):</t>
    </r>
  </si>
  <si>
    <r>
      <t>7</t>
    </r>
    <r>
      <rPr>
        <sz val="10"/>
        <rFont val="Arial"/>
        <family val="0"/>
      </rPr>
      <t>Estimated Concentration in
  Groundwater (ug/L):</t>
    </r>
  </si>
  <si>
    <t>9. Error Message: The batch test data are not valid if the contaminant mass calculated for solute exceeds total mass calculated for
    sample (based on sample mass and input total contaminant concentration). This may not be uncommon given the potential for lab
    error at very low concentrations of contaminants.</t>
  </si>
  <si>
    <t>8. Caution Message: A caution message will appear if the input batch test concentration is greater than 75% of the assumed
    contaminant solubility and a Kd value will not be generated (refer to "Leaching Evaluation of Heavily Contaminated Soils" in
    text).  Model assumes that free product is present in the batch test solution and a Kd cannot be calculated (see text).
    Concentration in leachate is set equal to the reported concentration in the batch test or, if higher, the assumed solubility.</t>
  </si>
  <si>
    <t>Kd &gt;20.  Contaminant not significantly mobile for concentration and soil type tested.  Do not place below water table without further evaluation.  Address other potential environmental concerns as needed (direct exposure, gross contamination, etc.).</t>
  </si>
  <si>
    <t>(8)Caution!  Input batch test concentration approaches or exceeds assumed contaminant solubility.  Kd value cannot be calculated.  Evaluate site for presence of potentially mobile free product in vadose zone soils.</t>
  </si>
  <si>
    <t>Kd &lt;20.  Contaminant potentially mobile in leachate for concentration and soil type tested.  Soil leaching and groundwater impact concerns must be further addressed if target groundwater action level is exceeded.</t>
  </si>
  <si>
    <r>
      <t xml:space="preserve">Step 1: </t>
    </r>
    <r>
      <rPr>
        <b/>
        <vertAlign val="superscript"/>
        <sz val="10"/>
        <rFont val="Arial"/>
        <family val="2"/>
      </rPr>
      <t>10</t>
    </r>
    <r>
      <rPr>
        <b/>
        <sz val="10"/>
        <rFont val="Arial"/>
        <family val="2"/>
      </rPr>
      <t>Select Contaminant (use pulldown list)</t>
    </r>
  </si>
  <si>
    <t>CHEMICAL PARAMETER</t>
  </si>
  <si>
    <t>DIBROMO,1,2- CHLOROPROPANE,3-</t>
  </si>
  <si>
    <t>SILVER</t>
  </si>
  <si>
    <t>200+</t>
  </si>
  <si>
    <t>TRICHLOROPHENOXYACETIC ACID, 2,4,5- (2,4,5-T)</t>
  </si>
  <si>
    <t>TRINITROBENZENE, 1,3,5-</t>
  </si>
  <si>
    <t>5. Input groundwater:leachate dilution factor (DF of 1.0 = no dilution; USEPA default = 20, USEPA 2002).</t>
  </si>
  <si>
    <t>HDOH, 2007, Use of laboratory batch tests to evaluate potential leaching of contaminants from soil (updated April 2007): Hawai'i Dept. of Health, Hazard Evaluation and Emergency Response, http://hawaii.gov/health/environmental/hazard/index.html</t>
  </si>
  <si>
    <t>USEPA, 2002, Supplemental Guidance for Developing Soil Screening Levels for Superfund Sites: U.S. Environmental Protection Agency, Solid Waste and Emergency Response, OSWER 9355.4-24, December 2002, http://www.epa.gov/superfund/resources/soil/ssg_main.pdf</t>
  </si>
  <si>
    <t>-Remove write protection if problems occur in selection of contaminant. Password to unprotect worksheet is "EAL" (under Tools menu).</t>
  </si>
  <si>
    <t>GI</t>
  </si>
  <si>
    <t>Unit Risk</t>
  </si>
  <si>
    <t>Concentration</t>
  </si>
  <si>
    <t>(Inhalation)</t>
  </si>
  <si>
    <t>GIABS</t>
  </si>
  <si>
    <t>IUR</t>
  </si>
  <si>
    <t>RfC</t>
  </si>
  <si>
    <t>AMINO,2- DINITROTOLUENE,4,6-</t>
  </si>
  <si>
    <t>DIOXINS (TEQ)</t>
  </si>
  <si>
    <t>General Notes:</t>
  </si>
  <si>
    <r>
      <t xml:space="preserve">Physical state of chemical at ambient conditions </t>
    </r>
    <r>
      <rPr>
        <sz val="8"/>
        <rFont val="Arial"/>
        <family val="2"/>
      </rPr>
      <t>(V - volatile, NV - nonvolatile, S - solid, L - liquid, G - gas).</t>
    </r>
  </si>
  <si>
    <r>
      <t xml:space="preserve">Chemical considered to be </t>
    </r>
    <r>
      <rPr>
        <b/>
        <sz val="8"/>
        <rFont val="Arial"/>
        <family val="2"/>
      </rPr>
      <t>"volatile"</t>
    </r>
    <r>
      <rPr>
        <sz val="8"/>
        <rFont val="Arial"/>
        <family val="2"/>
      </rPr>
      <t xml:space="preserve"> if Henry's number (atm m3/mole) &gt;0.00001 and molecular weight &lt;200.</t>
    </r>
  </si>
  <si>
    <t>database (USDOE 2006), in that order or preference, unless otherwise noted. Nonvolatile pesticides Koc and Diffusivity constants primarily from ORNL RAIS database (ORNL 2006).</t>
  </si>
  <si>
    <t>Notes on Individual Chemicals</t>
  </si>
  <si>
    <t>Amino,2- dinitrotoluene,3,6- constants and toxicity factors based on Amino,2- dinitrotoluene,3,6-.</t>
  </si>
  <si>
    <t>Antimony toxicty factors based on metallic forms.</t>
  </si>
  <si>
    <t>Total Chromium action levels based assumed background (refer to Section 2.8 in Volume 1).</t>
  </si>
  <si>
    <t>CrVI toxicity factors based on particulates.</t>
  </si>
  <si>
    <t>2,4 dimethylphenol Henry's constant and koc values and solubilities for nitrotoluenes from Syracuse Research Corporation (SRC 2005).</t>
  </si>
  <si>
    <t>1,4 Dioxane physio-chemical constants from "Solvent Stabilizers - White Paper" (Mohr 2001).</t>
  </si>
  <si>
    <t>Dioxin, polychlorinated biphenyls and toxaphene physio-chemical constants from ATSDR 2001a.  PCB solubility from MOEE (1996).</t>
  </si>
  <si>
    <t>Dioxins TEQ cancer slope factors based on  2,3,7,8-PeCDD (most stringent of dioxin-furan congeners)</t>
  </si>
  <si>
    <t>Ethanol toxicity factors not available (refer to Section 5.3.3 in Appendix 1.</t>
  </si>
  <si>
    <t>Mercury toxicity factors based on elemental mercury.</t>
  </si>
  <si>
    <t>Nickel toxicity factors based on soluble salts.</t>
  </si>
  <si>
    <r>
      <t xml:space="preserve">Nitrotoluenes, nitrobenzenes and other nonvolatile, explosives-related chemicals physiochemical constants from US Army Corps of Engineers </t>
    </r>
    <r>
      <rPr>
        <i/>
        <sz val="8"/>
        <rFont val="Arial"/>
        <family val="2"/>
      </rPr>
      <t>Military Range Chemical Database</t>
    </r>
    <r>
      <rPr>
        <sz val="8"/>
        <rFont val="Arial"/>
        <family val="2"/>
      </rPr>
      <t xml:space="preserve"> (Zakikhani et al., 2002; primarily data from FRAMES database).</t>
    </r>
  </si>
  <si>
    <t>PETN physiochemical constants from National Library of Medicine ChemID Plus database (NLM 2008b). Koc estimated from Kow based on equation for miscellaneous organics in Fetter 1993. Toxicity factors not available; RDX used as surrogate based on similar chemical structure (after UTDEQ 2008).</t>
  </si>
  <si>
    <t>Thallium toxicity factors based on soluble salts.</t>
  </si>
  <si>
    <r>
      <t xml:space="preserve">TBA physio-chemical constants from </t>
    </r>
    <r>
      <rPr>
        <i/>
        <sz val="8"/>
        <rFont val="Arial"/>
        <family val="2"/>
      </rPr>
      <t>Assessment and Management of MtBE Impacted Sites</t>
    </r>
    <r>
      <rPr>
        <sz val="8"/>
        <rFont val="Arial"/>
        <family val="2"/>
      </rPr>
      <t xml:space="preserve"> (RWQCB 2001). Oral cancer slope factor from California EPA (CalEPA 1999b).  URF for TBA based on conversion of oral CSF (URF = CSF x (70kg/20m3-day)).</t>
    </r>
  </si>
  <si>
    <t>TPH -Total Petroleum Hydrocarbons.  Molecular weights form ATSDR (gasolines) and NIOSH (middle distillates). See text for discussion of different TPH categories.</t>
  </si>
  <si>
    <t>TPH as gasolines and middle distillates diffusivity constants based on xylenes.  Required for direct exposure models - Does not significantly affect action levels.  See Chapter 5 of Appendix 1.</t>
  </si>
  <si>
    <t>1,2,3 Trichloropropene diffusivity coefficients not available. Constants noted based on 1,2,3 Trichloropropane.</t>
  </si>
  <si>
    <t>Xylenes physio-chemical and toxicity constants based on m-xylene.</t>
  </si>
  <si>
    <t>PAHs acenaphthylene and phenanthrene RfDs based on fluorene; RfDs for benzo(g,h,i)perylene based on fluoranthene (after MADEP 1994).  Diffusivities for acenaphthylene, and phenanthrene based on fluorene.</t>
  </si>
  <si>
    <t>Vanadium toxicity factors based on metallic forms.</t>
  </si>
  <si>
    <t>Zinc toxicity factors based on metallic forms.</t>
  </si>
  <si>
    <t>8. Spreadsheet calculates sample-specific Kd value and dissolved-phase concentration of contaminant in saturated sample.</t>
  </si>
  <si>
    <t>9. Spreadsheet calculates concentration of contaminant in groundwater following impact by leachate.</t>
  </si>
  <si>
    <t>Model Constants</t>
  </si>
  <si>
    <t>7. Input chemical-specific Henry's Law Constant (Kh) and solubility if "Generic (Volatile)" or "Generic (Nonvolatile)" selected from
    pulldown list.  Input "0" if values not available.</t>
  </si>
  <si>
    <t>GENERIC CHEMICAL</t>
  </si>
  <si>
    <t>10."GENERIC CHEMICAL" can be selected from pulldown menu an used to model of any chemical, including chemicals not listed.
     Selection requires input of Kh (atm m3/mole) and Solubility constants in Step 7 if available.  Note that a chemicals
     physiochemcial constants affect results for VOCs only if input Fraction Air-Filled Porosity is &gt;0% (model considers partitioning
     into pore space air for VOCs as well as leachate).</t>
  </si>
  <si>
    <r>
      <t xml:space="preserve">Step 7: </t>
    </r>
    <r>
      <rPr>
        <b/>
        <vertAlign val="superscript"/>
        <sz val="10"/>
        <rFont val="Arial"/>
        <family val="2"/>
      </rPr>
      <t>10</t>
    </r>
    <r>
      <rPr>
        <b/>
        <sz val="10"/>
        <rFont val="Arial"/>
        <family val="2"/>
      </rPr>
      <t>Chemical Constants [Generic Chemical only]</t>
    </r>
  </si>
  <si>
    <t>METHYLNAPHTHALENE, 1-</t>
  </si>
  <si>
    <t>METHYLNAPHTHALENE, 2-</t>
  </si>
  <si>
    <r>
      <t>Inhalation Unit Risk</t>
    </r>
    <r>
      <rPr>
        <sz val="8"/>
        <rFont val="Arial"/>
        <family val="2"/>
      </rPr>
      <t xml:space="preserve"> (IUR) factor volatile carcinogens calculated based on oral slope factor if not provided in USEPA RSL guidance (IUR=CSFo x 20m3/day x (1/70kg) x (1mg/1,000ug). Resulting action levels may differ from those presented in the USEPA RSL guidance.  Includes: bromodichloromethane; dibromochloromethane; 1-methylnaphthalene, 2-nitrotoluene, 4-nitrotoluene, tert-butyl alcohol, 1,2,4-trichlorobenzene, 1,2,3-trichloropropane.</t>
    </r>
  </si>
  <si>
    <t>PCB constants and toxicity factors based on Arochlor 1254.  PCB solubility based on value presented in 2004 USEPA IX PRGs (USEPA 2004).</t>
  </si>
  <si>
    <t>Explosives-related compounds physio-chemical constants primarily from USACE ARAMS database (Zakikhani et al, 2002); National Library of Medicine ChemIDplus Advanced database (NLM 2008b) and DOE RAIS database (DOE 2005).</t>
  </si>
  <si>
    <r>
      <t>Batch Test Leaching Model</t>
    </r>
    <r>
      <rPr>
        <b/>
        <sz val="12"/>
        <rFont val="Times New Roman"/>
        <family val="1"/>
      </rPr>
      <t xml:space="preserve">
Version: Fall 2011
Hawai'i Department of Health
Hazard Evaluation and Emergency Response Office</t>
    </r>
  </si>
  <si>
    <t>-Physiochemical constants updated in Fall 2011 (refer to HDOH 2011).</t>
  </si>
  <si>
    <r>
      <rPr>
        <b/>
        <sz val="8"/>
        <rFont val="Arial"/>
        <family val="2"/>
      </rPr>
      <t xml:space="preserve">Reference: HDOH EHE guidance, Appendix 1 (HDOH 2011). </t>
    </r>
    <r>
      <rPr>
        <b/>
        <sz val="8"/>
        <color indexed="10"/>
        <rFont val="Arial"/>
        <family val="2"/>
      </rPr>
      <t>Writeprotect Password: "EAL"</t>
    </r>
  </si>
  <si>
    <r>
      <t>(mg/kg-d)</t>
    </r>
    <r>
      <rPr>
        <b/>
        <vertAlign val="superscript"/>
        <sz val="8"/>
        <color indexed="8"/>
        <rFont val="Arial"/>
        <family val="2"/>
      </rPr>
      <t>-1</t>
    </r>
  </si>
  <si>
    <r>
      <t>(ug/m</t>
    </r>
    <r>
      <rPr>
        <b/>
        <vertAlign val="superscript"/>
        <sz val="8"/>
        <color indexed="8"/>
        <rFont val="Arial"/>
        <family val="2"/>
      </rPr>
      <t>3</t>
    </r>
    <r>
      <rPr>
        <b/>
        <sz val="8"/>
        <color indexed="8"/>
        <rFont val="Arial"/>
        <family val="2"/>
      </rPr>
      <t>)</t>
    </r>
    <r>
      <rPr>
        <b/>
        <vertAlign val="superscript"/>
        <sz val="8"/>
        <color indexed="8"/>
        <rFont val="Arial"/>
        <family val="2"/>
      </rPr>
      <t>-1</t>
    </r>
  </si>
  <si>
    <r>
      <t>(mg/m</t>
    </r>
    <r>
      <rPr>
        <b/>
        <vertAlign val="superscript"/>
        <sz val="8"/>
        <color indexed="8"/>
        <rFont val="Arial"/>
        <family val="2"/>
      </rPr>
      <t>3</t>
    </r>
    <r>
      <rPr>
        <b/>
        <sz val="8"/>
        <color indexed="8"/>
        <rFont val="Arial"/>
        <family val="2"/>
      </rPr>
      <t>)</t>
    </r>
  </si>
  <si>
    <r>
      <rPr>
        <b/>
        <sz val="8"/>
        <color indexed="10"/>
        <rFont val="Arial"/>
        <family val="2"/>
      </rPr>
      <t>Updates:</t>
    </r>
    <r>
      <rPr>
        <b/>
        <sz val="8"/>
        <rFont val="Arial"/>
        <family val="2"/>
      </rPr>
      <t xml:space="preserve"> </t>
    </r>
    <r>
      <rPr>
        <sz val="8"/>
        <rFont val="Arial"/>
        <family val="2"/>
      </rPr>
      <t>Updates since March 2009 edition noted in red on color version of this table.  Revised toxicity factors for TCE from IRIS (September 2011; not considered in 2010 USEPA RSL updates).  Refer to "Updates" worksheet at front of EAL Surfer.</t>
    </r>
  </si>
  <si>
    <r>
      <t>Physio-chemical constants and toxicity factors from USEPA RSL guidance</t>
    </r>
    <r>
      <rPr>
        <sz val="8"/>
        <rFont val="Arial"/>
        <family val="2"/>
      </rPr>
      <t xml:space="preserve"> (USEPA 2011), National Library of Medicine Toxnet database (NLM 2008a), NLM ChemID Plus (NLM 2008b), ATSDR Toxprofiles (ATSDR 2006) and USDOE RAIS </t>
    </r>
  </si>
  <si>
    <r>
      <t>Constants and toxicity factors</t>
    </r>
    <r>
      <rPr>
        <sz val="8"/>
        <rFont val="Arial"/>
        <family val="2"/>
      </rPr>
      <t xml:space="preserve"> for following chemicals after 2004 USEPA IX PRGs (USEPA 2004): chloroethane (RfDo), 1,3 dichlorobenzene (all), dimethylphthalate (all), 3-nitrotoluene (all), 1,2,3-trichloropropene (all), bis(2-chloroisopropyl)ether (all).</t>
    </r>
  </si>
  <si>
    <r>
      <t>Reference Concentration</t>
    </r>
    <r>
      <rPr>
        <sz val="8"/>
        <rFont val="Arial"/>
        <family val="2"/>
      </rPr>
      <t xml:space="preserve"> (RfC) for volatile noncarcinogens calculated based on oral reference dose if not available in USEPA RSL guidance (USEPA 2004, RfC = RfD x 70kg x (1/20m3-d). Resulting action levels may differ from those presented in the USEPA RSL guidance. Includes: acenaphthalene, acenaphthylene, anthracene, 2-chlorophenol, bromodichloromethane, dibromochloromethane, 1,3 dichlorobenzene, 1,1 dichloroethane, cis 1,2-dichloroethylene, 2,4-dimethylphenol, fluorene, 1 &amp; 2-methylnaphthalene, 2-nitrotoluene, 3-nitrotoluene, 4-nitrotoluene, phenanthrene, pyrene, 1,1,1,2-tetrachloroethane, 1,1,2-trichloroethane, 2,4,5-trichlorophenol.</t>
    </r>
  </si>
  <si>
    <r>
      <rPr>
        <b/>
        <sz val="8"/>
        <rFont val="Arial"/>
        <family val="2"/>
      </rPr>
      <t>TPH (gasoline and middle distillates)</t>
    </r>
    <r>
      <rPr>
        <sz val="8"/>
        <rFont val="Arial"/>
        <family val="2"/>
      </rPr>
      <t xml:space="preserve"> Reference Concentration for based on USEPA-NCEA RfCs for carbon ranges and assumed makeup of 25% C5-C8 aliphatics (RfC 0.600 mg/m</t>
    </r>
    <r>
      <rPr>
        <vertAlign val="superscript"/>
        <sz val="8"/>
        <rFont val="Arial"/>
        <family val="2"/>
      </rPr>
      <t>3</t>
    </r>
    <r>
      <rPr>
        <sz val="8"/>
        <rFont val="Arial"/>
        <family val="2"/>
      </rPr>
      <t xml:space="preserve">) and 75% C9-C18 aliphatic compounds plus C9-C16 aromatic compounds (RfC 0.100 mg/m3; see "Updates,"  HDOH 2011). </t>
    </r>
  </si>
  <si>
    <r>
      <t xml:space="preserve">Dioxins: </t>
    </r>
    <r>
      <rPr>
        <sz val="8"/>
        <rFont val="Arial"/>
        <family val="2"/>
      </rPr>
      <t>Reference dose based on WHO Permissible Tolerable Intake factor (refer to: Update to Soil Action Levels for TEQ Dioxins and Recommended Soil Management Practices, HEER office Technical Memorandum, June 2010).</t>
    </r>
  </si>
  <si>
    <t>Technical chlordane koc of 86,650 cm3/gm referenced in 2008 edition of USEPA RSLs retained based on comparison to field SPLP batch test data which indicates very low mobility.</t>
  </si>
  <si>
    <t>TPH Oral RfDs discussed in Appendix 1, Chapter 5.  See above footnote for basis of inhalation RfCs.</t>
  </si>
  <si>
    <t>HDOH, 2011, Evaluation of Environmental Hazards at Sites with Contaminated Soil and Groundwater: Hawai’i Department of Health, Office of Hazard Evaluation and Emergency Response, Fall 2011, www.hawaii.gov/health/environmental/hazard/eal2005.html.</t>
  </si>
  <si>
    <t>6. Estimated dissolved-phase concentration of contaminant in saturated sample based on calculated partition coefficient Kd
    and assumed equilibrium partitioning (USEPA 2002).  Refer to discussion and equations presented in accompanying HDOH
    technical memorandum (HDOH 2007).</t>
  </si>
  <si>
    <t>3. Site-specific or default groundwater/leachate dilution factor (default = 20, USEPA 2002).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</si>
</sst>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000000"/>
    <numFmt numFmtId="175" formatCode="0.0"/>
    <numFmt numFmtId="176" formatCode="#,##0.0"/>
    <numFmt numFmtId="177" formatCode="0.0E+00"/>
    <numFmt numFmtId="178" formatCode="0.E+00"/>
    <numFmt numFmtId="179" formatCode="0.0%"/>
  </numFmts>
  <fonts count="46">
    <font>
      <sz val="10"/>
      <name val="Arial"/>
      <family val="0"/>
    </font>
    <font>
      <b/>
      <sz val="10"/>
      <name val="Arial"/>
      <family val="0"/>
    </font>
    <font>
      <i/>
      <sz val="10"/>
      <name val="Arial"/>
      <family val="0"/>
    </font>
    <font>
      <b/>
      <i/>
      <sz val="10"/>
      <name val="Arial"/>
      <family val="0"/>
    </font>
    <font>
      <b/>
      <sz val="14"/>
      <name val="Times New Roman"/>
      <family val="1"/>
    </font>
    <font>
      <b/>
      <sz val="12"/>
      <name val="Arial"/>
      <family val="2"/>
    </font>
    <font>
      <b/>
      <sz val="8"/>
      <name val="Arial"/>
      <family val="2"/>
    </font>
    <font>
      <sz val="8"/>
      <name val="Arial"/>
      <family val="2"/>
    </font>
    <font>
      <b/>
      <vertAlign val="subscript"/>
      <sz val="8"/>
      <name val="Arial"/>
      <family val="2"/>
    </font>
    <font>
      <b/>
      <vertAlign val="superscript"/>
      <sz val="8"/>
      <name val="Arial"/>
      <family val="2"/>
    </font>
    <font>
      <i/>
      <sz val="8"/>
      <name val="Arial"/>
      <family val="2"/>
    </font>
    <font>
      <u val="single"/>
      <sz val="10"/>
      <color indexed="12"/>
      <name val="Arial"/>
      <family val="2"/>
    </font>
    <font>
      <u val="single"/>
      <sz val="10"/>
      <color indexed="36"/>
      <name val="Arial"/>
      <family val="2"/>
    </font>
    <font>
      <b/>
      <sz val="10"/>
      <color indexed="10"/>
      <name val="Arial"/>
      <family val="2"/>
    </font>
    <font>
      <vertAlign val="superscript"/>
      <sz val="10"/>
      <name val="Arial"/>
      <family val="2"/>
    </font>
    <font>
      <b/>
      <vertAlign val="superscript"/>
      <sz val="10"/>
      <name val="Arial"/>
      <family val="2"/>
    </font>
    <font>
      <b/>
      <sz val="12"/>
      <name val="Times New Roman"/>
      <family val="1"/>
    </font>
    <font>
      <sz val="12"/>
      <name val="Times New Roman"/>
      <family val="1"/>
    </font>
    <font>
      <sz val="10"/>
      <color indexed="10"/>
      <name val="Arial"/>
      <family val="2"/>
    </font>
    <font>
      <b/>
      <sz val="8"/>
      <color indexed="10"/>
      <name val="Arial"/>
      <family val="2"/>
    </font>
    <font>
      <sz val="8"/>
      <color indexed="10"/>
      <name val="Arial"/>
      <family val="2"/>
    </font>
    <font>
      <b/>
      <sz val="9"/>
      <color indexed="10"/>
      <name val="Arial"/>
      <family val="2"/>
    </font>
    <font>
      <vertAlign val="subscript"/>
      <sz val="10"/>
      <name val="Arial"/>
      <family val="2"/>
    </font>
    <font>
      <sz val="9"/>
      <name val="Arial"/>
      <family val="2"/>
    </font>
    <font>
      <b/>
      <vertAlign val="superscript"/>
      <sz val="8"/>
      <color indexed="8"/>
      <name val="Arial"/>
      <family val="2"/>
    </font>
    <font>
      <b/>
      <sz val="8"/>
      <color indexed="8"/>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color indexed="8"/>
      <name val="Arial"/>
      <family val="2"/>
    </font>
    <font>
      <sz val="10"/>
      <color indexed="8"/>
      <name val="Arial"/>
      <family val="2"/>
    </font>
    <font>
      <sz val="8"/>
      <name val="Tahoma"/>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0"/>
        <bgColor indexed="64"/>
      </patternFill>
    </fill>
    <fill>
      <patternFill patternType="solid">
        <fgColor indexed="42"/>
        <bgColor indexed="64"/>
      </patternFill>
    </fill>
    <fill>
      <patternFill patternType="solid">
        <fgColor indexed="43"/>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double"/>
      <right>
        <color indexed="63"/>
      </right>
      <top style="double"/>
      <bottom>
        <color indexed="63"/>
      </bottom>
    </border>
    <border>
      <left>
        <color indexed="63"/>
      </left>
      <right>
        <color indexed="63"/>
      </right>
      <top style="double"/>
      <bottom>
        <color indexed="63"/>
      </bottom>
    </border>
    <border>
      <left style="thin"/>
      <right style="thin"/>
      <top style="double"/>
      <bottom>
        <color indexed="63"/>
      </bottom>
    </border>
    <border>
      <left style="thin"/>
      <right style="double"/>
      <top>
        <color indexed="63"/>
      </top>
      <bottom>
        <color indexed="63"/>
      </bottom>
    </border>
    <border>
      <left style="thin"/>
      <right style="double"/>
      <top style="thin"/>
      <bottom>
        <color indexed="63"/>
      </bottom>
    </border>
    <border>
      <left style="double"/>
      <right style="thin"/>
      <top style="double"/>
      <bottom style="double"/>
    </border>
    <border>
      <left>
        <color indexed="63"/>
      </left>
      <right>
        <color indexed="63"/>
      </right>
      <top>
        <color indexed="63"/>
      </top>
      <bottom style="double"/>
    </border>
    <border>
      <left style="thin"/>
      <right style="double"/>
      <top style="double"/>
      <bottom>
        <color indexed="63"/>
      </bottom>
    </border>
    <border>
      <left style="double"/>
      <right>
        <color indexed="63"/>
      </right>
      <top>
        <color indexed="63"/>
      </top>
      <bottom>
        <color indexed="63"/>
      </bottom>
    </border>
    <border>
      <left style="thin"/>
      <right style="thin"/>
      <top>
        <color indexed="63"/>
      </top>
      <bottom>
        <color indexed="63"/>
      </bottom>
    </border>
    <border>
      <left style="double"/>
      <right>
        <color indexed="63"/>
      </right>
      <top style="thin"/>
      <bottom>
        <color indexed="63"/>
      </bottom>
    </border>
    <border>
      <left style="thin"/>
      <right style="thin"/>
      <top style="thin"/>
      <bottom>
        <color indexed="63"/>
      </bottom>
    </border>
    <border>
      <left style="double"/>
      <right>
        <color indexed="63"/>
      </right>
      <top style="double"/>
      <bottom style="medium"/>
    </border>
    <border>
      <left>
        <color indexed="63"/>
      </left>
      <right>
        <color indexed="63"/>
      </right>
      <top style="double"/>
      <bottom style="medium"/>
    </border>
    <border>
      <left style="thin"/>
      <right style="double"/>
      <top style="medium"/>
      <bottom>
        <color indexed="63"/>
      </bottom>
    </border>
    <border>
      <left style="double"/>
      <right>
        <color indexed="63"/>
      </right>
      <top>
        <color indexed="63"/>
      </top>
      <bottom style="double"/>
    </border>
    <border>
      <left style="thin"/>
      <right style="double"/>
      <top style="double"/>
      <bottom style="medium"/>
    </border>
    <border>
      <left style="double"/>
      <right>
        <color indexed="63"/>
      </right>
      <top style="medium"/>
      <bottom>
        <color indexed="63"/>
      </bottom>
    </border>
    <border>
      <left style="double"/>
      <right>
        <color indexed="63"/>
      </right>
      <top>
        <color indexed="63"/>
      </top>
      <bottom style="medium"/>
    </border>
    <border>
      <left style="thin"/>
      <right style="double"/>
      <top>
        <color indexed="63"/>
      </top>
      <bottom style="medium"/>
    </border>
    <border>
      <left style="thin"/>
      <right style="double"/>
      <top>
        <color indexed="63"/>
      </top>
      <bottom style="double"/>
    </border>
    <border>
      <left>
        <color indexed="63"/>
      </left>
      <right style="double"/>
      <top style="double"/>
      <bottom>
        <color indexed="63"/>
      </bottom>
    </border>
    <border>
      <left>
        <color indexed="63"/>
      </left>
      <right style="double"/>
      <top>
        <color indexed="63"/>
      </top>
      <bottom>
        <color indexed="63"/>
      </bottom>
    </border>
    <border>
      <left style="thin"/>
      <right style="double"/>
      <top style="medium"/>
      <bottom style="thin"/>
    </border>
    <border>
      <left style="double"/>
      <right>
        <color indexed="63"/>
      </right>
      <top style="thin"/>
      <bottom style="thin"/>
    </border>
    <border>
      <left style="thin"/>
      <right style="thin"/>
      <top>
        <color indexed="63"/>
      </top>
      <bottom style="double"/>
    </border>
    <border>
      <left style="thin"/>
      <right style="thin"/>
      <top style="double"/>
      <bottom style="thin"/>
    </border>
    <border>
      <left style="thin"/>
      <right style="double"/>
      <top style="double"/>
      <bottom style="thin"/>
    </border>
    <border>
      <left style="double"/>
      <right>
        <color indexed="63"/>
      </right>
      <top>
        <color indexed="63"/>
      </top>
      <bottom style="thin"/>
    </border>
    <border>
      <left style="double"/>
      <right style="medium"/>
      <top style="thin"/>
      <bottom style="double"/>
    </border>
    <border>
      <left style="medium"/>
      <right>
        <color indexed="63"/>
      </right>
      <top style="double"/>
      <bottom>
        <color indexed="63"/>
      </bottom>
    </border>
    <border>
      <left style="medium"/>
      <right>
        <color indexed="63"/>
      </right>
      <top>
        <color indexed="63"/>
      </top>
      <bottom>
        <color indexed="63"/>
      </bottom>
    </border>
    <border>
      <left style="double"/>
      <right style="medium"/>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style="medium"/>
      <right style="medium"/>
      <top>
        <color indexed="63"/>
      </top>
      <bottom style="thin"/>
    </border>
    <border>
      <left style="medium"/>
      <right>
        <color indexed="63"/>
      </right>
      <top>
        <color indexed="63"/>
      </top>
      <bottom style="thin"/>
    </border>
    <border>
      <left style="thin"/>
      <right style="thin"/>
      <top style="medium"/>
      <bottom style="thin"/>
    </border>
    <border>
      <left style="thin"/>
      <right style="thin"/>
      <top style="thin"/>
      <bottom style="thin"/>
    </border>
    <border>
      <left style="medium"/>
      <right style="medium"/>
      <top style="thin"/>
      <bottom style="thin"/>
    </border>
    <border>
      <left style="medium"/>
      <right>
        <color indexed="63"/>
      </right>
      <top style="thin"/>
      <bottom style="thin"/>
    </border>
    <border>
      <left style="medium"/>
      <right style="medium"/>
      <top style="thin"/>
      <bottom style="double"/>
    </border>
    <border>
      <left style="medium"/>
      <right>
        <color indexed="63"/>
      </right>
      <top style="thin"/>
      <bottom style="double"/>
    </border>
    <border>
      <left style="thin"/>
      <right style="thin"/>
      <top style="thin"/>
      <bottom style="double"/>
    </border>
    <border>
      <left style="thin"/>
      <right style="double"/>
      <top style="thin"/>
      <bottom style="medium"/>
    </border>
    <border>
      <left style="thin"/>
      <right style="double"/>
      <top style="thin"/>
      <bottom style="thin"/>
    </border>
    <border>
      <left style="thin"/>
      <right style="double"/>
      <top style="thin"/>
      <bottom style="double"/>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color indexed="63"/>
      </bottom>
    </border>
    <border>
      <left style="double"/>
      <right style="thin"/>
      <top>
        <color indexed="63"/>
      </top>
      <bottom style="double"/>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medium"/>
      <bottom style="thin"/>
    </border>
    <border>
      <left>
        <color indexed="63"/>
      </left>
      <right>
        <color indexed="63"/>
      </right>
      <top style="medium"/>
      <bottom style="thin"/>
    </border>
    <border>
      <left>
        <color indexed="63"/>
      </left>
      <right style="thin"/>
      <top style="double"/>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11"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30" fillId="16" borderId="1" applyNumberFormat="0" applyAlignment="0" applyProtection="0"/>
    <xf numFmtId="0" fontId="3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7" borderId="0" applyNumberFormat="0" applyBorder="0" applyAlignment="0" applyProtection="0"/>
    <xf numFmtId="0" fontId="0" fillId="4" borderId="7" applyNumberFormat="0" applyFont="0" applyAlignment="0" applyProtection="0"/>
    <xf numFmtId="0" fontId="40" fillId="1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38" fillId="0" borderId="0" applyNumberFormat="0" applyFill="0" applyBorder="0" applyAlignment="0" applyProtection="0"/>
  </cellStyleXfs>
  <cellXfs count="383">
    <xf numFmtId="0" fontId="0" fillId="0" borderId="0" xfId="0" applyAlignment="1">
      <alignment/>
    </xf>
    <xf numFmtId="1" fontId="7" fillId="0" borderId="10" xfId="0" applyNumberFormat="1" applyFont="1" applyFill="1" applyBorder="1" applyAlignment="1" applyProtection="1">
      <alignment horizontal="left"/>
      <protection/>
    </xf>
    <xf numFmtId="1" fontId="7" fillId="0" borderId="11" xfId="0" applyNumberFormat="1" applyFont="1" applyFill="1" applyBorder="1" applyAlignment="1" applyProtection="1">
      <alignment horizontal="left"/>
      <protection/>
    </xf>
    <xf numFmtId="11" fontId="7" fillId="0" borderId="12" xfId="0" applyNumberFormat="1" applyFont="1" applyFill="1" applyBorder="1" applyAlignment="1" applyProtection="1">
      <alignment horizontal="center"/>
      <protection/>
    </xf>
    <xf numFmtId="2" fontId="7" fillId="0" borderId="12" xfId="0" applyNumberFormat="1" applyFont="1" applyFill="1" applyBorder="1" applyAlignment="1" applyProtection="1">
      <alignment horizontal="center"/>
      <protection/>
    </xf>
    <xf numFmtId="0" fontId="0" fillId="7" borderId="13" xfId="0" applyFont="1" applyFill="1" applyBorder="1" applyAlignment="1" applyProtection="1">
      <alignment horizontal="center"/>
      <protection locked="0"/>
    </xf>
    <xf numFmtId="0" fontId="0" fillId="7" borderId="14" xfId="0" applyFont="1" applyFill="1" applyBorder="1" applyAlignment="1" applyProtection="1">
      <alignment horizontal="center"/>
      <protection locked="0"/>
    </xf>
    <xf numFmtId="2" fontId="0" fillId="7" borderId="13" xfId="0" applyNumberFormat="1" applyFont="1" applyFill="1" applyBorder="1" applyAlignment="1" applyProtection="1">
      <alignment horizontal="center"/>
      <protection locked="0"/>
    </xf>
    <xf numFmtId="3" fontId="0" fillId="7" borderId="13" xfId="0" applyNumberFormat="1" applyFont="1" applyFill="1" applyBorder="1" applyAlignment="1" applyProtection="1">
      <alignment horizontal="center"/>
      <protection locked="0"/>
    </xf>
    <xf numFmtId="176" fontId="0" fillId="7" borderId="13" xfId="0" applyNumberFormat="1" applyFont="1" applyFill="1" applyBorder="1" applyAlignment="1" applyProtection="1">
      <alignment horizontal="center"/>
      <protection locked="0"/>
    </xf>
    <xf numFmtId="0" fontId="17" fillId="0" borderId="0" xfId="0" applyFont="1" applyAlignment="1" applyProtection="1">
      <alignment/>
      <protection hidden="1"/>
    </xf>
    <xf numFmtId="0" fontId="0" fillId="0" borderId="0" xfId="0" applyFont="1" applyAlignment="1" applyProtection="1">
      <alignment/>
      <protection hidden="1"/>
    </xf>
    <xf numFmtId="0" fontId="1" fillId="0" borderId="0" xfId="0" applyFont="1" applyAlignment="1" applyProtection="1">
      <alignment horizontal="center" wrapText="1"/>
      <protection hidden="1"/>
    </xf>
    <xf numFmtId="0" fontId="0" fillId="0" borderId="0" xfId="0" applyFont="1" applyBorder="1" applyAlignment="1" applyProtection="1">
      <alignment horizontal="center"/>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1" fontId="0" fillId="0" borderId="0" xfId="0" applyNumberFormat="1" applyFont="1" applyFill="1" applyBorder="1" applyAlignment="1" applyProtection="1">
      <alignment horizontal="left"/>
      <protection hidden="1"/>
    </xf>
    <xf numFmtId="0" fontId="0" fillId="0" borderId="0" xfId="0" applyFont="1" applyAlignment="1" applyProtection="1">
      <alignment horizontal="center"/>
      <protection hidden="1"/>
    </xf>
    <xf numFmtId="0" fontId="1" fillId="0" borderId="0" xfId="0" applyFont="1" applyAlignment="1" applyProtection="1">
      <alignment horizontal="left"/>
      <protection hidden="1"/>
    </xf>
    <xf numFmtId="0" fontId="1" fillId="0" borderId="0" xfId="0" applyFont="1" applyBorder="1" applyAlignment="1" applyProtection="1">
      <alignment horizontal="left" vertical="center"/>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0" fontId="0" fillId="0" borderId="0" xfId="0" applyFont="1" applyBorder="1" applyAlignment="1" applyProtection="1">
      <alignment horizontal="right"/>
      <protection hidden="1"/>
    </xf>
    <xf numFmtId="0" fontId="0" fillId="18" borderId="0" xfId="0" applyFont="1" applyFill="1" applyBorder="1" applyAlignment="1" applyProtection="1">
      <alignment/>
      <protection hidden="1"/>
    </xf>
    <xf numFmtId="0" fontId="0" fillId="18" borderId="0" xfId="0" applyFont="1" applyFill="1" applyBorder="1" applyAlignment="1" applyProtection="1">
      <alignment horizontal="right"/>
      <protection hidden="1"/>
    </xf>
    <xf numFmtId="0" fontId="0" fillId="18" borderId="0" xfId="0" applyFont="1" applyFill="1" applyBorder="1" applyAlignment="1" applyProtection="1">
      <alignment horizontal="center"/>
      <protection hidden="1"/>
    </xf>
    <xf numFmtId="0" fontId="0" fillId="18" borderId="0" xfId="0" applyFont="1" applyFill="1" applyAlignment="1" applyProtection="1">
      <alignment/>
      <protection hidden="1"/>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0" fontId="0"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vertical="center" wrapText="1"/>
      <protection hidden="1"/>
    </xf>
    <xf numFmtId="0" fontId="1" fillId="0" borderId="15" xfId="0" applyFont="1" applyFill="1" applyBorder="1" applyAlignment="1" applyProtection="1">
      <alignment horizontal="left"/>
      <protection hidden="1"/>
    </xf>
    <xf numFmtId="0" fontId="1" fillId="0" borderId="16" xfId="0" applyFont="1" applyFill="1" applyBorder="1" applyAlignment="1" applyProtection="1">
      <alignment horizontal="right"/>
      <protection hidden="1"/>
    </xf>
    <xf numFmtId="0" fontId="1" fillId="0" borderId="0" xfId="0" applyFont="1" applyFill="1" applyBorder="1" applyAlignment="1" applyProtection="1">
      <alignment horizontal="center"/>
      <protection hidden="1"/>
    </xf>
    <xf numFmtId="0" fontId="0" fillId="0" borderId="0" xfId="0" applyFont="1" applyFill="1" applyBorder="1" applyAlignment="1" applyProtection="1">
      <alignment/>
      <protection hidden="1"/>
    </xf>
    <xf numFmtId="0" fontId="1" fillId="0" borderId="10" xfId="0" applyFont="1" applyFill="1" applyBorder="1" applyAlignment="1" applyProtection="1">
      <alignment horizontal="left"/>
      <protection hidden="1"/>
    </xf>
    <xf numFmtId="11" fontId="1" fillId="0" borderId="12" xfId="0" applyNumberFormat="1" applyFont="1" applyFill="1" applyBorder="1" applyAlignment="1" applyProtection="1">
      <alignment horizontal="center"/>
      <protection hidden="1"/>
    </xf>
    <xf numFmtId="0" fontId="1" fillId="7" borderId="17" xfId="0" applyFont="1" applyFill="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Font="1" applyAlignment="1" applyProtection="1">
      <alignment horizontal="left"/>
      <protection hidden="1"/>
    </xf>
    <xf numFmtId="0" fontId="14" fillId="0" borderId="18" xfId="0" applyFont="1" applyFill="1" applyBorder="1" applyAlignment="1" applyProtection="1">
      <alignment/>
      <protection hidden="1"/>
    </xf>
    <xf numFmtId="0" fontId="0" fillId="0" borderId="19" xfId="0" applyFont="1" applyFill="1" applyBorder="1" applyAlignment="1" applyProtection="1">
      <alignment horizontal="center"/>
      <protection hidden="1"/>
    </xf>
    <xf numFmtId="0" fontId="0" fillId="0" borderId="0" xfId="0" applyAlignment="1" applyProtection="1">
      <alignment/>
      <protection hidden="1"/>
    </xf>
    <xf numFmtId="0" fontId="1" fillId="0" borderId="20" xfId="0" applyFont="1" applyBorder="1" applyAlignment="1" applyProtection="1">
      <alignment/>
      <protection hidden="1"/>
    </xf>
    <xf numFmtId="0" fontId="0" fillId="0" borderId="21" xfId="0" applyFont="1" applyFill="1" applyBorder="1" applyAlignment="1" applyProtection="1">
      <alignment horizontal="center"/>
      <protection hidden="1"/>
    </xf>
    <xf numFmtId="0" fontId="0" fillId="0" borderId="18" xfId="0" applyFont="1" applyFill="1" applyBorder="1" applyAlignment="1" applyProtection="1">
      <alignment/>
      <protection hidden="1"/>
    </xf>
    <xf numFmtId="2" fontId="0" fillId="0" borderId="19" xfId="0" applyNumberFormat="1" applyFont="1" applyFill="1" applyBorder="1" applyAlignment="1" applyProtection="1">
      <alignment horizontal="center"/>
      <protection hidden="1"/>
    </xf>
    <xf numFmtId="0" fontId="1" fillId="0" borderId="20" xfId="0" applyFont="1" applyFill="1" applyBorder="1" applyAlignment="1" applyProtection="1">
      <alignment/>
      <protection hidden="1"/>
    </xf>
    <xf numFmtId="0" fontId="1" fillId="0" borderId="21" xfId="0" applyFont="1" applyBorder="1" applyAlignment="1" applyProtection="1">
      <alignment horizontal="center"/>
      <protection hidden="1"/>
    </xf>
    <xf numFmtId="3" fontId="0" fillId="0" borderId="19" xfId="0" applyNumberFormat="1" applyFont="1" applyBorder="1" applyAlignment="1" applyProtection="1">
      <alignment horizontal="center"/>
      <protection hidden="1"/>
    </xf>
    <xf numFmtId="176" fontId="0" fillId="0" borderId="19" xfId="0" applyNumberFormat="1" applyFont="1" applyBorder="1" applyAlignment="1" applyProtection="1">
      <alignment horizontal="center"/>
      <protection hidden="1"/>
    </xf>
    <xf numFmtId="11" fontId="0" fillId="0" borderId="0" xfId="0" applyNumberFormat="1" applyFont="1" applyBorder="1" applyAlignment="1" applyProtection="1">
      <alignment horizontal="center"/>
      <protection hidden="1"/>
    </xf>
    <xf numFmtId="0" fontId="14" fillId="0" borderId="0" xfId="0" applyFont="1" applyFill="1" applyBorder="1" applyAlignment="1" applyProtection="1">
      <alignment/>
      <protection hidden="1"/>
    </xf>
    <xf numFmtId="2" fontId="0" fillId="0" borderId="0" xfId="0" applyNumberFormat="1" applyFont="1" applyFill="1" applyBorder="1" applyAlignment="1" applyProtection="1">
      <alignment horizontal="center"/>
      <protection hidden="1"/>
    </xf>
    <xf numFmtId="2" fontId="0" fillId="18" borderId="0" xfId="0" applyNumberFormat="1" applyFont="1" applyFill="1" applyAlignment="1" applyProtection="1">
      <alignment horizontal="center"/>
      <protection hidden="1"/>
    </xf>
    <xf numFmtId="0" fontId="1" fillId="0" borderId="22" xfId="0" applyFont="1" applyBorder="1" applyAlignment="1" applyProtection="1">
      <alignment horizontal="left"/>
      <protection hidden="1"/>
    </xf>
    <xf numFmtId="0" fontId="0" fillId="0" borderId="23" xfId="0" applyFont="1" applyBorder="1" applyAlignment="1" applyProtection="1">
      <alignment horizontal="center"/>
      <protection hidden="1"/>
    </xf>
    <xf numFmtId="173" fontId="0" fillId="0" borderId="18" xfId="0" applyNumberFormat="1" applyFont="1" applyBorder="1" applyAlignment="1" applyProtection="1">
      <alignment horizontal="left"/>
      <protection hidden="1"/>
    </xf>
    <xf numFmtId="11" fontId="0" fillId="0" borderId="24" xfId="0" applyNumberFormat="1" applyFont="1" applyFill="1" applyBorder="1" applyAlignment="1" applyProtection="1">
      <alignment horizontal="center"/>
      <protection hidden="1"/>
    </xf>
    <xf numFmtId="173" fontId="0" fillId="0" borderId="25" xfId="0" applyNumberFormat="1" applyFont="1" applyBorder="1" applyAlignment="1" applyProtection="1">
      <alignment horizontal="left"/>
      <protection hidden="1"/>
    </xf>
    <xf numFmtId="0" fontId="1" fillId="0" borderId="22" xfId="0" applyFont="1" applyBorder="1" applyAlignment="1" applyProtection="1">
      <alignment/>
      <protection hidden="1"/>
    </xf>
    <xf numFmtId="0" fontId="0" fillId="0" borderId="26" xfId="0" applyFont="1" applyBorder="1" applyAlignment="1" applyProtection="1">
      <alignment/>
      <protection hidden="1"/>
    </xf>
    <xf numFmtId="2" fontId="0" fillId="0" borderId="13" xfId="0" applyNumberFormat="1" applyFont="1" applyFill="1" applyBorder="1" applyAlignment="1" applyProtection="1">
      <alignment horizontal="center"/>
      <protection hidden="1"/>
    </xf>
    <xf numFmtId="0" fontId="0" fillId="0" borderId="27" xfId="0" applyFont="1" applyFill="1" applyBorder="1" applyAlignment="1" applyProtection="1">
      <alignment/>
      <protection hidden="1"/>
    </xf>
    <xf numFmtId="0" fontId="0" fillId="0" borderId="28" xfId="0" applyFont="1" applyBorder="1" applyAlignment="1" applyProtection="1">
      <alignment/>
      <protection hidden="1"/>
    </xf>
    <xf numFmtId="177" fontId="0" fillId="0" borderId="29" xfId="0" applyNumberFormat="1" applyFont="1" applyFill="1" applyBorder="1" applyAlignment="1" applyProtection="1">
      <alignment horizontal="center"/>
      <protection hidden="1"/>
    </xf>
    <xf numFmtId="0" fontId="0" fillId="0" borderId="28" xfId="0" applyFont="1" applyFill="1" applyBorder="1" applyAlignment="1" applyProtection="1">
      <alignment/>
      <protection hidden="1"/>
    </xf>
    <xf numFmtId="0" fontId="0" fillId="0" borderId="18" xfId="0" applyFont="1" applyBorder="1" applyAlignment="1" applyProtection="1">
      <alignment/>
      <protection hidden="1"/>
    </xf>
    <xf numFmtId="177" fontId="0" fillId="0" borderId="13" xfId="0" applyNumberFormat="1" applyFont="1" applyBorder="1" applyAlignment="1" applyProtection="1">
      <alignment horizontal="center"/>
      <protection hidden="1"/>
    </xf>
    <xf numFmtId="0" fontId="1" fillId="0" borderId="0" xfId="0" applyFont="1" applyAlignment="1" applyProtection="1">
      <alignment/>
      <protection hidden="1"/>
    </xf>
    <xf numFmtId="177" fontId="0" fillId="0" borderId="24" xfId="0" applyNumberFormat="1" applyFont="1" applyFill="1" applyBorder="1" applyAlignment="1" applyProtection="1">
      <alignment horizontal="center"/>
      <protection hidden="1"/>
    </xf>
    <xf numFmtId="177" fontId="0" fillId="0" borderId="13" xfId="0" applyNumberFormat="1" applyFont="1" applyFill="1" applyBorder="1" applyAlignment="1" applyProtection="1">
      <alignment horizontal="center"/>
      <protection hidden="1"/>
    </xf>
    <xf numFmtId="0" fontId="0" fillId="0" borderId="25" xfId="0" applyFont="1" applyBorder="1" applyAlignment="1" applyProtection="1">
      <alignment/>
      <protection hidden="1"/>
    </xf>
    <xf numFmtId="177" fontId="0" fillId="0" borderId="30" xfId="0" applyNumberFormat="1" applyFont="1" applyBorder="1" applyAlignment="1" applyProtection="1">
      <alignment horizontal="center"/>
      <protection hidden="1"/>
    </xf>
    <xf numFmtId="0" fontId="1" fillId="19" borderId="10" xfId="0" applyFont="1" applyFill="1" applyBorder="1" applyAlignment="1" applyProtection="1">
      <alignment horizontal="centerContinuous"/>
      <protection hidden="1"/>
    </xf>
    <xf numFmtId="0" fontId="0" fillId="19" borderId="11" xfId="0" applyFill="1" applyBorder="1" applyAlignment="1" applyProtection="1">
      <alignment horizontal="centerContinuous"/>
      <protection hidden="1"/>
    </xf>
    <xf numFmtId="0" fontId="0" fillId="19" borderId="31" xfId="0" applyFont="1" applyFill="1" applyBorder="1" applyAlignment="1" applyProtection="1">
      <alignment horizontal="centerContinuous" vertical="center" wrapText="1"/>
      <protection hidden="1"/>
    </xf>
    <xf numFmtId="177" fontId="0" fillId="7" borderId="13" xfId="0" applyNumberFormat="1" applyFont="1" applyFill="1" applyBorder="1" applyAlignment="1" applyProtection="1">
      <alignment horizontal="center"/>
      <protection locked="0"/>
    </xf>
    <xf numFmtId="0" fontId="13" fillId="0" borderId="0" xfId="0" applyFont="1" applyBorder="1" applyAlignment="1" applyProtection="1">
      <alignment horizontal="center" wrapText="1"/>
      <protection hidden="1"/>
    </xf>
    <xf numFmtId="0" fontId="0" fillId="0" borderId="11" xfId="0" applyFont="1" applyBorder="1" applyAlignment="1" applyProtection="1">
      <alignment/>
      <protection hidden="1"/>
    </xf>
    <xf numFmtId="0" fontId="1" fillId="0" borderId="11" xfId="0" applyFont="1" applyBorder="1" applyAlignment="1" applyProtection="1">
      <alignment horizontal="center"/>
      <protection hidden="1"/>
    </xf>
    <xf numFmtId="0" fontId="0" fillId="0" borderId="31" xfId="0" applyFont="1" applyBorder="1" applyAlignment="1" applyProtection="1">
      <alignment/>
      <protection hidden="1"/>
    </xf>
    <xf numFmtId="49" fontId="0" fillId="0" borderId="18" xfId="0" applyNumberFormat="1" applyFont="1" applyBorder="1" applyAlignment="1" applyProtection="1">
      <alignment horizontal="left"/>
      <protection hidden="1"/>
    </xf>
    <xf numFmtId="0" fontId="0" fillId="0" borderId="32" xfId="0" applyFont="1" applyBorder="1" applyAlignment="1" applyProtection="1">
      <alignment/>
      <protection hidden="1"/>
    </xf>
    <xf numFmtId="49" fontId="0" fillId="0" borderId="10" xfId="0" applyNumberFormat="1" applyFont="1" applyBorder="1" applyAlignment="1" applyProtection="1">
      <alignment horizontal="left"/>
      <protection hidden="1"/>
    </xf>
    <xf numFmtId="0" fontId="1" fillId="0" borderId="18" xfId="0" applyFont="1" applyBorder="1" applyAlignment="1" applyProtection="1">
      <alignment/>
      <protection hidden="1"/>
    </xf>
    <xf numFmtId="0" fontId="0" fillId="0" borderId="0" xfId="0" applyBorder="1" applyAlignment="1">
      <alignment wrapText="1"/>
    </xf>
    <xf numFmtId="175" fontId="0" fillId="7" borderId="0" xfId="0" applyNumberFormat="1" applyFont="1" applyFill="1" applyBorder="1" applyAlignment="1" applyProtection="1">
      <alignment vertical="center"/>
      <protection hidden="1"/>
    </xf>
    <xf numFmtId="0" fontId="0" fillId="0" borderId="19" xfId="0" applyFont="1" applyBorder="1" applyAlignment="1" applyProtection="1">
      <alignment horizontal="center"/>
      <protection hidden="1"/>
    </xf>
    <xf numFmtId="177" fontId="0" fillId="19" borderId="33" xfId="0" applyNumberFormat="1" applyFont="1" applyFill="1" applyBorder="1" applyAlignment="1" applyProtection="1">
      <alignment horizontal="center" vertical="center"/>
      <protection hidden="1"/>
    </xf>
    <xf numFmtId="179" fontId="0" fillId="0" borderId="13" xfId="0" applyNumberFormat="1" applyFont="1" applyFill="1" applyBorder="1" applyAlignment="1" applyProtection="1">
      <alignment horizontal="center"/>
      <protection hidden="1"/>
    </xf>
    <xf numFmtId="0" fontId="0" fillId="0" borderId="0" xfId="0" applyFill="1" applyAlignment="1">
      <alignment/>
    </xf>
    <xf numFmtId="0" fontId="7" fillId="0" borderId="0" xfId="0" applyFont="1" applyFill="1" applyAlignment="1">
      <alignment/>
    </xf>
    <xf numFmtId="0" fontId="7" fillId="0" borderId="0" xfId="0" applyFont="1" applyFill="1" applyAlignment="1">
      <alignment vertical="center"/>
    </xf>
    <xf numFmtId="49" fontId="7" fillId="0" borderId="34" xfId="0" applyNumberFormat="1" applyFont="1" applyFill="1" applyBorder="1" applyAlignment="1">
      <alignment/>
    </xf>
    <xf numFmtId="49" fontId="6" fillId="0" borderId="18" xfId="0" applyNumberFormat="1" applyFont="1" applyFill="1" applyBorder="1" applyAlignment="1">
      <alignment/>
    </xf>
    <xf numFmtId="49" fontId="6" fillId="0" borderId="0" xfId="0" applyNumberFormat="1" applyFont="1" applyFill="1" applyBorder="1" applyAlignment="1">
      <alignment/>
    </xf>
    <xf numFmtId="1" fontId="7" fillId="0" borderId="0" xfId="0" applyNumberFormat="1" applyFont="1" applyFill="1" applyBorder="1" applyAlignment="1" applyProtection="1">
      <alignment horizontal="center"/>
      <protection/>
    </xf>
    <xf numFmtId="49" fontId="7" fillId="0" borderId="18" xfId="0" applyNumberFormat="1" applyFont="1" applyFill="1" applyBorder="1" applyAlignment="1">
      <alignment/>
    </xf>
    <xf numFmtId="0" fontId="7" fillId="0" borderId="18" xfId="0" applyFont="1" applyFill="1" applyBorder="1" applyAlignment="1">
      <alignment horizontal="left"/>
    </xf>
    <xf numFmtId="0" fontId="7" fillId="0" borderId="0" xfId="0" applyFont="1" applyFill="1" applyBorder="1" applyAlignment="1">
      <alignment horizontal="left"/>
    </xf>
    <xf numFmtId="0" fontId="7" fillId="0" borderId="18" xfId="0" applyFont="1" applyFill="1" applyBorder="1" applyAlignment="1">
      <alignment/>
    </xf>
    <xf numFmtId="0" fontId="7" fillId="0" borderId="0" xfId="0" applyFont="1" applyFill="1" applyBorder="1" applyAlignment="1">
      <alignment/>
    </xf>
    <xf numFmtId="11" fontId="0" fillId="0" borderId="13" xfId="0" applyNumberFormat="1" applyFont="1" applyFill="1" applyBorder="1" applyAlignment="1" applyProtection="1">
      <alignment horizontal="center"/>
      <protection hidden="1"/>
    </xf>
    <xf numFmtId="11" fontId="0" fillId="0" borderId="30" xfId="0" applyNumberFormat="1" applyFont="1" applyFill="1" applyBorder="1" applyAlignment="1" applyProtection="1">
      <alignment horizontal="center"/>
      <protection hidden="1"/>
    </xf>
    <xf numFmtId="0" fontId="0" fillId="0" borderId="0" xfId="0" applyBorder="1" applyAlignment="1" applyProtection="1">
      <alignment vertical="center"/>
      <protection hidden="1"/>
    </xf>
    <xf numFmtId="0" fontId="0" fillId="0" borderId="0" xfId="0" applyAlignment="1">
      <alignment wrapText="1"/>
    </xf>
    <xf numFmtId="0" fontId="14" fillId="0" borderId="25" xfId="0" applyFont="1" applyFill="1" applyBorder="1" applyAlignment="1" applyProtection="1">
      <alignment vertical="center"/>
      <protection hidden="1"/>
    </xf>
    <xf numFmtId="0" fontId="0" fillId="0" borderId="35" xfId="0" applyFont="1" applyFill="1" applyBorder="1" applyAlignment="1" applyProtection="1">
      <alignment horizontal="center" vertical="center"/>
      <protection hidden="1"/>
    </xf>
    <xf numFmtId="3" fontId="0" fillId="7" borderId="3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3" fontId="0" fillId="0" borderId="0" xfId="0" applyNumberFormat="1" applyFont="1" applyFill="1" applyBorder="1" applyAlignment="1" applyProtection="1">
      <alignment horizontal="center" vertical="center"/>
      <protection locked="0"/>
    </xf>
    <xf numFmtId="0" fontId="17" fillId="0" borderId="0" xfId="0" applyFont="1" applyAlignment="1" applyProtection="1">
      <alignment horizontal="right"/>
      <protection hidden="1"/>
    </xf>
    <xf numFmtId="0" fontId="0" fillId="0" borderId="0" xfId="0" applyFont="1" applyAlignment="1" applyProtection="1">
      <alignment horizontal="right"/>
      <protection hidden="1"/>
    </xf>
    <xf numFmtId="0" fontId="0" fillId="0" borderId="0" xfId="0" applyAlignment="1">
      <alignment horizontal="right"/>
    </xf>
    <xf numFmtId="0" fontId="17" fillId="0" borderId="0" xfId="0" applyFont="1" applyAlignment="1" applyProtection="1">
      <alignment horizontal="center"/>
      <protection hidden="1"/>
    </xf>
    <xf numFmtId="0" fontId="0" fillId="0" borderId="0" xfId="0" applyAlignment="1">
      <alignment horizontal="center"/>
    </xf>
    <xf numFmtId="177" fontId="0" fillId="0" borderId="0" xfId="0" applyNumberFormat="1" applyAlignment="1">
      <alignment horizontal="center"/>
    </xf>
    <xf numFmtId="11" fontId="1" fillId="0" borderId="36" xfId="0" applyNumberFormat="1" applyFont="1" applyFill="1" applyBorder="1" applyAlignment="1" applyProtection="1">
      <alignment horizontal="center"/>
      <protection hidden="1"/>
    </xf>
    <xf numFmtId="0" fontId="1" fillId="7" borderId="37" xfId="0" applyFont="1" applyFill="1" applyBorder="1" applyAlignment="1" applyProtection="1">
      <alignment horizontal="center"/>
      <protection hidden="1"/>
    </xf>
    <xf numFmtId="0" fontId="13" fillId="0" borderId="0" xfId="0" applyFont="1" applyAlignment="1" applyProtection="1">
      <alignment horizontal="left"/>
      <protection hidden="1"/>
    </xf>
    <xf numFmtId="49" fontId="0" fillId="0" borderId="11" xfId="0" applyNumberFormat="1" applyFont="1" applyBorder="1" applyAlignment="1" applyProtection="1">
      <alignment horizontal="left"/>
      <protection hidden="1"/>
    </xf>
    <xf numFmtId="0" fontId="0" fillId="0" borderId="0" xfId="0" applyFont="1" applyBorder="1" applyAlignment="1" applyProtection="1">
      <alignment horizontal="left" vertical="center"/>
      <protection hidden="1"/>
    </xf>
    <xf numFmtId="0" fontId="13" fillId="0" borderId="18" xfId="0" applyFont="1" applyBorder="1" applyAlignment="1" applyProtection="1">
      <alignment horizontal="center"/>
      <protection hidden="1"/>
    </xf>
    <xf numFmtId="0" fontId="13" fillId="0" borderId="0" xfId="0" applyFont="1" applyAlignment="1" applyProtection="1">
      <alignment horizontal="center"/>
      <protection hidden="1"/>
    </xf>
    <xf numFmtId="0" fontId="0" fillId="0" borderId="0" xfId="0" applyFont="1" applyAlignment="1" applyProtection="1">
      <alignment horizontal="center"/>
      <protection hidden="1" locked="0"/>
    </xf>
    <xf numFmtId="49" fontId="7" fillId="0" borderId="38" xfId="0" applyNumberFormat="1" applyFont="1" applyFill="1" applyBorder="1" applyAlignment="1">
      <alignment/>
    </xf>
    <xf numFmtId="0" fontId="7" fillId="0" borderId="34" xfId="0" applyFont="1" applyFill="1" applyBorder="1" applyAlignment="1" applyProtection="1">
      <alignment horizontal="left" vertical="center"/>
      <protection/>
    </xf>
    <xf numFmtId="49" fontId="7" fillId="0" borderId="39" xfId="0" applyNumberFormat="1" applyFont="1" applyFill="1" applyBorder="1" applyAlignment="1">
      <alignment/>
    </xf>
    <xf numFmtId="0" fontId="21" fillId="0" borderId="0" xfId="0" applyFont="1" applyAlignment="1" applyProtection="1">
      <alignment horizontal="left"/>
      <protection hidden="1"/>
    </xf>
    <xf numFmtId="49" fontId="0" fillId="0" borderId="25" xfId="0" applyNumberFormat="1" applyFont="1" applyBorder="1" applyAlignment="1" applyProtection="1">
      <alignment horizontal="left"/>
      <protection hidden="1"/>
    </xf>
    <xf numFmtId="49" fontId="6" fillId="0" borderId="10" xfId="0" applyNumberFormat="1" applyFont="1" applyFill="1" applyBorder="1" applyAlignment="1">
      <alignment/>
    </xf>
    <xf numFmtId="49" fontId="6" fillId="0" borderId="11" xfId="0" applyNumberFormat="1" applyFont="1" applyFill="1" applyBorder="1" applyAlignment="1">
      <alignment/>
    </xf>
    <xf numFmtId="1" fontId="7" fillId="0" borderId="11" xfId="0" applyNumberFormat="1" applyFont="1" applyFill="1" applyBorder="1" applyAlignment="1" applyProtection="1">
      <alignment horizontal="center"/>
      <protection/>
    </xf>
    <xf numFmtId="49" fontId="7" fillId="0" borderId="0" xfId="0" applyNumberFormat="1" applyFont="1" applyFill="1" applyBorder="1" applyAlignment="1" applyProtection="1">
      <alignment horizontal="center"/>
      <protection/>
    </xf>
    <xf numFmtId="49" fontId="6" fillId="0" borderId="18" xfId="0" applyNumberFormat="1" applyFont="1" applyFill="1" applyBorder="1" applyAlignment="1">
      <alignment/>
    </xf>
    <xf numFmtId="49" fontId="0" fillId="0" borderId="0" xfId="0" applyNumberFormat="1" applyFill="1" applyBorder="1" applyAlignment="1">
      <alignment/>
    </xf>
    <xf numFmtId="0" fontId="0" fillId="0" borderId="0" xfId="0" applyFill="1" applyBorder="1" applyAlignment="1">
      <alignment/>
    </xf>
    <xf numFmtId="49" fontId="7" fillId="0" borderId="18" xfId="0" applyNumberFormat="1" applyFont="1" applyFill="1" applyBorder="1" applyAlignment="1">
      <alignment/>
    </xf>
    <xf numFmtId="49" fontId="6" fillId="0" borderId="18" xfId="0" applyNumberFormat="1" applyFont="1" applyFill="1" applyBorder="1" applyAlignment="1">
      <alignment wrapText="1"/>
    </xf>
    <xf numFmtId="1" fontId="7" fillId="0" borderId="0" xfId="0" applyNumberFormat="1" applyFont="1" applyFill="1" applyBorder="1" applyAlignment="1">
      <alignment/>
    </xf>
    <xf numFmtId="1" fontId="20" fillId="0" borderId="0" xfId="0" applyNumberFormat="1" applyFont="1" applyFill="1" applyBorder="1" applyAlignment="1">
      <alignment/>
    </xf>
    <xf numFmtId="0" fontId="7" fillId="0" borderId="18" xfId="0" applyFont="1" applyFill="1" applyBorder="1" applyAlignment="1">
      <alignment/>
    </xf>
    <xf numFmtId="0" fontId="7" fillId="0" borderId="0" xfId="0" applyFont="1" applyFill="1" applyBorder="1" applyAlignment="1">
      <alignment/>
    </xf>
    <xf numFmtId="49" fontId="7" fillId="0" borderId="0" xfId="0" applyNumberFormat="1" applyFont="1" applyFill="1" applyBorder="1" applyAlignment="1">
      <alignment/>
    </xf>
    <xf numFmtId="49" fontId="6" fillId="0" borderId="0" xfId="0" applyNumberFormat="1" applyFont="1" applyFill="1" applyBorder="1" applyAlignment="1">
      <alignment/>
    </xf>
    <xf numFmtId="0" fontId="7" fillId="0" borderId="0" xfId="0" applyFont="1" applyFill="1" applyBorder="1" applyAlignment="1">
      <alignment horizontal="center"/>
    </xf>
    <xf numFmtId="1" fontId="7" fillId="0" borderId="0" xfId="0" applyNumberFormat="1" applyFont="1" applyFill="1" applyBorder="1" applyAlignment="1">
      <alignment horizontal="center"/>
    </xf>
    <xf numFmtId="1" fontId="20" fillId="0" borderId="0" xfId="0" applyNumberFormat="1" applyFont="1" applyFill="1" applyBorder="1" applyAlignment="1">
      <alignment horizontal="center"/>
    </xf>
    <xf numFmtId="11" fontId="7" fillId="0" borderId="0" xfId="0" applyNumberFormat="1" applyFont="1" applyFill="1" applyBorder="1" applyAlignment="1">
      <alignment/>
    </xf>
    <xf numFmtId="1" fontId="7" fillId="0" borderId="0" xfId="0" applyNumberFormat="1" applyFont="1" applyFill="1" applyBorder="1" applyAlignment="1">
      <alignment/>
    </xf>
    <xf numFmtId="1" fontId="20" fillId="0" borderId="0" xfId="0" applyNumberFormat="1" applyFont="1" applyFill="1" applyBorder="1" applyAlignment="1">
      <alignment/>
    </xf>
    <xf numFmtId="177" fontId="0" fillId="0" borderId="24" xfId="0" applyNumberFormat="1" applyFont="1" applyBorder="1" applyAlignment="1" applyProtection="1">
      <alignment horizontal="center"/>
      <protection hidden="1"/>
    </xf>
    <xf numFmtId="49" fontId="7" fillId="0" borderId="0" xfId="0" applyNumberFormat="1" applyFont="1" applyFill="1" applyBorder="1" applyAlignment="1">
      <alignment/>
    </xf>
    <xf numFmtId="0" fontId="21" fillId="0" borderId="0" xfId="0" applyFont="1" applyAlignment="1" applyProtection="1">
      <alignment/>
      <protection hidden="1"/>
    </xf>
    <xf numFmtId="0" fontId="17" fillId="0" borderId="0" xfId="0" applyFont="1" applyBorder="1" applyAlignment="1" applyProtection="1">
      <alignment horizontal="left"/>
      <protection hidden="1"/>
    </xf>
    <xf numFmtId="0" fontId="5" fillId="0" borderId="0" xfId="0" applyFont="1" applyAlignment="1" applyProtection="1">
      <alignment horizontal="centerContinuous"/>
      <protection/>
    </xf>
    <xf numFmtId="1" fontId="6" fillId="0" borderId="0" xfId="0" applyNumberFormat="1" applyFont="1" applyAlignment="1" applyProtection="1">
      <alignment horizontal="centerContinuous"/>
      <protection/>
    </xf>
    <xf numFmtId="1" fontId="19" fillId="0" borderId="0" xfId="0" applyNumberFormat="1" applyFont="1" applyAlignment="1" applyProtection="1">
      <alignment horizontal="centerContinuous"/>
      <protection/>
    </xf>
    <xf numFmtId="0" fontId="6" fillId="0" borderId="0" xfId="0" applyFont="1" applyAlignment="1" applyProtection="1">
      <alignment horizontal="centerContinuous"/>
      <protection/>
    </xf>
    <xf numFmtId="11" fontId="6" fillId="0" borderId="0" xfId="0" applyNumberFormat="1" applyFont="1" applyAlignment="1">
      <alignment horizontal="centerContinuous" vertical="center"/>
    </xf>
    <xf numFmtId="0" fontId="7" fillId="0" borderId="0" xfId="0" applyFont="1" applyAlignment="1">
      <alignment/>
    </xf>
    <xf numFmtId="0" fontId="7" fillId="0" borderId="0" xfId="0" applyFont="1" applyAlignment="1" applyProtection="1">
      <alignment horizontal="center"/>
      <protection/>
    </xf>
    <xf numFmtId="1" fontId="7" fillId="0" borderId="0" xfId="0" applyNumberFormat="1" applyFont="1" applyAlignment="1" applyProtection="1">
      <alignment horizontal="center"/>
      <protection/>
    </xf>
    <xf numFmtId="1" fontId="20" fillId="0" borderId="0" xfId="0" applyNumberFormat="1" applyFont="1" applyAlignment="1" applyProtection="1">
      <alignment horizontal="center"/>
      <protection/>
    </xf>
    <xf numFmtId="11" fontId="7" fillId="0" borderId="0" xfId="0" applyNumberFormat="1" applyFont="1" applyAlignment="1">
      <alignment/>
    </xf>
    <xf numFmtId="1" fontId="7" fillId="0" borderId="40" xfId="0" applyNumberFormat="1" applyFont="1" applyBorder="1" applyAlignment="1" applyProtection="1">
      <alignment horizontal="center"/>
      <protection/>
    </xf>
    <xf numFmtId="1" fontId="20" fillId="0" borderId="12" xfId="0" applyNumberFormat="1" applyFont="1" applyBorder="1" applyAlignment="1" applyProtection="1">
      <alignment horizontal="center"/>
      <protection/>
    </xf>
    <xf numFmtId="11" fontId="7" fillId="0" borderId="12" xfId="0" applyNumberFormat="1" applyFont="1" applyBorder="1" applyAlignment="1" applyProtection="1">
      <alignment horizontal="center"/>
      <protection/>
    </xf>
    <xf numFmtId="0" fontId="7" fillId="0" borderId="18" xfId="0" applyFont="1" applyBorder="1" applyAlignment="1" applyProtection="1">
      <alignment horizontal="center"/>
      <protection/>
    </xf>
    <xf numFmtId="0" fontId="7" fillId="0" borderId="0" xfId="0" applyFont="1" applyBorder="1" applyAlignment="1" applyProtection="1">
      <alignment horizontal="center"/>
      <protection/>
    </xf>
    <xf numFmtId="1" fontId="7" fillId="0" borderId="41" xfId="0" applyNumberFormat="1" applyFont="1" applyBorder="1" applyAlignment="1" applyProtection="1">
      <alignment horizontal="center"/>
      <protection/>
    </xf>
    <xf numFmtId="1" fontId="20" fillId="0" borderId="19" xfId="0" applyNumberFormat="1" applyFont="1" applyBorder="1" applyAlignment="1" applyProtection="1">
      <alignment horizontal="center"/>
      <protection/>
    </xf>
    <xf numFmtId="11" fontId="6" fillId="0" borderId="19" xfId="0" applyNumberFormat="1" applyFont="1" applyBorder="1" applyAlignment="1" applyProtection="1">
      <alignment horizontal="center"/>
      <protection/>
    </xf>
    <xf numFmtId="2" fontId="6" fillId="0" borderId="19" xfId="0" applyNumberFormat="1" applyFont="1" applyBorder="1" applyAlignment="1" applyProtection="1">
      <alignment horizontal="center"/>
      <protection/>
    </xf>
    <xf numFmtId="1" fontId="6" fillId="0" borderId="41" xfId="0" applyNumberFormat="1" applyFont="1" applyBorder="1" applyAlignment="1" applyProtection="1">
      <alignment horizontal="center"/>
      <protection/>
    </xf>
    <xf numFmtId="1" fontId="19" fillId="0" borderId="19" xfId="0" applyNumberFormat="1" applyFont="1" applyBorder="1" applyAlignment="1" applyProtection="1">
      <alignment horizontal="center"/>
      <protection/>
    </xf>
    <xf numFmtId="0" fontId="6" fillId="0" borderId="42" xfId="0" applyFont="1" applyBorder="1" applyAlignment="1" applyProtection="1">
      <alignment horizontal="left" vertical="center"/>
      <protection/>
    </xf>
    <xf numFmtId="1" fontId="6" fillId="0" borderId="43" xfId="0" applyNumberFormat="1" applyFont="1" applyBorder="1" applyAlignment="1" applyProtection="1">
      <alignment horizontal="center"/>
      <protection/>
    </xf>
    <xf numFmtId="1" fontId="19" fillId="0" borderId="44" xfId="0" applyNumberFormat="1" applyFont="1" applyBorder="1" applyAlignment="1" applyProtection="1">
      <alignment horizontal="center"/>
      <protection/>
    </xf>
    <xf numFmtId="11" fontId="6" fillId="0" borderId="45" xfId="0" applyNumberFormat="1" applyFont="1" applyBorder="1" applyAlignment="1" applyProtection="1">
      <alignment horizontal="center" vertical="center"/>
      <protection/>
    </xf>
    <xf numFmtId="2" fontId="6" fillId="0" borderId="45" xfId="0" applyNumberFormat="1" applyFont="1" applyBorder="1" applyAlignment="1" applyProtection="1">
      <alignment horizontal="center" vertical="center"/>
      <protection/>
    </xf>
    <xf numFmtId="0" fontId="7" fillId="0" borderId="0" xfId="0" applyFont="1" applyAlignment="1">
      <alignment vertical="center"/>
    </xf>
    <xf numFmtId="49" fontId="7" fillId="7" borderId="34" xfId="0" applyNumberFormat="1" applyFont="1" applyFill="1" applyBorder="1" applyAlignment="1">
      <alignment/>
    </xf>
    <xf numFmtId="0" fontId="7" fillId="7" borderId="46" xfId="0" applyNumberFormat="1" applyFont="1" applyFill="1" applyBorder="1" applyAlignment="1">
      <alignment horizontal="center"/>
    </xf>
    <xf numFmtId="49" fontId="7" fillId="7" borderId="46" xfId="0" applyNumberFormat="1" applyFont="1" applyFill="1" applyBorder="1" applyAlignment="1">
      <alignment horizontal="center"/>
    </xf>
    <xf numFmtId="1" fontId="7" fillId="7" borderId="47" xfId="0" applyNumberFormat="1" applyFont="1" applyFill="1" applyBorder="1" applyAlignment="1" applyProtection="1">
      <alignment horizontal="center"/>
      <protection/>
    </xf>
    <xf numFmtId="1" fontId="7" fillId="7" borderId="48" xfId="0" applyNumberFormat="1" applyFont="1" applyFill="1" applyBorder="1" applyAlignment="1">
      <alignment horizontal="center"/>
    </xf>
    <xf numFmtId="11" fontId="7" fillId="7" borderId="48" xfId="0" applyNumberFormat="1" applyFont="1" applyFill="1" applyBorder="1" applyAlignment="1">
      <alignment horizontal="center"/>
    </xf>
    <xf numFmtId="175" fontId="7" fillId="20" borderId="48" xfId="0" applyNumberFormat="1" applyFont="1" applyFill="1" applyBorder="1" applyAlignment="1">
      <alignment horizontal="center"/>
    </xf>
    <xf numFmtId="1" fontId="20" fillId="7" borderId="49" xfId="0" applyNumberFormat="1" applyFont="1" applyFill="1" applyBorder="1" applyAlignment="1" applyProtection="1">
      <alignment horizontal="center"/>
      <protection/>
    </xf>
    <xf numFmtId="11" fontId="7" fillId="7" borderId="49" xfId="0" applyNumberFormat="1" applyFont="1" applyFill="1" applyBorder="1" applyAlignment="1" applyProtection="1">
      <alignment horizontal="center"/>
      <protection/>
    </xf>
    <xf numFmtId="175" fontId="7" fillId="20" borderId="49" xfId="0" applyNumberFormat="1" applyFont="1" applyFill="1" applyBorder="1" applyAlignment="1">
      <alignment horizontal="center"/>
    </xf>
    <xf numFmtId="0" fontId="7" fillId="20" borderId="49" xfId="0" applyNumberFormat="1" applyFont="1" applyFill="1" applyBorder="1" applyAlignment="1">
      <alignment horizontal="center"/>
    </xf>
    <xf numFmtId="1" fontId="7" fillId="7" borderId="49" xfId="0" applyNumberFormat="1" applyFont="1" applyFill="1" applyBorder="1" applyAlignment="1">
      <alignment horizontal="center"/>
    </xf>
    <xf numFmtId="11" fontId="7" fillId="7" borderId="49" xfId="0" applyNumberFormat="1" applyFont="1" applyFill="1" applyBorder="1" applyAlignment="1">
      <alignment horizontal="center"/>
    </xf>
    <xf numFmtId="1" fontId="7" fillId="7" borderId="47" xfId="0" applyNumberFormat="1" applyFont="1" applyFill="1" applyBorder="1" applyAlignment="1">
      <alignment horizontal="center"/>
    </xf>
    <xf numFmtId="49" fontId="7" fillId="7" borderId="38" xfId="0" applyNumberFormat="1" applyFont="1" applyFill="1" applyBorder="1" applyAlignment="1">
      <alignment/>
    </xf>
    <xf numFmtId="0" fontId="7" fillId="7" borderId="50" xfId="0" applyNumberFormat="1" applyFont="1" applyFill="1" applyBorder="1" applyAlignment="1">
      <alignment horizontal="center"/>
    </xf>
    <xf numFmtId="49" fontId="7" fillId="7" borderId="50" xfId="0" applyNumberFormat="1" applyFont="1" applyFill="1" applyBorder="1" applyAlignment="1">
      <alignment horizontal="center"/>
    </xf>
    <xf numFmtId="1" fontId="7" fillId="7" borderId="51" xfId="0" applyNumberFormat="1" applyFont="1" applyFill="1" applyBorder="1" applyAlignment="1" applyProtection="1">
      <alignment horizontal="center"/>
      <protection/>
    </xf>
    <xf numFmtId="1" fontId="7" fillId="7" borderId="51" xfId="0" applyNumberFormat="1" applyFont="1" applyFill="1" applyBorder="1" applyAlignment="1">
      <alignment horizontal="center"/>
    </xf>
    <xf numFmtId="0" fontId="7" fillId="7" borderId="34" xfId="0" applyFont="1" applyFill="1" applyBorder="1" applyAlignment="1" applyProtection="1">
      <alignment horizontal="left" vertical="center"/>
      <protection/>
    </xf>
    <xf numFmtId="49" fontId="7" fillId="7" borderId="39" xfId="0" applyNumberFormat="1" applyFont="1" applyFill="1" applyBorder="1" applyAlignment="1">
      <alignment/>
    </xf>
    <xf numFmtId="0" fontId="7" fillId="7" borderId="52" xfId="0" applyNumberFormat="1" applyFont="1" applyFill="1" applyBorder="1" applyAlignment="1">
      <alignment horizontal="center"/>
    </xf>
    <xf numFmtId="49" fontId="7" fillId="7" borderId="52" xfId="0" applyNumberFormat="1" applyFont="1" applyFill="1" applyBorder="1" applyAlignment="1">
      <alignment horizontal="center"/>
    </xf>
    <xf numFmtId="1" fontId="7" fillId="7" borderId="53" xfId="0" applyNumberFormat="1" applyFont="1" applyFill="1" applyBorder="1" applyAlignment="1" applyProtection="1">
      <alignment horizontal="center"/>
      <protection/>
    </xf>
    <xf numFmtId="1" fontId="7" fillId="7" borderId="54" xfId="0" applyNumberFormat="1" applyFont="1" applyFill="1" applyBorder="1" applyAlignment="1">
      <alignment horizontal="center"/>
    </xf>
    <xf numFmtId="11" fontId="7" fillId="7" borderId="54" xfId="0" applyNumberFormat="1" applyFont="1" applyFill="1" applyBorder="1" applyAlignment="1">
      <alignment horizontal="center"/>
    </xf>
    <xf numFmtId="175" fontId="7" fillId="20" borderId="54" xfId="0" applyNumberFormat="1" applyFont="1" applyFill="1" applyBorder="1" applyAlignment="1">
      <alignment horizontal="center"/>
    </xf>
    <xf numFmtId="0" fontId="7" fillId="0" borderId="25" xfId="0" applyFont="1" applyBorder="1" applyAlignment="1">
      <alignment/>
    </xf>
    <xf numFmtId="0" fontId="7" fillId="0" borderId="16" xfId="0" applyFont="1" applyBorder="1" applyAlignment="1">
      <alignment/>
    </xf>
    <xf numFmtId="1" fontId="7" fillId="0" borderId="16" xfId="0" applyNumberFormat="1" applyFont="1" applyBorder="1" applyAlignment="1">
      <alignment/>
    </xf>
    <xf numFmtId="1" fontId="20" fillId="0" borderId="16" xfId="0" applyNumberFormat="1" applyFont="1" applyBorder="1" applyAlignment="1">
      <alignment/>
    </xf>
    <xf numFmtId="0" fontId="7" fillId="0" borderId="0" xfId="0" applyFont="1" applyAlignment="1">
      <alignment horizontal="center"/>
    </xf>
    <xf numFmtId="1" fontId="7" fillId="0" borderId="0" xfId="0" applyNumberFormat="1" applyFont="1" applyAlignment="1">
      <alignment horizontal="center"/>
    </xf>
    <xf numFmtId="1" fontId="20" fillId="0" borderId="0" xfId="0" applyNumberFormat="1" applyFont="1" applyAlignment="1">
      <alignment horizontal="center"/>
    </xf>
    <xf numFmtId="1" fontId="18" fillId="0" borderId="0" xfId="0" applyNumberFormat="1" applyFont="1" applyAlignment="1">
      <alignment/>
    </xf>
    <xf numFmtId="49" fontId="0" fillId="0" borderId="18" xfId="0" applyNumberFormat="1" applyFont="1" applyBorder="1" applyAlignment="1" applyProtection="1">
      <alignment horizontal="left"/>
      <protection hidden="1"/>
    </xf>
    <xf numFmtId="0" fontId="19" fillId="0" borderId="0" xfId="0" applyFont="1" applyFill="1" applyAlignment="1" applyProtection="1">
      <alignment horizontal="left"/>
      <protection/>
    </xf>
    <xf numFmtId="2" fontId="25" fillId="0" borderId="0" xfId="0" applyNumberFormat="1" applyFont="1" applyAlignment="1" applyProtection="1">
      <alignment horizontal="centerContinuous"/>
      <protection/>
    </xf>
    <xf numFmtId="11" fontId="25" fillId="0" borderId="0" xfId="0" applyNumberFormat="1" applyFont="1" applyAlignment="1">
      <alignment horizontal="centerContinuous" vertical="center"/>
    </xf>
    <xf numFmtId="2" fontId="43" fillId="0" borderId="0" xfId="0" applyNumberFormat="1" applyFont="1" applyAlignment="1" applyProtection="1">
      <alignment horizontal="center"/>
      <protection/>
    </xf>
    <xf numFmtId="11" fontId="43" fillId="0" borderId="0" xfId="0" applyNumberFormat="1" applyFont="1" applyAlignment="1">
      <alignment horizontal="center"/>
    </xf>
    <xf numFmtId="2" fontId="43" fillId="0" borderId="12" xfId="0" applyNumberFormat="1" applyFont="1" applyFill="1" applyBorder="1" applyAlignment="1" applyProtection="1">
      <alignment horizontal="center"/>
      <protection/>
    </xf>
    <xf numFmtId="11" fontId="43" fillId="0" borderId="12" xfId="0" applyNumberFormat="1" applyFont="1" applyBorder="1" applyAlignment="1" applyProtection="1">
      <alignment horizontal="center"/>
      <protection/>
    </xf>
    <xf numFmtId="11" fontId="43" fillId="0" borderId="17" xfId="0" applyNumberFormat="1" applyFont="1" applyBorder="1" applyAlignment="1" applyProtection="1">
      <alignment horizontal="center"/>
      <protection/>
    </xf>
    <xf numFmtId="2" fontId="25" fillId="0" borderId="19" xfId="0" applyNumberFormat="1" applyFont="1" applyBorder="1" applyAlignment="1" applyProtection="1">
      <alignment horizontal="center"/>
      <protection/>
    </xf>
    <xf numFmtId="11" fontId="25" fillId="0" borderId="19" xfId="0" applyNumberFormat="1" applyFont="1" applyBorder="1" applyAlignment="1" applyProtection="1">
      <alignment horizontal="center" wrapText="1"/>
      <protection/>
    </xf>
    <xf numFmtId="11" fontId="25" fillId="0" borderId="19" xfId="0" applyNumberFormat="1" applyFont="1" applyBorder="1" applyAlignment="1" applyProtection="1">
      <alignment horizontal="center"/>
      <protection/>
    </xf>
    <xf numFmtId="11" fontId="25" fillId="0" borderId="13" xfId="0" applyNumberFormat="1" applyFont="1" applyBorder="1" applyAlignment="1" applyProtection="1">
      <alignment horizontal="center"/>
      <protection/>
    </xf>
    <xf numFmtId="2" fontId="25" fillId="0" borderId="45" xfId="0" applyNumberFormat="1" applyFont="1" applyBorder="1" applyAlignment="1" applyProtection="1">
      <alignment horizontal="center" vertical="center"/>
      <protection/>
    </xf>
    <xf numFmtId="11" fontId="25" fillId="0" borderId="45" xfId="0" applyNumberFormat="1" applyFont="1" applyBorder="1" applyAlignment="1" applyProtection="1">
      <alignment horizontal="center" vertical="center"/>
      <protection/>
    </xf>
    <xf numFmtId="11" fontId="25" fillId="0" borderId="55" xfId="0" applyNumberFormat="1" applyFont="1" applyBorder="1" applyAlignment="1" applyProtection="1">
      <alignment horizontal="center" vertical="center"/>
      <protection/>
    </xf>
    <xf numFmtId="11" fontId="20" fillId="7" borderId="48" xfId="0" applyNumberFormat="1" applyFont="1" applyFill="1" applyBorder="1" applyAlignment="1">
      <alignment horizontal="center"/>
    </xf>
    <xf numFmtId="0" fontId="43" fillId="20" borderId="48" xfId="0" applyNumberFormat="1" applyFont="1" applyFill="1" applyBorder="1" applyAlignment="1">
      <alignment horizontal="center"/>
    </xf>
    <xf numFmtId="177" fontId="43" fillId="20" borderId="48" xfId="0" applyNumberFormat="1" applyFont="1" applyFill="1" applyBorder="1" applyAlignment="1">
      <alignment horizontal="center"/>
    </xf>
    <xf numFmtId="177" fontId="43" fillId="20" borderId="24" xfId="0" applyNumberFormat="1" applyFont="1" applyFill="1" applyBorder="1" applyAlignment="1">
      <alignment horizontal="center"/>
    </xf>
    <xf numFmtId="0" fontId="43" fillId="20" borderId="49" xfId="0" applyNumberFormat="1" applyFont="1" applyFill="1" applyBorder="1" applyAlignment="1">
      <alignment horizontal="center"/>
    </xf>
    <xf numFmtId="177" fontId="43" fillId="20" borderId="49" xfId="0" applyNumberFormat="1" applyFont="1" applyFill="1" applyBorder="1" applyAlignment="1">
      <alignment horizontal="center"/>
    </xf>
    <xf numFmtId="177" fontId="43" fillId="20" borderId="56" xfId="0" applyNumberFormat="1" applyFont="1" applyFill="1" applyBorder="1" applyAlignment="1">
      <alignment horizontal="center"/>
    </xf>
    <xf numFmtId="11" fontId="20" fillId="7" borderId="49" xfId="0" applyNumberFormat="1" applyFont="1" applyFill="1" applyBorder="1" applyAlignment="1">
      <alignment horizontal="center"/>
    </xf>
    <xf numFmtId="0" fontId="20" fillId="20" borderId="49" xfId="0" applyNumberFormat="1" applyFont="1" applyFill="1" applyBorder="1" applyAlignment="1">
      <alignment horizontal="center"/>
    </xf>
    <xf numFmtId="177" fontId="20" fillId="20" borderId="56" xfId="0" applyNumberFormat="1" applyFont="1" applyFill="1" applyBorder="1" applyAlignment="1">
      <alignment horizontal="center"/>
    </xf>
    <xf numFmtId="177" fontId="20" fillId="20" borderId="49" xfId="0" applyNumberFormat="1" applyFont="1" applyFill="1" applyBorder="1" applyAlignment="1">
      <alignment horizontal="center"/>
    </xf>
    <xf numFmtId="177" fontId="20" fillId="7" borderId="49" xfId="0" applyNumberFormat="1" applyFont="1" applyFill="1" applyBorder="1" applyAlignment="1">
      <alignment horizontal="center"/>
    </xf>
    <xf numFmtId="2" fontId="43" fillId="7" borderId="49" xfId="0" applyNumberFormat="1" applyFont="1" applyFill="1" applyBorder="1" applyAlignment="1" applyProtection="1">
      <alignment horizontal="center"/>
      <protection/>
    </xf>
    <xf numFmtId="177" fontId="43" fillId="7" borderId="49" xfId="0" applyNumberFormat="1" applyFont="1" applyFill="1" applyBorder="1" applyAlignment="1">
      <alignment horizontal="center"/>
    </xf>
    <xf numFmtId="11" fontId="43" fillId="7" borderId="49" xfId="0" applyNumberFormat="1" applyFont="1" applyFill="1" applyBorder="1" applyAlignment="1">
      <alignment horizontal="center"/>
    </xf>
    <xf numFmtId="11" fontId="43" fillId="7" borderId="56" xfId="0" applyNumberFormat="1" applyFont="1" applyFill="1" applyBorder="1" applyAlignment="1">
      <alignment horizontal="center"/>
    </xf>
    <xf numFmtId="172" fontId="43" fillId="7" borderId="49" xfId="0" applyNumberFormat="1" applyFont="1" applyFill="1" applyBorder="1" applyAlignment="1" applyProtection="1">
      <alignment horizontal="center"/>
      <protection/>
    </xf>
    <xf numFmtId="11" fontId="20" fillId="7" borderId="56" xfId="0" applyNumberFormat="1" applyFont="1" applyFill="1" applyBorder="1" applyAlignment="1">
      <alignment horizontal="center"/>
    </xf>
    <xf numFmtId="11" fontId="20" fillId="7" borderId="49" xfId="0" applyNumberFormat="1" applyFont="1" applyFill="1" applyBorder="1" applyAlignment="1" applyProtection="1">
      <alignment horizontal="center"/>
      <protection/>
    </xf>
    <xf numFmtId="0" fontId="43" fillId="20" borderId="54" xfId="0" applyNumberFormat="1" applyFont="1" applyFill="1" applyBorder="1" applyAlignment="1">
      <alignment horizontal="center"/>
    </xf>
    <xf numFmtId="177" fontId="43" fillId="20" borderId="54" xfId="0" applyNumberFormat="1" applyFont="1" applyFill="1" applyBorder="1" applyAlignment="1">
      <alignment horizontal="center"/>
    </xf>
    <xf numFmtId="177" fontId="43" fillId="20" borderId="57" xfId="0" applyNumberFormat="1" applyFont="1" applyFill="1" applyBorder="1" applyAlignment="1">
      <alignment horizontal="center"/>
    </xf>
    <xf numFmtId="0" fontId="0" fillId="0" borderId="11" xfId="0" applyFont="1" applyFill="1" applyBorder="1" applyAlignment="1">
      <alignment/>
    </xf>
    <xf numFmtId="2" fontId="44" fillId="0" borderId="11" xfId="0" applyNumberFormat="1" applyFont="1" applyFill="1" applyBorder="1" applyAlignment="1">
      <alignment/>
    </xf>
    <xf numFmtId="177" fontId="44" fillId="0" borderId="11" xfId="0" applyNumberFormat="1" applyFont="1" applyFill="1" applyBorder="1" applyAlignment="1">
      <alignment/>
    </xf>
    <xf numFmtId="177" fontId="44" fillId="0" borderId="31" xfId="0" applyNumberFormat="1" applyFont="1" applyFill="1" applyBorder="1" applyAlignment="1">
      <alignment/>
    </xf>
    <xf numFmtId="177" fontId="0" fillId="0" borderId="0"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2" fontId="44" fillId="0" borderId="0" xfId="0" applyNumberFormat="1" applyFont="1" applyFill="1" applyBorder="1" applyAlignment="1">
      <alignment/>
    </xf>
    <xf numFmtId="177" fontId="44" fillId="0" borderId="0" xfId="0" applyNumberFormat="1" applyFont="1" applyFill="1" applyBorder="1" applyAlignment="1">
      <alignment/>
    </xf>
    <xf numFmtId="177" fontId="44" fillId="0" borderId="32" xfId="0" applyNumberFormat="1" applyFont="1" applyFill="1" applyBorder="1" applyAlignment="1">
      <alignment/>
    </xf>
    <xf numFmtId="49" fontId="0" fillId="0" borderId="0" xfId="0" applyNumberFormat="1" applyFont="1" applyFill="1" applyBorder="1" applyAlignment="1">
      <alignment/>
    </xf>
    <xf numFmtId="11" fontId="0" fillId="0" borderId="0" xfId="0" applyNumberFormat="1" applyFont="1" applyFill="1" applyBorder="1" applyAlignment="1">
      <alignment/>
    </xf>
    <xf numFmtId="49" fontId="44" fillId="0" borderId="0" xfId="0" applyNumberFormat="1" applyFont="1" applyFill="1" applyBorder="1" applyAlignment="1">
      <alignment/>
    </xf>
    <xf numFmtId="49" fontId="44" fillId="0" borderId="32" xfId="0" applyNumberFormat="1" applyFont="1" applyFill="1" applyBorder="1" applyAlignment="1">
      <alignment/>
    </xf>
    <xf numFmtId="49" fontId="44" fillId="0" borderId="0" xfId="0" applyNumberFormat="1" applyFont="1" applyFill="1" applyBorder="1" applyAlignment="1">
      <alignment/>
    </xf>
    <xf numFmtId="49" fontId="44" fillId="0" borderId="32" xfId="0" applyNumberFormat="1" applyFont="1" applyFill="1" applyBorder="1" applyAlignment="1">
      <alignment/>
    </xf>
    <xf numFmtId="49" fontId="0" fillId="0" borderId="0" xfId="0" applyNumberFormat="1" applyFont="1" applyFill="1" applyBorder="1" applyAlignment="1">
      <alignment/>
    </xf>
    <xf numFmtId="0" fontId="0" fillId="0" borderId="0" xfId="0" applyFont="1" applyFill="1" applyBorder="1" applyAlignment="1">
      <alignment/>
    </xf>
    <xf numFmtId="11" fontId="0" fillId="0" borderId="0" xfId="0" applyNumberFormat="1" applyFont="1" applyAlignment="1">
      <alignment/>
    </xf>
    <xf numFmtId="0" fontId="0" fillId="0" borderId="0" xfId="0" applyFont="1" applyAlignment="1">
      <alignment/>
    </xf>
    <xf numFmtId="0" fontId="44" fillId="0" borderId="0" xfId="0" applyFont="1" applyFill="1" applyBorder="1" applyAlignment="1">
      <alignment/>
    </xf>
    <xf numFmtId="0" fontId="44" fillId="0" borderId="32" xfId="0" applyFont="1" applyFill="1" applyBorder="1" applyAlignment="1">
      <alignment/>
    </xf>
    <xf numFmtId="0" fontId="0" fillId="0" borderId="0" xfId="0" applyFont="1" applyFill="1" applyBorder="1" applyAlignment="1">
      <alignment wrapText="1"/>
    </xf>
    <xf numFmtId="0" fontId="44" fillId="0" borderId="0" xfId="0" applyFont="1" applyFill="1" applyBorder="1" applyAlignment="1">
      <alignment wrapText="1"/>
    </xf>
    <xf numFmtId="0" fontId="44" fillId="0" borderId="32" xfId="0" applyFont="1" applyFill="1" applyBorder="1" applyAlignment="1">
      <alignment wrapText="1"/>
    </xf>
    <xf numFmtId="2" fontId="43" fillId="0" borderId="0" xfId="0" applyNumberFormat="1" applyFont="1" applyFill="1" applyBorder="1" applyAlignment="1">
      <alignment/>
    </xf>
    <xf numFmtId="11" fontId="43" fillId="0" borderId="0" xfId="0" applyNumberFormat="1" applyFont="1" applyFill="1" applyBorder="1" applyAlignment="1">
      <alignment/>
    </xf>
    <xf numFmtId="11" fontId="43" fillId="0" borderId="32" xfId="0" applyNumberFormat="1" applyFont="1" applyFill="1" applyBorder="1" applyAlignment="1">
      <alignment/>
    </xf>
    <xf numFmtId="1" fontId="0" fillId="0" borderId="0" xfId="0" applyNumberFormat="1" applyFont="1" applyFill="1" applyBorder="1" applyAlignment="1">
      <alignment/>
    </xf>
    <xf numFmtId="1" fontId="0" fillId="0" borderId="0" xfId="0" applyNumberFormat="1" applyFont="1" applyFill="1" applyBorder="1" applyAlignment="1">
      <alignment/>
    </xf>
    <xf numFmtId="2" fontId="44" fillId="0" borderId="0" xfId="0" applyNumberFormat="1" applyFont="1" applyFill="1" applyBorder="1" applyAlignment="1">
      <alignment/>
    </xf>
    <xf numFmtId="177" fontId="44" fillId="0" borderId="0" xfId="0" applyNumberFormat="1" applyFont="1" applyFill="1" applyBorder="1" applyAlignment="1">
      <alignment/>
    </xf>
    <xf numFmtId="177" fontId="44" fillId="0" borderId="32" xfId="0" applyNumberFormat="1" applyFont="1" applyFill="1" applyBorder="1" applyAlignment="1">
      <alignment/>
    </xf>
    <xf numFmtId="177" fontId="0" fillId="0" borderId="0" xfId="0" applyNumberFormat="1" applyFont="1" applyFill="1" applyBorder="1" applyAlignment="1">
      <alignment/>
    </xf>
    <xf numFmtId="2" fontId="43" fillId="0" borderId="0" xfId="0" applyNumberFormat="1" applyFont="1" applyFill="1" applyBorder="1" applyAlignment="1">
      <alignment horizontal="center"/>
    </xf>
    <xf numFmtId="11" fontId="43" fillId="0" borderId="0" xfId="0" applyNumberFormat="1" applyFont="1" applyFill="1" applyBorder="1" applyAlignment="1">
      <alignment horizontal="center"/>
    </xf>
    <xf numFmtId="11" fontId="43" fillId="0" borderId="32" xfId="0" applyNumberFormat="1" applyFont="1" applyFill="1" applyBorder="1" applyAlignment="1">
      <alignment horizontal="center"/>
    </xf>
    <xf numFmtId="2" fontId="43" fillId="0" borderId="0" xfId="0" applyNumberFormat="1" applyFont="1" applyFill="1" applyBorder="1" applyAlignment="1">
      <alignment/>
    </xf>
    <xf numFmtId="11" fontId="43" fillId="0" borderId="0" xfId="0" applyNumberFormat="1" applyFont="1" applyFill="1" applyBorder="1" applyAlignment="1">
      <alignment/>
    </xf>
    <xf numFmtId="11" fontId="43" fillId="0" borderId="32" xfId="0" applyNumberFormat="1" applyFont="1" applyFill="1" applyBorder="1" applyAlignment="1">
      <alignment/>
    </xf>
    <xf numFmtId="11" fontId="0" fillId="0" borderId="0" xfId="0" applyNumberFormat="1" applyFont="1" applyFill="1" applyBorder="1" applyAlignment="1">
      <alignment/>
    </xf>
    <xf numFmtId="2" fontId="43" fillId="0" borderId="16" xfId="0" applyNumberFormat="1" applyFont="1" applyBorder="1" applyAlignment="1">
      <alignment/>
    </xf>
    <xf numFmtId="11" fontId="43" fillId="0" borderId="16" xfId="0" applyNumberFormat="1" applyFont="1" applyBorder="1" applyAlignment="1">
      <alignment/>
    </xf>
    <xf numFmtId="11" fontId="43" fillId="0" borderId="58" xfId="0" applyNumberFormat="1" applyFont="1" applyBorder="1" applyAlignment="1">
      <alignment/>
    </xf>
    <xf numFmtId="11" fontId="0" fillId="0" borderId="0" xfId="0" applyNumberFormat="1" applyFont="1" applyBorder="1" applyAlignment="1">
      <alignment/>
    </xf>
    <xf numFmtId="2" fontId="43" fillId="0" borderId="0" xfId="0" applyNumberFormat="1" applyFont="1" applyAlignment="1">
      <alignment horizontal="center"/>
    </xf>
    <xf numFmtId="1" fontId="0" fillId="0" borderId="0" xfId="0" applyNumberFormat="1" applyFont="1" applyAlignment="1">
      <alignment/>
    </xf>
    <xf numFmtId="2" fontId="44" fillId="0" borderId="0" xfId="0" applyNumberFormat="1" applyFont="1" applyAlignment="1">
      <alignment/>
    </xf>
    <xf numFmtId="11" fontId="44" fillId="0" borderId="0" xfId="0" applyNumberFormat="1" applyFont="1" applyAlignment="1">
      <alignment/>
    </xf>
    <xf numFmtId="11" fontId="43" fillId="0" borderId="0" xfId="0" applyNumberFormat="1" applyFont="1" applyAlignment="1">
      <alignment/>
    </xf>
    <xf numFmtId="0" fontId="23" fillId="0" borderId="0" xfId="0" applyFont="1" applyAlignment="1">
      <alignment horizontal="center" wrapText="1"/>
    </xf>
    <xf numFmtId="0" fontId="21" fillId="0" borderId="18" xfId="0" applyFont="1" applyBorder="1" applyAlignment="1" applyProtection="1">
      <alignment horizontal="center" vertical="center" wrapText="1"/>
      <protection hidden="1"/>
    </xf>
    <xf numFmtId="11" fontId="20" fillId="0" borderId="49" xfId="0" applyNumberFormat="1" applyFont="1" applyFill="1" applyBorder="1" applyAlignment="1">
      <alignment horizontal="center"/>
    </xf>
    <xf numFmtId="11" fontId="20" fillId="0" borderId="56" xfId="0" applyNumberFormat="1" applyFont="1" applyFill="1" applyBorder="1" applyAlignment="1">
      <alignment horizontal="center"/>
    </xf>
    <xf numFmtId="0" fontId="0" fillId="0" borderId="0" xfId="0" applyFont="1" applyAlignment="1" applyProtection="1">
      <alignment wrapText="1"/>
      <protection hidden="1"/>
    </xf>
    <xf numFmtId="0" fontId="0" fillId="0" borderId="0" xfId="0" applyAlignment="1">
      <alignment wrapText="1"/>
    </xf>
    <xf numFmtId="0" fontId="0" fillId="0" borderId="0" xfId="0" applyFont="1" applyAlignment="1" applyProtection="1">
      <alignment wrapText="1"/>
      <protection hidden="1"/>
    </xf>
    <xf numFmtId="0" fontId="0" fillId="0" borderId="0" xfId="0" applyFont="1" applyBorder="1" applyAlignment="1" applyProtection="1">
      <alignment horizontal="left" wrapText="1"/>
      <protection hidden="1"/>
    </xf>
    <xf numFmtId="177" fontId="0" fillId="7" borderId="14" xfId="0" applyNumberFormat="1" applyFont="1" applyFill="1" applyBorder="1" applyAlignment="1" applyProtection="1">
      <alignment horizontal="center" vertical="center"/>
      <protection locked="0"/>
    </xf>
    <xf numFmtId="177" fontId="0" fillId="7" borderId="30" xfId="0" applyNumberFormat="1" applyFont="1" applyFill="1" applyBorder="1" applyAlignment="1" applyProtection="1">
      <alignment horizontal="center" vertical="center"/>
      <protection locked="0"/>
    </xf>
    <xf numFmtId="0" fontId="13" fillId="0" borderId="18" xfId="0" applyFont="1" applyBorder="1" applyAlignment="1">
      <alignment vertical="center"/>
    </xf>
    <xf numFmtId="0" fontId="0" fillId="0" borderId="18" xfId="0" applyBorder="1" applyAlignment="1">
      <alignment vertical="center"/>
    </xf>
    <xf numFmtId="0" fontId="0" fillId="0" borderId="0" xfId="0" applyFont="1" applyBorder="1" applyAlignment="1" applyProtection="1">
      <alignment wrapText="1"/>
      <protection hidden="1"/>
    </xf>
    <xf numFmtId="0" fontId="13" fillId="0" borderId="59" xfId="0" applyFont="1" applyBorder="1" applyAlignment="1" applyProtection="1">
      <alignment horizontal="center" wrapText="1"/>
      <protection hidden="1"/>
    </xf>
    <xf numFmtId="0" fontId="0" fillId="0" borderId="60" xfId="0" applyBorder="1" applyAlignment="1">
      <alignment wrapText="1"/>
    </xf>
    <xf numFmtId="0" fontId="0" fillId="0" borderId="61" xfId="0" applyBorder="1" applyAlignment="1">
      <alignment wrapText="1"/>
    </xf>
    <xf numFmtId="0" fontId="0" fillId="0" borderId="62" xfId="0" applyBorder="1" applyAlignment="1">
      <alignment wrapText="1"/>
    </xf>
    <xf numFmtId="0" fontId="0" fillId="0" borderId="0" xfId="0" applyBorder="1" applyAlignment="1">
      <alignment wrapText="1"/>
    </xf>
    <xf numFmtId="0" fontId="0" fillId="0" borderId="63"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66" xfId="0" applyBorder="1" applyAlignment="1">
      <alignment wrapText="1"/>
    </xf>
    <xf numFmtId="0" fontId="14" fillId="19" borderId="67" xfId="0" applyFont="1" applyFill="1" applyBorder="1" applyAlignment="1">
      <alignment wrapText="1"/>
    </xf>
    <xf numFmtId="0" fontId="0" fillId="19" borderId="21" xfId="0" applyFill="1" applyBorder="1" applyAlignment="1">
      <alignment wrapText="1"/>
    </xf>
    <xf numFmtId="0" fontId="0" fillId="0" borderId="68" xfId="0" applyBorder="1" applyAlignment="1">
      <alignment wrapText="1"/>
    </xf>
    <xf numFmtId="0" fontId="0" fillId="0" borderId="35" xfId="0" applyBorder="1" applyAlignment="1">
      <alignment wrapText="1"/>
    </xf>
    <xf numFmtId="177" fontId="0" fillId="19" borderId="14" xfId="0" applyNumberFormat="1" applyFont="1" applyFill="1" applyBorder="1" applyAlignment="1" applyProtection="1">
      <alignment horizontal="center" vertical="center"/>
      <protection hidden="1"/>
    </xf>
    <xf numFmtId="0" fontId="0" fillId="0" borderId="30" xfId="0" applyBorder="1" applyAlignment="1">
      <alignment horizontal="center" vertical="center"/>
    </xf>
    <xf numFmtId="0" fontId="13" fillId="0" borderId="59" xfId="0" applyFont="1" applyBorder="1" applyAlignment="1" applyProtection="1">
      <alignment horizontal="center" vertical="center" wrapText="1"/>
      <protection hidden="1"/>
    </xf>
    <xf numFmtId="0" fontId="0" fillId="0" borderId="0" xfId="0" applyFont="1" applyAlignment="1" applyProtection="1">
      <alignment horizontal="left" wrapText="1"/>
      <protection hidden="1"/>
    </xf>
    <xf numFmtId="0" fontId="0" fillId="0" borderId="0" xfId="0" applyFont="1" applyAlignment="1" applyProtection="1">
      <alignment/>
      <protection hidden="1"/>
    </xf>
    <xf numFmtId="0" fontId="4" fillId="0" borderId="0" xfId="0" applyFont="1" applyAlignment="1" applyProtection="1">
      <alignment horizontal="center" wrapText="1"/>
      <protection hidden="1"/>
    </xf>
    <xf numFmtId="0" fontId="16" fillId="0" borderId="0" xfId="0" applyFont="1" applyAlignment="1" applyProtection="1">
      <alignment horizontal="center" wrapText="1"/>
      <protection hidden="1"/>
    </xf>
    <xf numFmtId="0" fontId="0" fillId="0" borderId="60" xfId="0" applyBorder="1" applyAlignment="1">
      <alignment horizontal="center" wrapText="1"/>
    </xf>
    <xf numFmtId="0" fontId="0" fillId="0" borderId="61" xfId="0" applyBorder="1" applyAlignment="1">
      <alignment horizontal="center" wrapText="1"/>
    </xf>
    <xf numFmtId="0" fontId="0" fillId="0" borderId="62" xfId="0" applyBorder="1" applyAlignment="1">
      <alignment horizontal="center" wrapText="1"/>
    </xf>
    <xf numFmtId="0" fontId="0" fillId="0" borderId="0" xfId="0" applyBorder="1" applyAlignment="1">
      <alignment horizontal="center" wrapText="1"/>
    </xf>
    <xf numFmtId="0" fontId="0" fillId="0" borderId="63" xfId="0" applyBorder="1" applyAlignment="1">
      <alignment horizontal="center" wrapText="1"/>
    </xf>
    <xf numFmtId="0" fontId="0" fillId="0" borderId="64" xfId="0" applyBorder="1" applyAlignment="1">
      <alignment horizontal="center" wrapText="1"/>
    </xf>
    <xf numFmtId="0" fontId="0" fillId="0" borderId="65" xfId="0" applyBorder="1" applyAlignment="1">
      <alignment horizontal="center" wrapText="1"/>
    </xf>
    <xf numFmtId="0" fontId="0" fillId="0" borderId="66" xfId="0" applyBorder="1" applyAlignment="1">
      <alignment horizontal="center" wrapText="1"/>
    </xf>
    <xf numFmtId="0" fontId="13" fillId="0" borderId="60" xfId="0" applyFont="1" applyBorder="1" applyAlignment="1">
      <alignment wrapText="1"/>
    </xf>
    <xf numFmtId="0" fontId="13" fillId="0" borderId="61" xfId="0" applyFont="1" applyBorder="1" applyAlignment="1">
      <alignment wrapText="1"/>
    </xf>
    <xf numFmtId="0" fontId="13" fillId="0" borderId="62" xfId="0" applyFont="1" applyBorder="1" applyAlignment="1">
      <alignment wrapText="1"/>
    </xf>
    <xf numFmtId="0" fontId="13" fillId="0" borderId="0" xfId="0" applyFont="1" applyBorder="1" applyAlignment="1">
      <alignment wrapText="1"/>
    </xf>
    <xf numFmtId="0" fontId="13" fillId="0" borderId="63" xfId="0" applyFont="1" applyBorder="1" applyAlignment="1">
      <alignment wrapText="1"/>
    </xf>
    <xf numFmtId="0" fontId="14" fillId="19" borderId="20" xfId="0" applyFont="1" applyFill="1" applyBorder="1" applyAlignment="1" applyProtection="1">
      <alignment horizontal="left" vertical="center" wrapText="1"/>
      <protection hidden="1"/>
    </xf>
    <xf numFmtId="0" fontId="0" fillId="0" borderId="18" xfId="0" applyBorder="1" applyAlignment="1">
      <alignment wrapText="1"/>
    </xf>
    <xf numFmtId="0" fontId="0" fillId="0" borderId="13" xfId="0" applyBorder="1" applyAlignment="1" applyProtection="1">
      <alignment vertical="center"/>
      <protection hidden="1"/>
    </xf>
    <xf numFmtId="0" fontId="1" fillId="7" borderId="69" xfId="0" applyFont="1" applyFill="1" applyBorder="1" applyAlignment="1" applyProtection="1">
      <alignment horizontal="center"/>
      <protection locked="0"/>
    </xf>
    <xf numFmtId="0" fontId="0" fillId="0" borderId="70" xfId="0" applyBorder="1" applyAlignment="1">
      <alignment/>
    </xf>
    <xf numFmtId="0" fontId="0" fillId="0" borderId="71" xfId="0" applyBorder="1" applyAlignment="1">
      <alignment/>
    </xf>
    <xf numFmtId="0" fontId="14" fillId="19" borderId="72" xfId="0" applyFont="1" applyFill="1" applyBorder="1" applyAlignment="1" applyProtection="1">
      <alignment vertical="center"/>
      <protection hidden="1"/>
    </xf>
    <xf numFmtId="0" fontId="0" fillId="0" borderId="73" xfId="0" applyFont="1" applyBorder="1" applyAlignment="1">
      <alignment vertical="center"/>
    </xf>
    <xf numFmtId="0" fontId="15" fillId="0" borderId="20" xfId="0" applyFont="1" applyBorder="1" applyAlignment="1" applyProtection="1">
      <alignment wrapText="1"/>
      <protection hidden="1"/>
    </xf>
    <xf numFmtId="0" fontId="0" fillId="0" borderId="25" xfId="0" applyBorder="1" applyAlignment="1">
      <alignment wrapText="1"/>
    </xf>
    <xf numFmtId="0" fontId="0" fillId="0" borderId="16" xfId="0" applyBorder="1" applyAlignment="1">
      <alignment wrapText="1"/>
    </xf>
    <xf numFmtId="0" fontId="15" fillId="0" borderId="10" xfId="0" applyNumberFormat="1" applyFont="1" applyFill="1" applyBorder="1" applyAlignment="1" applyProtection="1">
      <alignment horizontal="left" vertical="center" wrapText="1"/>
      <protection hidden="1"/>
    </xf>
    <xf numFmtId="0" fontId="0" fillId="0" borderId="74" xfId="0" applyBorder="1" applyAlignment="1">
      <alignment vertical="center" wrapText="1"/>
    </xf>
    <xf numFmtId="0" fontId="0" fillId="0" borderId="18" xfId="0" applyBorder="1" applyAlignment="1">
      <alignment vertical="center" wrapText="1"/>
    </xf>
    <xf numFmtId="0" fontId="0" fillId="0" borderId="63" xfId="0" applyBorder="1" applyAlignment="1">
      <alignment vertical="center" wrapText="1"/>
    </xf>
    <xf numFmtId="0" fontId="7" fillId="0" borderId="18" xfId="0" applyFont="1" applyFill="1" applyBorder="1" applyAlignment="1">
      <alignment wrapText="1"/>
    </xf>
    <xf numFmtId="0" fontId="7" fillId="0" borderId="0" xfId="0" applyFont="1" applyFill="1" applyBorder="1" applyAlignment="1">
      <alignment wrapText="1"/>
    </xf>
    <xf numFmtId="0" fontId="7" fillId="0" borderId="32" xfId="0" applyFont="1" applyFill="1" applyBorder="1" applyAlignment="1">
      <alignment wrapText="1"/>
    </xf>
    <xf numFmtId="0" fontId="0" fillId="0" borderId="32" xfId="0" applyBorder="1" applyAlignment="1">
      <alignment wrapText="1"/>
    </xf>
    <xf numFmtId="0" fontId="6" fillId="0" borderId="75" xfId="0" applyFont="1" applyBorder="1" applyAlignment="1" applyProtection="1">
      <alignment horizontal="center"/>
      <protection/>
    </xf>
    <xf numFmtId="0" fontId="6" fillId="0" borderId="76" xfId="0" applyFont="1" applyBorder="1" applyAlignment="1" applyProtection="1">
      <alignment horizontal="center"/>
      <protection/>
    </xf>
    <xf numFmtId="0" fontId="6" fillId="0" borderId="43" xfId="0" applyFont="1" applyBorder="1" applyAlignment="1" applyProtection="1">
      <alignment horizontal="center" vertical="center" wrapText="1"/>
      <protection/>
    </xf>
    <xf numFmtId="0" fontId="7" fillId="0" borderId="77" xfId="0" applyFont="1" applyBorder="1" applyAlignment="1">
      <alignment horizontal="center" vertical="center" wrapText="1"/>
    </xf>
    <xf numFmtId="0" fontId="6" fillId="0" borderId="18" xfId="0" applyNumberFormat="1" applyFont="1" applyBorder="1" applyAlignment="1">
      <alignment wrapText="1"/>
    </xf>
    <xf numFmtId="0" fontId="7" fillId="0" borderId="0" xfId="0" applyNumberFormat="1" applyFont="1" applyBorder="1" applyAlignment="1">
      <alignment wrapText="1"/>
    </xf>
    <xf numFmtId="0" fontId="7" fillId="0" borderId="32" xfId="0" applyNumberFormat="1" applyFont="1" applyBorder="1" applyAlignment="1">
      <alignment wrapText="1"/>
    </xf>
    <xf numFmtId="0" fontId="7" fillId="0" borderId="18" xfId="0" applyNumberFormat="1" applyFont="1" applyBorder="1" applyAlignment="1">
      <alignment wrapText="1"/>
    </xf>
    <xf numFmtId="0" fontId="0" fillId="0" borderId="0" xfId="0" applyFont="1" applyAlignment="1">
      <alignment wrapText="1"/>
    </xf>
    <xf numFmtId="0" fontId="0" fillId="0" borderId="32"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224"/>
  <sheetViews>
    <sheetView showGridLines="0" showRowColHeaders="0" workbookViewId="0" topLeftCell="A1">
      <selection activeCell="C27" sqref="C27:G27"/>
    </sheetView>
  </sheetViews>
  <sheetFormatPr defaultColWidth="9.140625" defaultRowHeight="12.75"/>
  <cols>
    <col min="1" max="1" width="1.7109375" style="11" customWidth="1"/>
    <col min="2" max="2" width="43.57421875" style="11" customWidth="1"/>
    <col min="3" max="3" width="8.8515625" style="11" customWidth="1"/>
    <col min="4" max="4" width="8.7109375" style="17" customWidth="1"/>
    <col min="5" max="5" width="1.421875" style="17" customWidth="1"/>
    <col min="6" max="6" width="10.140625" style="17" customWidth="1"/>
    <col min="7" max="7" width="17.00390625" style="17" customWidth="1"/>
    <col min="8" max="8" width="10.00390625" style="17" customWidth="1"/>
    <col min="9" max="9" width="11.7109375" style="11" customWidth="1"/>
    <col min="10" max="10" width="3.28125" style="11" customWidth="1"/>
    <col min="11" max="11" width="36.140625" style="13" hidden="1" customWidth="1"/>
    <col min="12" max="12" width="19.421875" style="115" hidden="1" customWidth="1"/>
    <col min="13" max="13" width="6.57421875" style="17" hidden="1" customWidth="1"/>
    <col min="14" max="14" width="8.140625" style="17" hidden="1" customWidth="1"/>
    <col min="15" max="15" width="23.28125" style="11" hidden="1" customWidth="1"/>
    <col min="16" max="16" width="12.57421875" style="11" hidden="1" customWidth="1"/>
    <col min="17" max="17" width="12.57421875" style="11" customWidth="1"/>
    <col min="18" max="18" width="11.28125" style="11" customWidth="1"/>
    <col min="19" max="19" width="0.85546875" style="11" customWidth="1"/>
    <col min="20" max="16384" width="9.140625" style="11" customWidth="1"/>
  </cols>
  <sheetData>
    <row r="1" spans="2:14" s="10" customFormat="1" ht="73.5" customHeight="1">
      <c r="B1" s="339" t="s">
        <v>319</v>
      </c>
      <c r="C1" s="340"/>
      <c r="D1" s="340"/>
      <c r="E1" s="340"/>
      <c r="F1" s="340"/>
      <c r="G1" s="340"/>
      <c r="H1" s="340"/>
      <c r="I1" s="313"/>
      <c r="K1" s="157"/>
      <c r="L1" s="114"/>
      <c r="M1" s="117"/>
      <c r="N1" s="117"/>
    </row>
    <row r="2" spans="2:8" ht="6.75" customHeight="1" thickBot="1">
      <c r="B2" s="12"/>
      <c r="C2" s="12"/>
      <c r="D2" s="12"/>
      <c r="E2" s="12"/>
      <c r="F2" s="12"/>
      <c r="G2" s="12"/>
      <c r="H2" s="12"/>
    </row>
    <row r="3" spans="2:9" ht="13.5" thickTop="1">
      <c r="B3" s="85" t="s">
        <v>230</v>
      </c>
      <c r="C3" s="80"/>
      <c r="D3" s="80"/>
      <c r="E3" s="81"/>
      <c r="F3" s="80"/>
      <c r="G3" s="80"/>
      <c r="H3" s="80"/>
      <c r="I3" s="82"/>
    </row>
    <row r="4" spans="2:9" ht="12.75">
      <c r="B4" s="220" t="s">
        <v>320</v>
      </c>
      <c r="C4" s="14"/>
      <c r="D4" s="14"/>
      <c r="E4" s="39"/>
      <c r="F4" s="14"/>
      <c r="G4" s="14"/>
      <c r="H4" s="14"/>
      <c r="I4" s="84"/>
    </row>
    <row r="5" spans="2:11" ht="12.75">
      <c r="B5" s="83" t="s">
        <v>228</v>
      </c>
      <c r="C5" s="14"/>
      <c r="D5" s="14"/>
      <c r="E5" s="15"/>
      <c r="F5" s="14"/>
      <c r="G5" s="14"/>
      <c r="H5" s="14"/>
      <c r="I5" s="84"/>
      <c r="K5" s="16"/>
    </row>
    <row r="6" spans="1:9" ht="12.75">
      <c r="A6" s="17"/>
      <c r="B6" s="83" t="s">
        <v>231</v>
      </c>
      <c r="C6" s="14"/>
      <c r="D6" s="14"/>
      <c r="E6" s="15"/>
      <c r="F6" s="14"/>
      <c r="G6" s="14"/>
      <c r="H6" s="14"/>
      <c r="I6" s="84"/>
    </row>
    <row r="7" spans="2:9" ht="12.75" customHeight="1">
      <c r="B7" s="83" t="s">
        <v>249</v>
      </c>
      <c r="C7" s="14"/>
      <c r="D7" s="14"/>
      <c r="E7" s="14"/>
      <c r="F7" s="14"/>
      <c r="G7" s="14"/>
      <c r="H7" s="14"/>
      <c r="I7" s="84"/>
    </row>
    <row r="8" spans="2:9" ht="12.75" customHeight="1">
      <c r="B8" s="83" t="s">
        <v>232</v>
      </c>
      <c r="C8" s="14"/>
      <c r="D8" s="14"/>
      <c r="E8" s="14"/>
      <c r="F8" s="14"/>
      <c r="G8" s="14"/>
      <c r="H8" s="14"/>
      <c r="I8" s="84"/>
    </row>
    <row r="9" spans="2:9" ht="12.75" customHeight="1">
      <c r="B9" s="83" t="s">
        <v>226</v>
      </c>
      <c r="C9" s="14"/>
      <c r="D9" s="14"/>
      <c r="E9" s="14"/>
      <c r="F9" s="14"/>
      <c r="G9" s="14"/>
      <c r="H9" s="14"/>
      <c r="I9" s="84"/>
    </row>
    <row r="10" spans="2:9" ht="12.75" customHeight="1">
      <c r="B10" s="83" t="s">
        <v>174</v>
      </c>
      <c r="C10" s="14"/>
      <c r="D10" s="14"/>
      <c r="E10" s="14"/>
      <c r="F10" s="14"/>
      <c r="G10" s="14"/>
      <c r="H10" s="14"/>
      <c r="I10" s="84"/>
    </row>
    <row r="11" spans="2:9" ht="12.75" customHeight="1" thickBot="1">
      <c r="B11" s="132" t="s">
        <v>270</v>
      </c>
      <c r="C11" s="14"/>
      <c r="D11" s="14"/>
      <c r="E11" s="14"/>
      <c r="F11" s="14"/>
      <c r="G11" s="14"/>
      <c r="H11" s="14"/>
      <c r="I11" s="84"/>
    </row>
    <row r="12" spans="2:9" ht="5.25" customHeight="1" thickTop="1">
      <c r="B12" s="123"/>
      <c r="C12" s="80"/>
      <c r="D12" s="80"/>
      <c r="E12" s="80"/>
      <c r="F12" s="80"/>
      <c r="G12" s="80"/>
      <c r="H12" s="80"/>
      <c r="I12" s="80"/>
    </row>
    <row r="13" spans="4:8" ht="6.75" customHeight="1">
      <c r="D13" s="11"/>
      <c r="E13" s="11"/>
      <c r="F13" s="11"/>
      <c r="G13" s="11"/>
      <c r="H13" s="11"/>
    </row>
    <row r="14" spans="2:8" ht="12.75">
      <c r="B14" s="18" t="s">
        <v>171</v>
      </c>
      <c r="D14" s="11"/>
      <c r="E14" s="11"/>
      <c r="F14" s="11"/>
      <c r="G14" s="11"/>
      <c r="H14" s="11"/>
    </row>
    <row r="15" spans="2:8" ht="12.75">
      <c r="B15" s="11" t="s">
        <v>229</v>
      </c>
      <c r="D15" s="11"/>
      <c r="E15" s="11"/>
      <c r="F15" s="11"/>
      <c r="G15" s="11"/>
      <c r="H15" s="11"/>
    </row>
    <row r="16" spans="2:28" ht="12.75">
      <c r="B16" s="11" t="s">
        <v>175</v>
      </c>
      <c r="D16" s="11"/>
      <c r="E16" s="11"/>
      <c r="F16" s="11"/>
      <c r="G16" s="11"/>
      <c r="H16" s="11"/>
      <c r="L16" s="116"/>
      <c r="M16" s="118"/>
      <c r="N16" s="118"/>
      <c r="O16"/>
      <c r="P16"/>
      <c r="Q16"/>
      <c r="R16"/>
      <c r="S16"/>
      <c r="T16"/>
      <c r="U16"/>
      <c r="V16"/>
      <c r="W16"/>
      <c r="X16"/>
      <c r="Y16"/>
      <c r="Z16"/>
      <c r="AA16"/>
      <c r="AB16"/>
    </row>
    <row r="17" spans="2:28" ht="12.75">
      <c r="B17" s="11" t="s">
        <v>176</v>
      </c>
      <c r="D17" s="11"/>
      <c r="E17" s="11"/>
      <c r="F17" s="11"/>
      <c r="G17" s="11"/>
      <c r="H17" s="11"/>
      <c r="K17" s="124"/>
      <c r="L17" s="116"/>
      <c r="M17" s="118"/>
      <c r="N17" s="118"/>
      <c r="O17"/>
      <c r="P17"/>
      <c r="Q17"/>
      <c r="R17"/>
      <c r="S17"/>
      <c r="T17"/>
      <c r="U17"/>
      <c r="V17"/>
      <c r="W17"/>
      <c r="X17"/>
      <c r="Y17"/>
      <c r="Z17"/>
      <c r="AA17"/>
      <c r="AB17"/>
    </row>
    <row r="18" spans="2:28" ht="12.75">
      <c r="B18" s="11" t="s">
        <v>187</v>
      </c>
      <c r="D18" s="11"/>
      <c r="E18" s="11"/>
      <c r="F18" s="11"/>
      <c r="G18" s="11"/>
      <c r="H18" s="11"/>
      <c r="K18" s="19" t="s">
        <v>41</v>
      </c>
      <c r="L18" s="116"/>
      <c r="M18" s="118"/>
      <c r="N18" s="118"/>
      <c r="O18"/>
      <c r="P18"/>
      <c r="Q18"/>
      <c r="R18"/>
      <c r="S18"/>
      <c r="T18"/>
      <c r="U18"/>
      <c r="V18"/>
      <c r="W18"/>
      <c r="X18"/>
      <c r="Y18"/>
      <c r="Z18"/>
      <c r="AA18"/>
      <c r="AB18"/>
    </row>
    <row r="19" spans="2:28" ht="12.75">
      <c r="B19" s="21" t="s">
        <v>267</v>
      </c>
      <c r="C19" s="20"/>
      <c r="D19" s="20"/>
      <c r="E19" s="20"/>
      <c r="F19" s="20"/>
      <c r="G19" s="20"/>
      <c r="H19" s="20"/>
      <c r="K19" s="155" t="s">
        <v>311</v>
      </c>
      <c r="L19" s="116"/>
      <c r="M19" s="118"/>
      <c r="N19" s="118"/>
      <c r="O19"/>
      <c r="P19"/>
      <c r="Q19"/>
      <c r="R19"/>
      <c r="S19"/>
      <c r="T19"/>
      <c r="U19"/>
      <c r="V19"/>
      <c r="W19"/>
      <c r="X19"/>
      <c r="Y19"/>
      <c r="Z19"/>
      <c r="AA19"/>
      <c r="AB19"/>
    </row>
    <row r="20" spans="2:28" ht="12.75">
      <c r="B20" s="21" t="s">
        <v>248</v>
      </c>
      <c r="C20" s="20"/>
      <c r="D20" s="20"/>
      <c r="E20" s="20"/>
      <c r="F20" s="20"/>
      <c r="G20" s="20"/>
      <c r="H20" s="20"/>
      <c r="K20" s="95" t="s">
        <v>50</v>
      </c>
      <c r="L20" s="116"/>
      <c r="M20" s="118"/>
      <c r="N20" s="118"/>
      <c r="O20"/>
      <c r="P20"/>
      <c r="Q20"/>
      <c r="R20"/>
      <c r="S20"/>
      <c r="T20"/>
      <c r="U20"/>
      <c r="V20"/>
      <c r="W20"/>
      <c r="X20"/>
      <c r="Y20"/>
      <c r="Z20"/>
      <c r="AA20"/>
      <c r="AB20"/>
    </row>
    <row r="21" spans="2:28" ht="26.25" customHeight="1">
      <c r="B21" s="312" t="s">
        <v>310</v>
      </c>
      <c r="C21" s="313"/>
      <c r="D21" s="313"/>
      <c r="E21" s="313"/>
      <c r="F21" s="313"/>
      <c r="G21" s="313"/>
      <c r="H21" s="313"/>
      <c r="I21" s="313"/>
      <c r="K21" s="95" t="s">
        <v>52</v>
      </c>
      <c r="L21" s="116"/>
      <c r="M21" s="118"/>
      <c r="N21" s="118"/>
      <c r="O21"/>
      <c r="P21"/>
      <c r="Q21"/>
      <c r="R21"/>
      <c r="S21"/>
      <c r="T21"/>
      <c r="U21"/>
      <c r="V21"/>
      <c r="W21"/>
      <c r="X21"/>
      <c r="Y21"/>
      <c r="Z21"/>
      <c r="AA21"/>
      <c r="AB21"/>
    </row>
    <row r="22" spans="2:28" ht="13.5" customHeight="1">
      <c r="B22" s="11" t="s">
        <v>307</v>
      </c>
      <c r="D22" s="11"/>
      <c r="E22" s="11"/>
      <c r="F22" s="11"/>
      <c r="G22" s="11"/>
      <c r="H22" s="11"/>
      <c r="K22" s="95" t="s">
        <v>53</v>
      </c>
      <c r="L22" s="116"/>
      <c r="M22" s="118"/>
      <c r="N22" s="118"/>
      <c r="O22"/>
      <c r="P22"/>
      <c r="Q22"/>
      <c r="R22"/>
      <c r="S22"/>
      <c r="T22"/>
      <c r="U22"/>
      <c r="V22"/>
      <c r="W22"/>
      <c r="X22"/>
      <c r="Y22"/>
      <c r="Z22"/>
      <c r="AA22"/>
      <c r="AB22"/>
    </row>
    <row r="23" spans="2:28" ht="12.75">
      <c r="B23" s="11" t="s">
        <v>308</v>
      </c>
      <c r="D23" s="11"/>
      <c r="E23" s="11"/>
      <c r="F23" s="11"/>
      <c r="G23" s="11"/>
      <c r="H23" s="11"/>
      <c r="K23" s="95" t="s">
        <v>55</v>
      </c>
      <c r="L23" s="116"/>
      <c r="M23" s="118"/>
      <c r="N23" s="118"/>
      <c r="O23"/>
      <c r="P23"/>
      <c r="Q23"/>
      <c r="R23"/>
      <c r="S23"/>
      <c r="T23"/>
      <c r="U23"/>
      <c r="V23"/>
      <c r="W23"/>
      <c r="X23"/>
      <c r="Y23"/>
      <c r="Z23"/>
      <c r="AA23"/>
      <c r="AB23"/>
    </row>
    <row r="24" spans="2:28" ht="5.25" customHeight="1">
      <c r="B24" s="14"/>
      <c r="C24" s="14"/>
      <c r="D24" s="22"/>
      <c r="E24" s="11"/>
      <c r="F24" s="11"/>
      <c r="G24" s="11"/>
      <c r="H24" s="11"/>
      <c r="K24" s="95" t="s">
        <v>190</v>
      </c>
      <c r="L24" s="116"/>
      <c r="M24" s="118"/>
      <c r="N24" s="118"/>
      <c r="O24"/>
      <c r="P24"/>
      <c r="Q24"/>
      <c r="R24"/>
      <c r="S24"/>
      <c r="T24"/>
      <c r="U24"/>
      <c r="V24"/>
      <c r="W24"/>
      <c r="X24"/>
      <c r="Y24"/>
      <c r="Z24"/>
      <c r="AA24"/>
      <c r="AB24"/>
    </row>
    <row r="25" spans="2:28" ht="7.5" customHeight="1">
      <c r="B25" s="23"/>
      <c r="C25" s="23"/>
      <c r="D25" s="24"/>
      <c r="E25" s="25"/>
      <c r="F25" s="26"/>
      <c r="G25" s="26"/>
      <c r="H25" s="26"/>
      <c r="I25" s="26"/>
      <c r="K25" s="95" t="s">
        <v>278</v>
      </c>
      <c r="L25" s="116"/>
      <c r="M25" s="118"/>
      <c r="N25" s="118"/>
      <c r="O25"/>
      <c r="P25"/>
      <c r="Q25"/>
      <c r="R25"/>
      <c r="S25"/>
      <c r="T25"/>
      <c r="U25"/>
      <c r="V25"/>
      <c r="W25"/>
      <c r="X25"/>
      <c r="Y25"/>
      <c r="Z25"/>
      <c r="AA25"/>
      <c r="AB25"/>
    </row>
    <row r="26" spans="2:28" s="27" customFormat="1" ht="4.5" customHeight="1" thickBot="1">
      <c r="B26" s="28"/>
      <c r="C26" s="28"/>
      <c r="D26" s="29"/>
      <c r="E26" s="30"/>
      <c r="K26" s="95" t="s">
        <v>191</v>
      </c>
      <c r="L26" s="116"/>
      <c r="M26" s="118"/>
      <c r="N26" s="118"/>
      <c r="O26"/>
      <c r="P26"/>
      <c r="Q26"/>
      <c r="R26"/>
      <c r="S26"/>
      <c r="T26"/>
      <c r="U26"/>
      <c r="V26"/>
      <c r="W26"/>
      <c r="X26"/>
      <c r="Y26"/>
      <c r="Z26"/>
      <c r="AA26"/>
      <c r="AB26"/>
    </row>
    <row r="27" spans="2:28" ht="15.75" customHeight="1" thickBot="1" thickTop="1">
      <c r="B27" s="32" t="s">
        <v>260</v>
      </c>
      <c r="C27" s="357" t="s">
        <v>140</v>
      </c>
      <c r="D27" s="358"/>
      <c r="E27" s="358"/>
      <c r="F27" s="358"/>
      <c r="G27" s="359"/>
      <c r="H27" s="309">
        <f>IF(C27=K19,"Input Kh and solubility","")</f>
      </c>
      <c r="I27" s="308"/>
      <c r="K27" s="95" t="s">
        <v>57</v>
      </c>
      <c r="L27" s="116"/>
      <c r="M27" s="118"/>
      <c r="N27" s="118"/>
      <c r="O27" t="s">
        <v>309</v>
      </c>
      <c r="P27"/>
      <c r="Q27"/>
      <c r="R27"/>
      <c r="S27"/>
      <c r="T27"/>
      <c r="U27"/>
      <c r="V27"/>
      <c r="W27"/>
      <c r="X27"/>
      <c r="Y27"/>
      <c r="Z27"/>
      <c r="AA27"/>
      <c r="AB27"/>
    </row>
    <row r="28" spans="2:28" s="27" customFormat="1" ht="6" customHeight="1" thickBot="1" thickTop="1">
      <c r="B28" s="33"/>
      <c r="C28" s="34"/>
      <c r="D28" s="35"/>
      <c r="E28" s="35"/>
      <c r="F28" s="35"/>
      <c r="G28" s="35"/>
      <c r="H28" s="31"/>
      <c r="K28" s="95" t="s">
        <v>58</v>
      </c>
      <c r="L28" s="116"/>
      <c r="M28" s="118"/>
      <c r="N28" s="118"/>
      <c r="O28"/>
      <c r="P28"/>
      <c r="Q28"/>
      <c r="R28"/>
      <c r="S28"/>
      <c r="T28"/>
      <c r="U28"/>
      <c r="V28"/>
      <c r="W28"/>
      <c r="X28"/>
      <c r="Y28"/>
      <c r="Z28"/>
      <c r="AA28"/>
      <c r="AB28"/>
    </row>
    <row r="29" spans="2:31" ht="18.75" customHeight="1" thickTop="1">
      <c r="B29" s="36" t="s">
        <v>177</v>
      </c>
      <c r="C29" s="37" t="s">
        <v>0</v>
      </c>
      <c r="D29" s="38" t="s">
        <v>1</v>
      </c>
      <c r="E29" s="39"/>
      <c r="F29" s="365" t="s">
        <v>233</v>
      </c>
      <c r="G29" s="366"/>
      <c r="H29" s="120" t="s">
        <v>0</v>
      </c>
      <c r="I29" s="121" t="s">
        <v>1</v>
      </c>
      <c r="J29"/>
      <c r="K29" s="95" t="s">
        <v>59</v>
      </c>
      <c r="L29" s="116"/>
      <c r="M29" s="118"/>
      <c r="N29" s="118"/>
      <c r="O29" s="58" t="s">
        <v>172</v>
      </c>
      <c r="P29" s="59">
        <f>IF(C27=K19,C46,(IF((VLOOKUP(C27,Constants!A10:P162,10))="",0,(VLOOKUP(C27,Constants!A10:P162,10)))))</f>
        <v>0</v>
      </c>
      <c r="Q29"/>
      <c r="R29"/>
      <c r="S29"/>
      <c r="T29"/>
      <c r="U29"/>
      <c r="V29"/>
      <c r="W29"/>
      <c r="X29"/>
      <c r="Y29"/>
      <c r="Z29"/>
      <c r="AA29"/>
      <c r="AB29"/>
      <c r="AC29"/>
      <c r="AD29"/>
      <c r="AE29"/>
    </row>
    <row r="30" spans="1:31" ht="15" customHeight="1">
      <c r="A30" s="40"/>
      <c r="B30" s="41" t="s">
        <v>227</v>
      </c>
      <c r="C30" s="42" t="s">
        <v>2</v>
      </c>
      <c r="D30" s="78">
        <v>400</v>
      </c>
      <c r="E30" s="43"/>
      <c r="F30" s="367"/>
      <c r="G30" s="368"/>
      <c r="H30" s="89">
        <v>20</v>
      </c>
      <c r="I30" s="5">
        <f>H30</f>
        <v>20</v>
      </c>
      <c r="J30"/>
      <c r="K30" s="95" t="s">
        <v>192</v>
      </c>
      <c r="L30" s="116"/>
      <c r="M30" s="118"/>
      <c r="N30" s="118"/>
      <c r="O30" s="58" t="s">
        <v>173</v>
      </c>
      <c r="P30" s="104">
        <f>IF(C27=K19,(C46*41),(IF((VLOOKUP(C27,Constants!A10:P162,11))="",0,(VLOOKUP(C27,Constants!A10:P162,11)))))</f>
        <v>0</v>
      </c>
      <c r="Q30"/>
      <c r="R30"/>
      <c r="S30"/>
      <c r="T30"/>
      <c r="U30"/>
      <c r="V30"/>
      <c r="W30"/>
      <c r="X30"/>
      <c r="Y30"/>
      <c r="Z30"/>
      <c r="AA30"/>
      <c r="AB30"/>
      <c r="AC30"/>
      <c r="AD30"/>
      <c r="AE30"/>
    </row>
    <row r="31" spans="1:31" ht="15" thickBot="1">
      <c r="A31" s="40"/>
      <c r="B31" s="41" t="s">
        <v>235</v>
      </c>
      <c r="C31" s="42" t="s">
        <v>2</v>
      </c>
      <c r="D31" s="78">
        <v>370</v>
      </c>
      <c r="E31" s="43"/>
      <c r="F31" s="362" t="s">
        <v>185</v>
      </c>
      <c r="G31" s="322"/>
      <c r="H31" s="322"/>
      <c r="I31" s="316"/>
      <c r="J31"/>
      <c r="K31" s="95" t="s">
        <v>60</v>
      </c>
      <c r="L31" s="116"/>
      <c r="M31" s="118"/>
      <c r="N31" s="118"/>
      <c r="O31" s="60" t="s">
        <v>225</v>
      </c>
      <c r="P31" s="105">
        <f>IF(VLOOKUP(C27,Constants!A10:P162,9)=0,"-",(VLOOKUP(C27,Constants!A10:P162,9))*1000)</f>
        <v>245000000</v>
      </c>
      <c r="Q31"/>
      <c r="R31"/>
      <c r="S31"/>
      <c r="T31"/>
      <c r="U31"/>
      <c r="V31"/>
      <c r="W31"/>
      <c r="X31"/>
      <c r="Y31"/>
      <c r="Z31"/>
      <c r="AA31"/>
      <c r="AB31"/>
      <c r="AC31"/>
      <c r="AD31"/>
      <c r="AE31"/>
    </row>
    <row r="32" spans="1:31" ht="15.75" thickBot="1" thickTop="1">
      <c r="A32" s="40"/>
      <c r="B32" s="44" t="s">
        <v>182</v>
      </c>
      <c r="C32" s="45"/>
      <c r="D32" s="6"/>
      <c r="E32" s="43"/>
      <c r="F32" s="363"/>
      <c r="G32" s="364"/>
      <c r="H32" s="364"/>
      <c r="I32" s="317"/>
      <c r="J32"/>
      <c r="K32" s="95" t="s">
        <v>61</v>
      </c>
      <c r="L32" s="116"/>
      <c r="M32" s="118"/>
      <c r="N32" s="118"/>
      <c r="O32"/>
      <c r="P32"/>
      <c r="Q32"/>
      <c r="R32"/>
      <c r="S32"/>
      <c r="T32"/>
      <c r="U32"/>
      <c r="V32"/>
      <c r="W32"/>
      <c r="X32"/>
      <c r="Y32"/>
      <c r="Z32"/>
      <c r="AA32"/>
      <c r="AB32"/>
      <c r="AC32"/>
      <c r="AD32"/>
      <c r="AE32"/>
    </row>
    <row r="33" spans="1:31" ht="3.75" customHeight="1" thickBot="1" thickTop="1">
      <c r="A33" s="40"/>
      <c r="B33" s="86"/>
      <c r="C33" s="42"/>
      <c r="D33" s="5"/>
      <c r="E33" s="43"/>
      <c r="F33" s="87"/>
      <c r="G33" s="87"/>
      <c r="H33" s="87"/>
      <c r="I33" s="88"/>
      <c r="J33"/>
      <c r="K33" s="95" t="s">
        <v>62</v>
      </c>
      <c r="L33" s="116"/>
      <c r="M33" s="118"/>
      <c r="N33" s="118"/>
      <c r="O33"/>
      <c r="P33"/>
      <c r="Q33"/>
      <c r="R33"/>
      <c r="S33"/>
      <c r="T33"/>
      <c r="U33"/>
      <c r="V33"/>
      <c r="W33"/>
      <c r="X33"/>
      <c r="Y33"/>
      <c r="Z33"/>
      <c r="AA33"/>
      <c r="AB33"/>
      <c r="AC33"/>
      <c r="AD33"/>
      <c r="AE33"/>
    </row>
    <row r="34" spans="2:31" ht="15.75" customHeight="1" thickBot="1" thickTop="1">
      <c r="B34" s="46" t="s">
        <v>222</v>
      </c>
      <c r="C34" s="47">
        <v>1.5</v>
      </c>
      <c r="D34" s="7">
        <v>1.5</v>
      </c>
      <c r="E34" s="43"/>
      <c r="F34" s="75" t="s">
        <v>178</v>
      </c>
      <c r="G34" s="76"/>
      <c r="H34" s="76"/>
      <c r="I34" s="77"/>
      <c r="J34"/>
      <c r="K34" s="95" t="s">
        <v>63</v>
      </c>
      <c r="L34" s="116"/>
      <c r="M34" s="118"/>
      <c r="N34" s="119"/>
      <c r="O34"/>
      <c r="P34"/>
      <c r="Q34"/>
      <c r="R34"/>
      <c r="S34"/>
      <c r="T34"/>
      <c r="U34"/>
      <c r="V34"/>
      <c r="W34"/>
      <c r="X34"/>
      <c r="Y34"/>
      <c r="Z34"/>
      <c r="AA34"/>
      <c r="AB34"/>
      <c r="AC34"/>
      <c r="AD34"/>
      <c r="AE34"/>
    </row>
    <row r="35" spans="2:31" ht="15.75" customHeight="1">
      <c r="B35" s="46" t="s">
        <v>223</v>
      </c>
      <c r="C35" s="47">
        <v>2.65</v>
      </c>
      <c r="D35" s="7">
        <v>2.65</v>
      </c>
      <c r="E35" s="43"/>
      <c r="F35" s="360" t="s">
        <v>221</v>
      </c>
      <c r="G35" s="361"/>
      <c r="H35" s="361"/>
      <c r="I35" s="90">
        <f>IF(OR(D30=0,D31=0),"",(IF(P31="-",(IF(C58&gt;C57,"Error",(C60/D31))),(IF(D31&gt;(P31*0.75),"-",(IF(C58&gt;C57,"Error",(C60/D31))))))))</f>
        <v>1061.081081081081</v>
      </c>
      <c r="J35"/>
      <c r="K35" s="95" t="s">
        <v>64</v>
      </c>
      <c r="L35" s="116"/>
      <c r="M35" s="118"/>
      <c r="N35" s="119"/>
      <c r="O35"/>
      <c r="P35"/>
      <c r="Q35"/>
      <c r="R35"/>
      <c r="S35"/>
      <c r="T35"/>
      <c r="U35"/>
      <c r="V35"/>
      <c r="W35"/>
      <c r="X35"/>
      <c r="Y35"/>
      <c r="Z35"/>
      <c r="AA35"/>
      <c r="AB35"/>
      <c r="AC35"/>
      <c r="AD35"/>
      <c r="AE35"/>
    </row>
    <row r="36" spans="2:31" ht="13.5" customHeight="1">
      <c r="B36" s="46" t="s">
        <v>184</v>
      </c>
      <c r="C36" s="47">
        <v>0</v>
      </c>
      <c r="D36" s="7">
        <v>0</v>
      </c>
      <c r="E36" s="43"/>
      <c r="F36" s="354" t="s">
        <v>253</v>
      </c>
      <c r="G36" s="322"/>
      <c r="H36" s="322"/>
      <c r="I36" s="334" t="str">
        <f>IF(OR(D30=0,D31=0,I35&gt;20),"-",(IF(P31="-",IF(C58&gt;C57,"-",((D30*1000)/(I35+((C53+(C52*P30))/D34)))),(IF(D31&gt;(P31*0.75),IF(D31&gt;P31,D31,P31),IF(C58&gt;C57,"-",((D30*1000)/(I35+((C53+(C52*P30))/D34)))))))))</f>
        <v>-</v>
      </c>
      <c r="J36"/>
      <c r="K36" s="95" t="s">
        <v>65</v>
      </c>
      <c r="L36" s="116"/>
      <c r="M36" s="118"/>
      <c r="N36" s="118"/>
      <c r="O36"/>
      <c r="P36"/>
      <c r="Q36"/>
      <c r="R36"/>
      <c r="S36"/>
      <c r="T36"/>
      <c r="U36"/>
      <c r="V36"/>
      <c r="W36"/>
      <c r="X36"/>
      <c r="Y36"/>
      <c r="Z36"/>
      <c r="AA36"/>
      <c r="AB36"/>
      <c r="AC36"/>
      <c r="AD36"/>
      <c r="AE36"/>
    </row>
    <row r="37" spans="2:31" ht="15" customHeight="1">
      <c r="B37" s="48" t="s">
        <v>183</v>
      </c>
      <c r="C37" s="49"/>
      <c r="D37" s="6"/>
      <c r="E37" s="43"/>
      <c r="F37" s="355"/>
      <c r="G37" s="325"/>
      <c r="H37" s="325"/>
      <c r="I37" s="356"/>
      <c r="J37"/>
      <c r="K37" s="95" t="s">
        <v>66</v>
      </c>
      <c r="L37" s="116"/>
      <c r="M37" s="118"/>
      <c r="N37" s="118"/>
      <c r="O37"/>
      <c r="P37"/>
      <c r="Q37"/>
      <c r="R37"/>
      <c r="S37"/>
      <c r="T37"/>
      <c r="U37"/>
      <c r="V37"/>
      <c r="W37"/>
      <c r="X37"/>
      <c r="Y37"/>
      <c r="Z37"/>
      <c r="AA37"/>
      <c r="AB37"/>
      <c r="AC37"/>
      <c r="AD37"/>
      <c r="AE37"/>
    </row>
    <row r="38" spans="2:31" ht="15" customHeight="1">
      <c r="B38" s="41" t="s">
        <v>236</v>
      </c>
      <c r="C38" s="50">
        <v>2000</v>
      </c>
      <c r="D38" s="8">
        <v>2000</v>
      </c>
      <c r="F38" s="330" t="s">
        <v>254</v>
      </c>
      <c r="G38" s="331"/>
      <c r="H38" s="331"/>
      <c r="I38" s="334" t="str">
        <f>IF(OR(D30=0,D31=0,I35&gt;20),"-",(IF(I35="-",(I36/I30),(IF(I35&gt;20,"-",(IF(C58&gt;C57,"Error",(I36/I30))))))))</f>
        <v>-</v>
      </c>
      <c r="J38" s="318">
        <f>IF(OR(D30=0,D31=0,I31=0),"",IF(I38="-","",(IF(I38&gt;I31,"X",""))))</f>
      </c>
      <c r="K38" s="95" t="s">
        <v>67</v>
      </c>
      <c r="L38" s="116"/>
      <c r="M38" s="118"/>
      <c r="N38" s="118"/>
      <c r="O38"/>
      <c r="P38"/>
      <c r="Q38"/>
      <c r="R38"/>
      <c r="S38"/>
      <c r="T38"/>
      <c r="U38"/>
      <c r="V38"/>
      <c r="W38"/>
      <c r="X38"/>
      <c r="Y38"/>
      <c r="Z38"/>
      <c r="AA38"/>
      <c r="AB38"/>
      <c r="AC38"/>
      <c r="AD38"/>
      <c r="AE38"/>
    </row>
    <row r="39" spans="2:31" ht="15" customHeight="1" thickBot="1">
      <c r="B39" s="41" t="s">
        <v>237</v>
      </c>
      <c r="C39" s="51">
        <v>1</v>
      </c>
      <c r="D39" s="9">
        <f>C39</f>
        <v>1</v>
      </c>
      <c r="F39" s="332"/>
      <c r="G39" s="333"/>
      <c r="H39" s="333"/>
      <c r="I39" s="335"/>
      <c r="J39" s="319"/>
      <c r="K39" s="95" t="s">
        <v>68</v>
      </c>
      <c r="L39" s="116"/>
      <c r="M39" s="118"/>
      <c r="N39" s="118"/>
      <c r="O39"/>
      <c r="P39"/>
      <c r="Q39"/>
      <c r="R39"/>
      <c r="S39"/>
      <c r="T39"/>
      <c r="U39"/>
      <c r="V39"/>
      <c r="W39"/>
      <c r="X39"/>
      <c r="Y39"/>
      <c r="Z39"/>
      <c r="AA39"/>
      <c r="AB39"/>
      <c r="AC39"/>
      <c r="AD39"/>
      <c r="AE39"/>
    </row>
    <row r="40" spans="2:28" ht="15" customHeight="1" thickBot="1" thickTop="1">
      <c r="B40" s="108" t="s">
        <v>181</v>
      </c>
      <c r="C40" s="109">
        <v>100</v>
      </c>
      <c r="D40" s="110">
        <f>C40</f>
        <v>100</v>
      </c>
      <c r="E40" s="52"/>
      <c r="F40" s="131">
        <f>IF(OR(D30=0,D31=0,I31=0),"",IF(I38="-","",(IF(I38&gt;I31,"X: Groundwater action levels potentially exceeded.",""))))</f>
      </c>
      <c r="K40" s="95" t="s">
        <v>69</v>
      </c>
      <c r="L40" s="116"/>
      <c r="M40" s="118"/>
      <c r="N40" s="118"/>
      <c r="O40"/>
      <c r="P40"/>
      <c r="Q40"/>
      <c r="R40"/>
      <c r="S40"/>
      <c r="T40"/>
      <c r="U40"/>
      <c r="V40"/>
      <c r="W40"/>
      <c r="X40"/>
      <c r="Y40"/>
      <c r="Z40"/>
      <c r="AA40"/>
      <c r="AB40"/>
    </row>
    <row r="41" spans="2:28" ht="4.5" customHeight="1" thickTop="1">
      <c r="B41" s="111"/>
      <c r="C41" s="112"/>
      <c r="D41" s="113"/>
      <c r="E41" s="52"/>
      <c r="F41" s="126"/>
      <c r="K41" s="95" t="s">
        <v>70</v>
      </c>
      <c r="L41" s="116"/>
      <c r="M41" s="118"/>
      <c r="N41" s="118"/>
      <c r="O41"/>
      <c r="P41"/>
      <c r="Q41"/>
      <c r="R41"/>
      <c r="S41"/>
      <c r="T41"/>
      <c r="U41"/>
      <c r="V41"/>
      <c r="W41"/>
      <c r="X41"/>
      <c r="Y41"/>
      <c r="Z41"/>
      <c r="AA41"/>
      <c r="AB41"/>
    </row>
    <row r="42" spans="2:28" ht="5.25" customHeight="1">
      <c r="B42" s="53"/>
      <c r="C42" s="30"/>
      <c r="D42" s="54"/>
      <c r="E42" s="52"/>
      <c r="F42" s="79"/>
      <c r="G42" s="79"/>
      <c r="H42" s="79"/>
      <c r="I42" s="106"/>
      <c r="K42" s="95" t="s">
        <v>71</v>
      </c>
      <c r="L42" s="116"/>
      <c r="M42" s="118"/>
      <c r="N42" s="118"/>
      <c r="O42"/>
      <c r="P42"/>
      <c r="Q42"/>
      <c r="R42"/>
      <c r="S42"/>
      <c r="T42"/>
      <c r="U42"/>
      <c r="V42"/>
      <c r="W42"/>
      <c r="X42"/>
      <c r="Y42"/>
      <c r="Z42"/>
      <c r="AA42"/>
      <c r="AB42"/>
    </row>
    <row r="43" spans="2:28" s="27" customFormat="1" ht="7.5" customHeight="1">
      <c r="B43" s="26"/>
      <c r="C43" s="26"/>
      <c r="D43" s="55"/>
      <c r="E43" s="55"/>
      <c r="F43" s="26"/>
      <c r="G43" s="26"/>
      <c r="H43" s="26"/>
      <c r="I43" s="26"/>
      <c r="K43" s="95" t="s">
        <v>72</v>
      </c>
      <c r="L43" s="116"/>
      <c r="M43" s="118"/>
      <c r="N43" s="118"/>
      <c r="O43"/>
      <c r="P43"/>
      <c r="Q43"/>
      <c r="R43"/>
      <c r="S43"/>
      <c r="T43"/>
      <c r="U43"/>
      <c r="V43"/>
      <c r="W43"/>
      <c r="X43"/>
      <c r="Y43"/>
      <c r="Z43"/>
      <c r="AA43"/>
      <c r="AB43"/>
    </row>
    <row r="44" spans="4:28" ht="5.25" customHeight="1" thickBot="1">
      <c r="D44" s="11"/>
      <c r="E44" s="11"/>
      <c r="F44" s="11"/>
      <c r="G44" s="11"/>
      <c r="H44" s="11"/>
      <c r="K44" s="95" t="s">
        <v>73</v>
      </c>
      <c r="L44" s="116"/>
      <c r="M44" s="118"/>
      <c r="N44" s="118"/>
      <c r="O44"/>
      <c r="P44"/>
      <c r="Q44"/>
      <c r="R44"/>
      <c r="S44"/>
      <c r="T44"/>
      <c r="U44"/>
      <c r="V44"/>
      <c r="W44"/>
      <c r="X44"/>
      <c r="Y44"/>
      <c r="Z44"/>
      <c r="AA44"/>
      <c r="AB44"/>
    </row>
    <row r="45" spans="2:12" ht="16.5" customHeight="1" thickBot="1" thickTop="1">
      <c r="B45" s="56" t="s">
        <v>313</v>
      </c>
      <c r="C45" s="57"/>
      <c r="D45" s="125"/>
      <c r="E45" s="11"/>
      <c r="F45" s="336" t="str">
        <f>IF(OR(D30=0,D31=0),"",(IF(P31="-",(IF(OR(P29="",C58&gt;C57),"",IF(I35&gt;20,L46,L47))),(IF(D31&gt;(P31*0.75),L45,(IF(OR(P29="",C58&gt;C57),"",IF(I35&gt;20,L46,L47))))))))</f>
        <v>Kd &gt;20.  Contaminant not significantly mobile for concentration and soil type tested.  Do not place below water table without further evaluation.  Address other potential environmental concerns as needed (direct exposure, gross contamination, etc.).</v>
      </c>
      <c r="G45" s="322"/>
      <c r="H45" s="322"/>
      <c r="I45" s="323"/>
      <c r="K45" s="95" t="s">
        <v>74</v>
      </c>
      <c r="L45" s="40" t="s">
        <v>258</v>
      </c>
    </row>
    <row r="46" spans="2:12" ht="12.75" customHeight="1">
      <c r="B46" s="58">
        <f>IF(OR(C27=K17,C27=K19),"Input Kh (atm m3/mole)","")</f>
      </c>
      <c r="C46" s="154"/>
      <c r="D46" s="127"/>
      <c r="E46" s="11"/>
      <c r="F46" s="324"/>
      <c r="G46" s="325"/>
      <c r="H46" s="325"/>
      <c r="I46" s="326"/>
      <c r="K46" s="95" t="s">
        <v>75</v>
      </c>
      <c r="L46" s="40" t="s">
        <v>257</v>
      </c>
    </row>
    <row r="47" spans="2:12" ht="13.5" customHeight="1" thickBot="1">
      <c r="B47" s="60">
        <f>IF(OR(C27=K17,C27=K19),"Input Solubility (ug/L)","")</f>
      </c>
      <c r="C47" s="74"/>
      <c r="E47" s="11"/>
      <c r="F47" s="324"/>
      <c r="G47" s="325"/>
      <c r="H47" s="325"/>
      <c r="I47" s="326"/>
      <c r="K47" s="95" t="s">
        <v>77</v>
      </c>
      <c r="L47" s="40" t="s">
        <v>259</v>
      </c>
    </row>
    <row r="48" spans="2:11" ht="13.5" customHeight="1" thickTop="1">
      <c r="B48" s="156">
        <f>IF(OR(C27=K17,C27=K19),"Leave blank if values not available (see Note #10).","")</f>
      </c>
      <c r="C48" s="14"/>
      <c r="D48" s="127"/>
      <c r="E48" s="11"/>
      <c r="F48" s="324"/>
      <c r="G48" s="325"/>
      <c r="H48" s="325"/>
      <c r="I48" s="326"/>
      <c r="K48" s="95" t="s">
        <v>78</v>
      </c>
    </row>
    <row r="49" spans="4:11" ht="12.75" customHeight="1" thickBot="1">
      <c r="D49" s="11"/>
      <c r="E49" s="11"/>
      <c r="F49" s="327"/>
      <c r="G49" s="328"/>
      <c r="H49" s="328"/>
      <c r="I49" s="329"/>
      <c r="K49" s="95" t="s">
        <v>193</v>
      </c>
    </row>
    <row r="50" spans="2:11" ht="14.25" thickBot="1" thickTop="1">
      <c r="B50" s="61" t="s">
        <v>3</v>
      </c>
      <c r="C50" s="62"/>
      <c r="D50" s="11"/>
      <c r="E50" s="11"/>
      <c r="F50" s="11"/>
      <c r="G50" s="11"/>
      <c r="H50" s="11"/>
      <c r="K50" s="95" t="s">
        <v>79</v>
      </c>
    </row>
    <row r="51" spans="2:11" ht="12.75">
      <c r="B51" s="46" t="s">
        <v>4</v>
      </c>
      <c r="C51" s="63">
        <f>1-(D34/D35)</f>
        <v>0.4339622641509434</v>
      </c>
      <c r="D51" s="11"/>
      <c r="E51" s="11"/>
      <c r="F51" s="321">
        <f>IF(OR(C58&gt;C57,I35&gt;20),"",(IF(I36&gt;P31,"Estimated concentration in leachate exceeds assumed contaminant solubility.  Pure-phase product may be present in soil.","")))</f>
      </c>
      <c r="G51" s="341"/>
      <c r="H51" s="341"/>
      <c r="I51" s="342"/>
      <c r="K51" s="95" t="s">
        <v>80</v>
      </c>
    </row>
    <row r="52" spans="2:11" ht="12.75">
      <c r="B52" s="46" t="s">
        <v>5</v>
      </c>
      <c r="C52" s="63">
        <f>D36*C51</f>
        <v>0</v>
      </c>
      <c r="D52" s="11"/>
      <c r="E52" s="11"/>
      <c r="F52" s="343"/>
      <c r="G52" s="344"/>
      <c r="H52" s="344"/>
      <c r="I52" s="345"/>
      <c r="K52" s="95" t="s">
        <v>81</v>
      </c>
    </row>
    <row r="53" spans="2:11" ht="13.5" thickBot="1">
      <c r="B53" s="46" t="s">
        <v>6</v>
      </c>
      <c r="C53" s="63">
        <f>C51-C52</f>
        <v>0.4339622641509434</v>
      </c>
      <c r="D53" s="11"/>
      <c r="E53" s="11"/>
      <c r="F53" s="346"/>
      <c r="G53" s="347"/>
      <c r="H53" s="347"/>
      <c r="I53" s="348"/>
      <c r="K53" s="128" t="s">
        <v>82</v>
      </c>
    </row>
    <row r="54" spans="2:11" ht="12.75">
      <c r="B54" s="64" t="s">
        <v>243</v>
      </c>
      <c r="C54" s="71">
        <f>D38*D39</f>
        <v>2000</v>
      </c>
      <c r="D54" s="11"/>
      <c r="E54" s="11"/>
      <c r="F54" s="11"/>
      <c r="G54" s="11"/>
      <c r="H54" s="11"/>
      <c r="K54" s="95" t="s">
        <v>83</v>
      </c>
    </row>
    <row r="55" spans="2:11" ht="12.75">
      <c r="B55" s="46" t="s">
        <v>244</v>
      </c>
      <c r="C55" s="72">
        <f>D40</f>
        <v>100</v>
      </c>
      <c r="D55" s="11"/>
      <c r="E55" s="11"/>
      <c r="F55" s="321">
        <f>IF(C58&gt;C57,"(9)Error: Sample data not valid.  Input Batch Test concentration yields dissolved-phase contaminant mass greater than initial total mass in soil sample.","")</f>
      </c>
      <c r="G55" s="349"/>
      <c r="H55" s="349"/>
      <c r="I55" s="350"/>
      <c r="K55" s="95" t="s">
        <v>84</v>
      </c>
    </row>
    <row r="56" spans="2:11" ht="13.5" thickBot="1">
      <c r="B56" s="65" t="s">
        <v>245</v>
      </c>
      <c r="C56" s="66">
        <f>C55/C54</f>
        <v>0.05</v>
      </c>
      <c r="D56" s="11"/>
      <c r="E56" s="11"/>
      <c r="F56" s="351"/>
      <c r="G56" s="352"/>
      <c r="H56" s="352"/>
      <c r="I56" s="353"/>
      <c r="K56" s="95" t="s">
        <v>85</v>
      </c>
    </row>
    <row r="57" spans="2:11" ht="12.75">
      <c r="B57" s="64" t="s">
        <v>242</v>
      </c>
      <c r="C57" s="72">
        <f>D30*(1000/1)*(1/1000)*(D40)</f>
        <v>40000</v>
      </c>
      <c r="D57" s="11"/>
      <c r="E57" s="11"/>
      <c r="F57" s="327"/>
      <c r="G57" s="328"/>
      <c r="H57" s="328"/>
      <c r="I57" s="329"/>
      <c r="K57" s="95" t="s">
        <v>86</v>
      </c>
    </row>
    <row r="58" spans="2:11" ht="12.75">
      <c r="B58" s="46" t="s">
        <v>240</v>
      </c>
      <c r="C58" s="72">
        <f>(D31)*(D38*(1/1000))</f>
        <v>740</v>
      </c>
      <c r="D58" s="122">
        <f>IF(C58&gt;C57,"Error","")</f>
      </c>
      <c r="G58" s="79"/>
      <c r="H58" s="79"/>
      <c r="I58" s="79"/>
      <c r="K58" s="95" t="s">
        <v>87</v>
      </c>
    </row>
    <row r="59" spans="2:11" ht="12.75">
      <c r="B59" s="46" t="s">
        <v>241</v>
      </c>
      <c r="C59" s="72">
        <f>IF(C58&gt;C57,"-",(C57-C58))</f>
        <v>39260</v>
      </c>
      <c r="D59" s="11"/>
      <c r="E59" s="11"/>
      <c r="F59" s="321">
        <f>IF(OR(C27=K152,C27=K153,C27=K154),"Refer to additional information on TPH leaching concerns in text of technical memorandum.","")</f>
      </c>
      <c r="G59" s="322"/>
      <c r="H59" s="322"/>
      <c r="I59" s="323"/>
      <c r="K59" s="95" t="s">
        <v>88</v>
      </c>
    </row>
    <row r="60" spans="2:11" ht="13.5" thickBot="1">
      <c r="B60" s="67" t="s">
        <v>239</v>
      </c>
      <c r="C60" s="66">
        <f>IF(C58&gt;C57,"-",(C59/(D40/1000)))</f>
        <v>392600</v>
      </c>
      <c r="D60" s="11"/>
      <c r="E60" s="11"/>
      <c r="F60" s="324"/>
      <c r="G60" s="325"/>
      <c r="H60" s="325"/>
      <c r="I60" s="326"/>
      <c r="K60" s="95" t="s">
        <v>89</v>
      </c>
    </row>
    <row r="61" spans="2:11" ht="12.75">
      <c r="B61" s="46" t="s">
        <v>251</v>
      </c>
      <c r="C61" s="91">
        <f>IF(C58&gt;C57,"-",(C59/C57))</f>
        <v>0.9815</v>
      </c>
      <c r="D61" s="11"/>
      <c r="E61" s="11"/>
      <c r="F61" s="327"/>
      <c r="G61" s="328"/>
      <c r="H61" s="328"/>
      <c r="I61" s="329"/>
      <c r="K61" s="95" t="s">
        <v>90</v>
      </c>
    </row>
    <row r="62" spans="2:11" ht="12.75">
      <c r="B62" s="46" t="s">
        <v>252</v>
      </c>
      <c r="C62" s="91">
        <f>IF(C58&gt;C57,"-",C58/C57)</f>
        <v>0.0185</v>
      </c>
      <c r="D62" s="11"/>
      <c r="E62" s="11"/>
      <c r="F62" s="11"/>
      <c r="G62" s="11"/>
      <c r="H62" s="11"/>
      <c r="K62" s="95" t="s">
        <v>91</v>
      </c>
    </row>
    <row r="63" spans="2:11" ht="12.75">
      <c r="B63" s="68" t="s">
        <v>224</v>
      </c>
      <c r="C63" s="69">
        <f>IF(C58&gt;C57,"-",((C59/D40)*(1/1000)*(1000/1)))</f>
        <v>392.6</v>
      </c>
      <c r="D63" s="11"/>
      <c r="E63" s="11"/>
      <c r="F63" s="11"/>
      <c r="G63" s="11"/>
      <c r="H63" s="11"/>
      <c r="K63" s="95" t="s">
        <v>194</v>
      </c>
    </row>
    <row r="64" spans="2:11" ht="13.5" thickBot="1">
      <c r="B64" s="73" t="s">
        <v>234</v>
      </c>
      <c r="C64" s="74">
        <f>IF(C58&gt;C57,"-",D31)</f>
        <v>370</v>
      </c>
      <c r="F64" s="11"/>
      <c r="G64" s="11"/>
      <c r="H64" s="11"/>
      <c r="K64" s="95" t="s">
        <v>195</v>
      </c>
    </row>
    <row r="65" spans="2:11" ht="15.75" customHeight="1" thickTop="1">
      <c r="B65"/>
      <c r="C65"/>
      <c r="D65" s="11"/>
      <c r="E65" s="11"/>
      <c r="K65" s="95" t="s">
        <v>92</v>
      </c>
    </row>
    <row r="66" spans="2:11" ht="12.75">
      <c r="B66" s="70" t="s">
        <v>188</v>
      </c>
      <c r="D66" s="11"/>
      <c r="E66" s="11"/>
      <c r="F66" s="11"/>
      <c r="G66" s="11"/>
      <c r="H66" s="11"/>
      <c r="K66" s="95" t="s">
        <v>262</v>
      </c>
    </row>
    <row r="67" spans="2:11" ht="14.25" customHeight="1">
      <c r="B67" s="312" t="s">
        <v>180</v>
      </c>
      <c r="C67" s="312"/>
      <c r="D67" s="312"/>
      <c r="E67" s="312"/>
      <c r="F67" s="312"/>
      <c r="G67" s="312"/>
      <c r="H67" s="312"/>
      <c r="I67" s="312"/>
      <c r="K67" s="95" t="s">
        <v>93</v>
      </c>
    </row>
    <row r="68" spans="2:11" ht="12.75">
      <c r="B68" s="320" t="s">
        <v>238</v>
      </c>
      <c r="C68" s="313"/>
      <c r="D68" s="313"/>
      <c r="E68" s="313"/>
      <c r="F68" s="313"/>
      <c r="G68" s="313"/>
      <c r="H68" s="313"/>
      <c r="I68" s="313"/>
      <c r="K68" s="95" t="s">
        <v>94</v>
      </c>
    </row>
    <row r="69" spans="2:11" ht="12.75" customHeight="1">
      <c r="B69" s="314" t="s">
        <v>335</v>
      </c>
      <c r="C69" s="313"/>
      <c r="D69" s="313"/>
      <c r="E69" s="313"/>
      <c r="F69" s="313"/>
      <c r="G69" s="313"/>
      <c r="H69" s="313"/>
      <c r="I69" s="313"/>
      <c r="K69" s="95" t="s">
        <v>95</v>
      </c>
    </row>
    <row r="70" spans="2:11" ht="15" customHeight="1">
      <c r="B70" s="312" t="s">
        <v>186</v>
      </c>
      <c r="C70" s="313"/>
      <c r="D70" s="313"/>
      <c r="E70" s="313"/>
      <c r="F70" s="313"/>
      <c r="G70" s="313"/>
      <c r="H70" s="313"/>
      <c r="I70" s="313"/>
      <c r="J70" s="87"/>
      <c r="K70" s="95" t="s">
        <v>96</v>
      </c>
    </row>
    <row r="71" spans="2:11" ht="12.75" customHeight="1">
      <c r="B71" s="315" t="s">
        <v>246</v>
      </c>
      <c r="C71" s="313"/>
      <c r="D71" s="313"/>
      <c r="E71" s="313"/>
      <c r="F71" s="313"/>
      <c r="G71" s="313"/>
      <c r="H71" s="313"/>
      <c r="I71" s="313"/>
      <c r="K71" s="95" t="s">
        <v>97</v>
      </c>
    </row>
    <row r="72" spans="2:11" ht="15" customHeight="1">
      <c r="B72" s="338" t="s">
        <v>247</v>
      </c>
      <c r="C72" s="338"/>
      <c r="D72" s="338"/>
      <c r="E72" s="338"/>
      <c r="F72" s="338"/>
      <c r="G72" s="338"/>
      <c r="H72" s="338"/>
      <c r="I72" s="338"/>
      <c r="K72" s="95" t="s">
        <v>98</v>
      </c>
    </row>
    <row r="73" spans="2:11" ht="14.25" customHeight="1">
      <c r="B73" s="337" t="s">
        <v>334</v>
      </c>
      <c r="C73" s="313"/>
      <c r="D73" s="313"/>
      <c r="E73" s="313"/>
      <c r="F73" s="313"/>
      <c r="G73" s="313"/>
      <c r="H73" s="313"/>
      <c r="I73" s="313"/>
      <c r="K73" s="95" t="s">
        <v>99</v>
      </c>
    </row>
    <row r="74" spans="2:11" ht="15" customHeight="1">
      <c r="B74" s="312" t="s">
        <v>250</v>
      </c>
      <c r="C74" s="313"/>
      <c r="D74" s="313"/>
      <c r="E74" s="313"/>
      <c r="F74" s="313"/>
      <c r="G74" s="313"/>
      <c r="H74" s="313"/>
      <c r="I74" s="313"/>
      <c r="K74" s="95" t="s">
        <v>100</v>
      </c>
    </row>
    <row r="75" spans="2:11" ht="39" customHeight="1">
      <c r="B75" s="312" t="s">
        <v>256</v>
      </c>
      <c r="C75" s="312"/>
      <c r="D75" s="312"/>
      <c r="E75" s="312"/>
      <c r="F75" s="312"/>
      <c r="G75" s="312"/>
      <c r="H75" s="312"/>
      <c r="I75" s="312"/>
      <c r="K75" s="95" t="s">
        <v>101</v>
      </c>
    </row>
    <row r="76" spans="2:11" ht="41.25" customHeight="1">
      <c r="B76" s="312" t="s">
        <v>255</v>
      </c>
      <c r="C76" s="312"/>
      <c r="D76" s="312"/>
      <c r="E76" s="312"/>
      <c r="F76" s="312"/>
      <c r="G76" s="312"/>
      <c r="H76" s="312"/>
      <c r="I76" s="312"/>
      <c r="J76" s="20"/>
      <c r="K76" s="95" t="s">
        <v>102</v>
      </c>
    </row>
    <row r="77" spans="2:11" ht="56.25" customHeight="1">
      <c r="B77" s="312" t="s">
        <v>312</v>
      </c>
      <c r="C77" s="313"/>
      <c r="D77" s="313"/>
      <c r="E77" s="313"/>
      <c r="F77" s="313"/>
      <c r="G77" s="313"/>
      <c r="H77" s="313"/>
      <c r="I77" s="313"/>
      <c r="J77" s="20"/>
      <c r="K77" s="95" t="s">
        <v>103</v>
      </c>
    </row>
    <row r="78" spans="2:11" ht="40.5" customHeight="1">
      <c r="B78" s="70" t="s">
        <v>7</v>
      </c>
      <c r="E78" s="52"/>
      <c r="H78" s="11"/>
      <c r="J78" s="20"/>
      <c r="K78" s="95" t="s">
        <v>104</v>
      </c>
    </row>
    <row r="79" ht="9.75" customHeight="1">
      <c r="K79" s="95" t="s">
        <v>105</v>
      </c>
    </row>
    <row r="80" spans="2:11" ht="28.5" customHeight="1">
      <c r="B80" s="312" t="s">
        <v>268</v>
      </c>
      <c r="C80" s="313"/>
      <c r="D80" s="313"/>
      <c r="E80" s="313"/>
      <c r="F80" s="313"/>
      <c r="G80" s="313"/>
      <c r="H80" s="313"/>
      <c r="I80" s="313"/>
      <c r="K80" s="95" t="s">
        <v>106</v>
      </c>
    </row>
    <row r="81" spans="2:11" ht="8.25" customHeight="1">
      <c r="B81" s="20"/>
      <c r="C81" s="20"/>
      <c r="D81" s="20"/>
      <c r="E81" s="20"/>
      <c r="F81" s="107"/>
      <c r="G81" s="107"/>
      <c r="H81" s="107"/>
      <c r="I81" s="107"/>
      <c r="K81" s="95" t="s">
        <v>107</v>
      </c>
    </row>
    <row r="82" spans="2:11" ht="28.5" customHeight="1">
      <c r="B82" s="314" t="s">
        <v>333</v>
      </c>
      <c r="C82" s="313"/>
      <c r="D82" s="313"/>
      <c r="E82" s="313"/>
      <c r="F82" s="313"/>
      <c r="G82" s="313"/>
      <c r="H82" s="313"/>
      <c r="I82" s="313"/>
      <c r="K82" s="95" t="s">
        <v>196</v>
      </c>
    </row>
    <row r="83" spans="2:11" ht="8.25" customHeight="1">
      <c r="B83" s="20"/>
      <c r="C83" s="20"/>
      <c r="D83" s="20"/>
      <c r="E83" s="20"/>
      <c r="F83" s="107"/>
      <c r="G83" s="107"/>
      <c r="H83" s="107"/>
      <c r="I83" s="107"/>
      <c r="K83" s="95" t="s">
        <v>108</v>
      </c>
    </row>
    <row r="84" spans="2:11" ht="28.5" customHeight="1">
      <c r="B84" s="312" t="s">
        <v>170</v>
      </c>
      <c r="C84" s="313"/>
      <c r="D84" s="313"/>
      <c r="E84" s="313"/>
      <c r="F84" s="313"/>
      <c r="G84" s="313"/>
      <c r="H84" s="313"/>
      <c r="I84" s="313"/>
      <c r="K84" s="95" t="s">
        <v>109</v>
      </c>
    </row>
    <row r="85" spans="2:11" ht="6.75" customHeight="1">
      <c r="B85" s="20"/>
      <c r="C85" s="20"/>
      <c r="D85" s="20"/>
      <c r="E85" s="20"/>
      <c r="F85" s="107"/>
      <c r="G85" s="107"/>
      <c r="H85" s="107"/>
      <c r="I85" s="107"/>
      <c r="K85" s="95" t="s">
        <v>110</v>
      </c>
    </row>
    <row r="86" spans="2:11" ht="28.5" customHeight="1">
      <c r="B86" s="312" t="s">
        <v>169</v>
      </c>
      <c r="C86" s="313"/>
      <c r="D86" s="313"/>
      <c r="E86" s="313"/>
      <c r="F86" s="313"/>
      <c r="G86" s="313"/>
      <c r="H86" s="313"/>
      <c r="I86" s="313"/>
      <c r="K86" s="95" t="s">
        <v>111</v>
      </c>
    </row>
    <row r="87" spans="5:11" ht="9" customHeight="1">
      <c r="E87" s="52"/>
      <c r="F87" s="107"/>
      <c r="G87" s="107"/>
      <c r="H87" s="107"/>
      <c r="I87" s="107"/>
      <c r="K87" s="95" t="s">
        <v>112</v>
      </c>
    </row>
    <row r="88" spans="2:11" ht="41.25" customHeight="1">
      <c r="B88" s="312" t="s">
        <v>269</v>
      </c>
      <c r="C88" s="313"/>
      <c r="D88" s="313"/>
      <c r="E88" s="313"/>
      <c r="F88" s="313"/>
      <c r="G88" s="313"/>
      <c r="H88" s="313"/>
      <c r="I88" s="313"/>
      <c r="K88" s="95" t="s">
        <v>113</v>
      </c>
    </row>
    <row r="89" spans="2:11" ht="5.25" customHeight="1">
      <c r="B89" s="107"/>
      <c r="C89" s="107"/>
      <c r="D89" s="107"/>
      <c r="E89" s="107"/>
      <c r="F89" s="107"/>
      <c r="G89" s="107"/>
      <c r="H89" s="107"/>
      <c r="I89" s="107"/>
      <c r="K89" s="95" t="s">
        <v>197</v>
      </c>
    </row>
    <row r="90" spans="4:11" ht="40.5" customHeight="1">
      <c r="D90" s="11"/>
      <c r="E90" s="11"/>
      <c r="F90" s="11"/>
      <c r="G90" s="11"/>
      <c r="H90" s="11"/>
      <c r="K90" s="95" t="s">
        <v>114</v>
      </c>
    </row>
    <row r="91" spans="4:11" ht="12.75">
      <c r="D91" s="11"/>
      <c r="E91" s="11"/>
      <c r="F91" s="11"/>
      <c r="G91" s="11"/>
      <c r="H91" s="11"/>
      <c r="K91" s="95" t="s">
        <v>198</v>
      </c>
    </row>
    <row r="92" spans="6:11" ht="12.75">
      <c r="F92" s="11"/>
      <c r="G92" s="11"/>
      <c r="K92" s="95" t="s">
        <v>199</v>
      </c>
    </row>
    <row r="93" ht="12.75">
      <c r="K93" s="95" t="s">
        <v>115</v>
      </c>
    </row>
    <row r="94" ht="12.75">
      <c r="K94" s="95" t="s">
        <v>279</v>
      </c>
    </row>
    <row r="95" ht="12.75">
      <c r="K95" s="95" t="s">
        <v>200</v>
      </c>
    </row>
    <row r="96" ht="12.75">
      <c r="K96" s="95" t="s">
        <v>116</v>
      </c>
    </row>
    <row r="97" ht="12.75">
      <c r="K97" s="95" t="s">
        <v>117</v>
      </c>
    </row>
    <row r="98" ht="12.75">
      <c r="K98" s="95" t="s">
        <v>179</v>
      </c>
    </row>
    <row r="99" ht="12.75">
      <c r="K99" s="95" t="s">
        <v>118</v>
      </c>
    </row>
    <row r="100" ht="12.75">
      <c r="K100" s="95" t="s">
        <v>119</v>
      </c>
    </row>
    <row r="101" ht="12.75">
      <c r="K101" s="95" t="s">
        <v>120</v>
      </c>
    </row>
    <row r="102" ht="12.75">
      <c r="K102" s="95" t="s">
        <v>201</v>
      </c>
    </row>
    <row r="103" ht="12.75">
      <c r="K103" s="95" t="s">
        <v>121</v>
      </c>
    </row>
    <row r="104" ht="12.75">
      <c r="K104" s="95" t="s">
        <v>122</v>
      </c>
    </row>
    <row r="105" ht="12.75">
      <c r="K105" s="95" t="s">
        <v>123</v>
      </c>
    </row>
    <row r="106" ht="12.75">
      <c r="K106" s="95" t="s">
        <v>124</v>
      </c>
    </row>
    <row r="107" ht="12.75">
      <c r="K107" s="95" t="s">
        <v>125</v>
      </c>
    </row>
    <row r="108" ht="12.75">
      <c r="K108" s="95" t="s">
        <v>126</v>
      </c>
    </row>
    <row r="109" ht="12.75">
      <c r="K109" s="95" t="s">
        <v>202</v>
      </c>
    </row>
    <row r="110" ht="12.75">
      <c r="K110" s="95" t="s">
        <v>127</v>
      </c>
    </row>
    <row r="111" ht="12.75">
      <c r="K111" s="95" t="s">
        <v>203</v>
      </c>
    </row>
    <row r="112" ht="12.75">
      <c r="K112" s="95" t="s">
        <v>128</v>
      </c>
    </row>
    <row r="113" ht="12.75">
      <c r="K113" s="95" t="s">
        <v>129</v>
      </c>
    </row>
    <row r="114" ht="12.75">
      <c r="K114" s="95" t="s">
        <v>130</v>
      </c>
    </row>
    <row r="115" ht="12.75">
      <c r="K115" s="95" t="s">
        <v>131</v>
      </c>
    </row>
    <row r="116" ht="12.75">
      <c r="K116" s="95" t="s">
        <v>132</v>
      </c>
    </row>
    <row r="117" ht="12.75">
      <c r="K117" s="95" t="s">
        <v>133</v>
      </c>
    </row>
    <row r="118" ht="12.75">
      <c r="K118" s="95" t="s">
        <v>134</v>
      </c>
    </row>
    <row r="119" ht="12.75">
      <c r="K119" s="95" t="s">
        <v>135</v>
      </c>
    </row>
    <row r="120" ht="12.75">
      <c r="K120" s="95" t="s">
        <v>314</v>
      </c>
    </row>
    <row r="121" ht="12.75">
      <c r="K121" s="95" t="s">
        <v>315</v>
      </c>
    </row>
    <row r="122" ht="12.75">
      <c r="K122" s="95" t="s">
        <v>136</v>
      </c>
    </row>
    <row r="123" ht="12.75">
      <c r="K123" s="95" t="s">
        <v>137</v>
      </c>
    </row>
    <row r="124" ht="12.75">
      <c r="K124" s="95" t="s">
        <v>138</v>
      </c>
    </row>
    <row r="125" ht="12.75">
      <c r="K125" s="95" t="s">
        <v>204</v>
      </c>
    </row>
    <row r="126" ht="12.75">
      <c r="K126" s="95" t="s">
        <v>205</v>
      </c>
    </row>
    <row r="127" ht="12.75">
      <c r="K127" s="95" t="s">
        <v>206</v>
      </c>
    </row>
    <row r="128" ht="12.75">
      <c r="K128" s="95" t="s">
        <v>207</v>
      </c>
    </row>
    <row r="129" ht="12.75">
      <c r="K129" s="95" t="s">
        <v>208</v>
      </c>
    </row>
    <row r="130" ht="12.75">
      <c r="K130" s="95" t="s">
        <v>139</v>
      </c>
    </row>
    <row r="131" ht="12.75">
      <c r="K131" s="95" t="s">
        <v>209</v>
      </c>
    </row>
    <row r="132" ht="12.75">
      <c r="K132" s="95" t="s">
        <v>140</v>
      </c>
    </row>
    <row r="133" ht="12.75">
      <c r="K133" s="95" t="s">
        <v>141</v>
      </c>
    </row>
    <row r="134" ht="12.75">
      <c r="K134" s="95" t="s">
        <v>142</v>
      </c>
    </row>
    <row r="135" ht="12.75">
      <c r="K135" s="95" t="s">
        <v>143</v>
      </c>
    </row>
    <row r="136" ht="12.75">
      <c r="K136" s="95" t="s">
        <v>210</v>
      </c>
    </row>
    <row r="137" ht="12.75">
      <c r="K137" s="95" t="s">
        <v>144</v>
      </c>
    </row>
    <row r="138" ht="12.75">
      <c r="K138" s="95" t="s">
        <v>145</v>
      </c>
    </row>
    <row r="139" ht="12.75">
      <c r="K139" s="95" t="s">
        <v>263</v>
      </c>
    </row>
    <row r="140" ht="12.75">
      <c r="K140" s="95" t="s">
        <v>211</v>
      </c>
    </row>
    <row r="141" ht="12.75">
      <c r="K141" s="95" t="s">
        <v>146</v>
      </c>
    </row>
    <row r="142" ht="12.75">
      <c r="K142" s="95" t="s">
        <v>212</v>
      </c>
    </row>
    <row r="143" ht="12.75">
      <c r="K143" s="95" t="s">
        <v>147</v>
      </c>
    </row>
    <row r="144" ht="12.75">
      <c r="K144" s="95" t="s">
        <v>148</v>
      </c>
    </row>
    <row r="145" ht="12.75">
      <c r="K145" s="95" t="s">
        <v>149</v>
      </c>
    </row>
    <row r="146" ht="12.75">
      <c r="K146" s="95" t="s">
        <v>150</v>
      </c>
    </row>
    <row r="147" ht="12.75">
      <c r="K147" s="95" t="s">
        <v>213</v>
      </c>
    </row>
    <row r="148" ht="12.75">
      <c r="K148" s="95" t="s">
        <v>214</v>
      </c>
    </row>
    <row r="149" ht="12.75">
      <c r="K149" s="95" t="s">
        <v>151</v>
      </c>
    </row>
    <row r="150" ht="12.75">
      <c r="K150" s="95" t="s">
        <v>152</v>
      </c>
    </row>
    <row r="151" ht="12.75">
      <c r="K151" s="95" t="s">
        <v>153</v>
      </c>
    </row>
    <row r="152" ht="12.75">
      <c r="K152" s="95" t="s">
        <v>154</v>
      </c>
    </row>
    <row r="153" ht="12.75">
      <c r="K153" s="95" t="s">
        <v>155</v>
      </c>
    </row>
    <row r="154" ht="12.75">
      <c r="K154" s="95" t="s">
        <v>156</v>
      </c>
    </row>
    <row r="155" ht="12.75">
      <c r="K155" s="95" t="s">
        <v>157</v>
      </c>
    </row>
    <row r="156" ht="12.75">
      <c r="K156" s="95" t="s">
        <v>158</v>
      </c>
    </row>
    <row r="157" ht="12.75">
      <c r="K157" s="95" t="s">
        <v>159</v>
      </c>
    </row>
    <row r="158" ht="12.75">
      <c r="K158" s="95" t="s">
        <v>160</v>
      </c>
    </row>
    <row r="159" ht="12.75">
      <c r="K159" s="95" t="s">
        <v>161</v>
      </c>
    </row>
    <row r="160" ht="12.75">
      <c r="K160" s="95" t="s">
        <v>162</v>
      </c>
    </row>
    <row r="161" ht="12.75">
      <c r="K161" s="129" t="s">
        <v>265</v>
      </c>
    </row>
    <row r="162" ht="12.75">
      <c r="K162" s="95" t="s">
        <v>215</v>
      </c>
    </row>
    <row r="163" ht="12.75">
      <c r="K163" s="95" t="s">
        <v>216</v>
      </c>
    </row>
    <row r="164" ht="12.75">
      <c r="K164" s="95" t="s">
        <v>217</v>
      </c>
    </row>
    <row r="165" ht="12.75">
      <c r="K165" s="95" t="s">
        <v>218</v>
      </c>
    </row>
    <row r="166" ht="12.75">
      <c r="K166" s="95" t="s">
        <v>266</v>
      </c>
    </row>
    <row r="167" ht="12.75">
      <c r="K167" s="95" t="s">
        <v>219</v>
      </c>
    </row>
    <row r="168" ht="12.75">
      <c r="K168" s="95" t="s">
        <v>220</v>
      </c>
    </row>
    <row r="169" ht="12.75">
      <c r="K169" s="95" t="s">
        <v>163</v>
      </c>
    </row>
    <row r="170" ht="12.75">
      <c r="K170" s="95" t="s">
        <v>168</v>
      </c>
    </row>
    <row r="171" ht="12.75">
      <c r="K171" s="95" t="s">
        <v>164</v>
      </c>
    </row>
    <row r="172" ht="13.5" thickBot="1">
      <c r="K172" s="130" t="s">
        <v>165</v>
      </c>
    </row>
    <row r="173" ht="13.5" thickTop="1">
      <c r="K173" s="14"/>
    </row>
    <row r="174" ht="12.75">
      <c r="K174" s="14"/>
    </row>
    <row r="175" ht="12.75">
      <c r="K175" s="14"/>
    </row>
    <row r="176" ht="12.75">
      <c r="K176" s="14"/>
    </row>
    <row r="177" ht="12.75">
      <c r="K177" s="14"/>
    </row>
    <row r="178" ht="12.75">
      <c r="K178" s="14"/>
    </row>
    <row r="179" ht="12.75">
      <c r="K179" s="14"/>
    </row>
    <row r="180" ht="12.75">
      <c r="K180" s="14"/>
    </row>
    <row r="181" ht="12.75">
      <c r="K181" s="14"/>
    </row>
    <row r="182" ht="12.75">
      <c r="K182" s="14"/>
    </row>
    <row r="183" ht="12.75">
      <c r="K183" s="14"/>
    </row>
    <row r="184" ht="12.75">
      <c r="K184" s="14"/>
    </row>
    <row r="185" ht="12.75">
      <c r="K185" s="14"/>
    </row>
    <row r="186" ht="12.75">
      <c r="K186" s="14"/>
    </row>
    <row r="187" ht="12.75">
      <c r="K187" s="14"/>
    </row>
    <row r="188" ht="12.75">
      <c r="K188" s="14"/>
    </row>
    <row r="189" ht="12.75">
      <c r="K189" s="14"/>
    </row>
    <row r="190" ht="12.75">
      <c r="K190" s="14"/>
    </row>
    <row r="191" ht="12.75">
      <c r="K191" s="14"/>
    </row>
    <row r="192" ht="12.75">
      <c r="K192" s="14"/>
    </row>
    <row r="193" ht="12.75">
      <c r="K193" s="14"/>
    </row>
    <row r="194" ht="12.75">
      <c r="K194" s="14"/>
    </row>
    <row r="195" ht="12.75">
      <c r="K195" s="14"/>
    </row>
    <row r="196" ht="12.75">
      <c r="K196" s="14"/>
    </row>
    <row r="197" ht="12.75">
      <c r="K197" s="14"/>
    </row>
    <row r="198" ht="12.75">
      <c r="K198" s="14"/>
    </row>
    <row r="199" ht="12.75">
      <c r="K199" s="14"/>
    </row>
    <row r="200" ht="12.75">
      <c r="K200" s="14"/>
    </row>
    <row r="201" ht="12.75">
      <c r="K201" s="14"/>
    </row>
    <row r="202" ht="12.75">
      <c r="K202" s="14"/>
    </row>
    <row r="203" ht="12.75">
      <c r="K203" s="14"/>
    </row>
    <row r="204" ht="12.75">
      <c r="K204" s="14"/>
    </row>
    <row r="205" ht="12.75">
      <c r="K205" s="14"/>
    </row>
    <row r="206" ht="12.75">
      <c r="K206" s="14"/>
    </row>
    <row r="207" ht="12.75">
      <c r="K207" s="14"/>
    </row>
    <row r="208" ht="12.75">
      <c r="K208" s="14"/>
    </row>
    <row r="209" ht="12.75">
      <c r="K209" s="14"/>
    </row>
    <row r="210" ht="12.75">
      <c r="K210" s="14"/>
    </row>
    <row r="211" ht="12.75">
      <c r="K211" s="14"/>
    </row>
    <row r="212" ht="12.75">
      <c r="K212" s="14"/>
    </row>
    <row r="213" ht="12.75">
      <c r="K213" s="14"/>
    </row>
    <row r="214" ht="12.75">
      <c r="K214" s="14"/>
    </row>
    <row r="215" ht="12.75">
      <c r="K215" s="14"/>
    </row>
    <row r="216" ht="12.75">
      <c r="K216" s="14"/>
    </row>
    <row r="217" ht="12.75">
      <c r="K217" s="14"/>
    </row>
    <row r="218" ht="12.75">
      <c r="K218" s="14"/>
    </row>
    <row r="219" ht="12.75">
      <c r="K219" s="14"/>
    </row>
    <row r="220" ht="12.75">
      <c r="K220" s="14"/>
    </row>
    <row r="221" ht="12.75">
      <c r="K221" s="14"/>
    </row>
    <row r="222" ht="12.75">
      <c r="K222" s="14"/>
    </row>
    <row r="223" ht="12.75">
      <c r="K223" s="14"/>
    </row>
    <row r="224" ht="12.75">
      <c r="K224" s="14"/>
    </row>
  </sheetData>
  <sheetProtection password="CDA6" sheet="1" objects="1" scenarios="1"/>
  <mergeCells count="33">
    <mergeCell ref="B21:I21"/>
    <mergeCell ref="B1:I1"/>
    <mergeCell ref="F51:I53"/>
    <mergeCell ref="F55:I57"/>
    <mergeCell ref="F36:H37"/>
    <mergeCell ref="I36:I37"/>
    <mergeCell ref="C27:G27"/>
    <mergeCell ref="F35:H35"/>
    <mergeCell ref="F31:H32"/>
    <mergeCell ref="F29:G30"/>
    <mergeCell ref="B67:I67"/>
    <mergeCell ref="B77:I77"/>
    <mergeCell ref="B73:I73"/>
    <mergeCell ref="B72:I72"/>
    <mergeCell ref="B75:I75"/>
    <mergeCell ref="H27:I27"/>
    <mergeCell ref="I31:I32"/>
    <mergeCell ref="J38:J39"/>
    <mergeCell ref="B76:I76"/>
    <mergeCell ref="B74:I74"/>
    <mergeCell ref="B68:I68"/>
    <mergeCell ref="F59:I61"/>
    <mergeCell ref="F38:H39"/>
    <mergeCell ref="I38:I39"/>
    <mergeCell ref="F45:I49"/>
    <mergeCell ref="B88:I88"/>
    <mergeCell ref="B70:I70"/>
    <mergeCell ref="B69:I69"/>
    <mergeCell ref="B71:I71"/>
    <mergeCell ref="B82:I82"/>
    <mergeCell ref="B80:I80"/>
    <mergeCell ref="B84:I84"/>
    <mergeCell ref="B86:I86"/>
  </mergeCells>
  <dataValidations count="2">
    <dataValidation type="list" allowBlank="1" showInputMessage="1" showErrorMessage="1" sqref="C28:D28">
      <formula1>$K$20:$K$138</formula1>
    </dataValidation>
    <dataValidation type="list" allowBlank="1" showInputMessage="1" showErrorMessage="1" sqref="C27">
      <formula1>$K$19:$K$172</formula1>
    </dataValidation>
  </dataValidations>
  <printOptions horizontalCentered="1"/>
  <pageMargins left="0.49" right="0.24" top="0.25" bottom="0.4" header="0.2" footer="0.16"/>
  <pageSetup fitToHeight="2" fitToWidth="1" horizontalDpi="600" verticalDpi="600" orientation="portrait" scale="89" r:id="rId1"/>
  <headerFooter alignWithMargins="0">
    <oddFooter>&amp;LHawai'i DOH
Fall 2011&amp;R&amp;A</oddFooter>
  </headerFooter>
  <rowBreaks count="2" manualBreakCount="2">
    <brk id="64" max="255" man="1"/>
    <brk id="6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S441"/>
  <sheetViews>
    <sheetView tabSelected="1" workbookViewId="0" topLeftCell="A1">
      <pane ySplit="2430" topLeftCell="BM1" activePane="bottomLeft" state="split"/>
      <selection pane="topLeft" activeCell="A1" sqref="A1:IV16384"/>
      <selection pane="bottomLeft" activeCell="A10" sqref="A10"/>
    </sheetView>
  </sheetViews>
  <sheetFormatPr defaultColWidth="9.140625" defaultRowHeight="12.75"/>
  <cols>
    <col min="1" max="1" width="40.8515625" style="216" customWidth="1"/>
    <col min="2" max="3" width="3.7109375" style="216" customWidth="1"/>
    <col min="4" max="4" width="8.57421875" style="217" customWidth="1"/>
    <col min="5" max="5" width="8.57421875" style="218" customWidth="1"/>
    <col min="6" max="6" width="10.140625" style="216" customWidth="1"/>
    <col min="7" max="8" width="8.7109375" style="216" customWidth="1"/>
    <col min="9" max="9" width="10.00390625" style="216" customWidth="1"/>
    <col min="10" max="12" width="11.00390625" style="216" customWidth="1"/>
    <col min="13" max="14" width="9.8515625" style="303" customWidth="1"/>
    <col min="15" max="16" width="9.28125" style="225" customWidth="1"/>
    <col min="17" max="17" width="11.8515625" style="225" customWidth="1"/>
    <col min="18" max="18" width="12.421875" style="167" customWidth="1"/>
    <col min="19" max="16384" width="9.140625" style="163" customWidth="1"/>
  </cols>
  <sheetData>
    <row r="1" spans="1:18" ht="15.75">
      <c r="A1" s="158" t="s">
        <v>189</v>
      </c>
      <c r="B1" s="158"/>
      <c r="C1" s="158"/>
      <c r="D1" s="159"/>
      <c r="E1" s="160"/>
      <c r="F1" s="161"/>
      <c r="G1" s="161"/>
      <c r="H1" s="161"/>
      <c r="I1" s="161"/>
      <c r="J1" s="161"/>
      <c r="K1" s="161"/>
      <c r="L1" s="161"/>
      <c r="M1" s="222"/>
      <c r="N1" s="222"/>
      <c r="O1" s="223"/>
      <c r="P1" s="223"/>
      <c r="Q1" s="223"/>
      <c r="R1" s="162"/>
    </row>
    <row r="2" spans="1:14" ht="12" thickBot="1">
      <c r="A2" s="221" t="s">
        <v>321</v>
      </c>
      <c r="B2" s="164"/>
      <c r="C2" s="164"/>
      <c r="D2" s="165"/>
      <c r="E2" s="166"/>
      <c r="F2" s="164"/>
      <c r="G2" s="164"/>
      <c r="H2" s="164"/>
      <c r="I2" s="164"/>
      <c r="J2" s="164"/>
      <c r="K2" s="164"/>
      <c r="L2" s="164"/>
      <c r="M2" s="224"/>
      <c r="N2" s="224"/>
    </row>
    <row r="3" spans="1:18" ht="12" thickTop="1">
      <c r="A3" s="1"/>
      <c r="B3" s="2"/>
      <c r="C3" s="2"/>
      <c r="D3" s="168"/>
      <c r="E3" s="169"/>
      <c r="F3" s="170"/>
      <c r="G3" s="3"/>
      <c r="H3" s="3"/>
      <c r="I3" s="170"/>
      <c r="J3" s="170"/>
      <c r="K3" s="3"/>
      <c r="L3" s="4"/>
      <c r="M3" s="226"/>
      <c r="N3" s="227"/>
      <c r="O3" s="227"/>
      <c r="P3" s="227"/>
      <c r="Q3" s="228"/>
      <c r="R3" s="163"/>
    </row>
    <row r="4" spans="1:18" ht="11.25">
      <c r="A4" s="171"/>
      <c r="B4" s="172"/>
      <c r="C4" s="172"/>
      <c r="D4" s="173"/>
      <c r="E4" s="174"/>
      <c r="F4" s="175" t="s">
        <v>8</v>
      </c>
      <c r="G4" s="175"/>
      <c r="H4" s="175"/>
      <c r="I4" s="175" t="s">
        <v>9</v>
      </c>
      <c r="J4" s="175"/>
      <c r="K4" s="175"/>
      <c r="L4" s="176"/>
      <c r="M4" s="229"/>
      <c r="N4" s="230" t="s">
        <v>10</v>
      </c>
      <c r="O4" s="230" t="s">
        <v>10</v>
      </c>
      <c r="P4" s="231"/>
      <c r="Q4" s="232"/>
      <c r="R4" s="163"/>
    </row>
    <row r="5" spans="1:18" ht="11.25">
      <c r="A5" s="171"/>
      <c r="B5" s="172"/>
      <c r="C5" s="172"/>
      <c r="D5" s="173"/>
      <c r="E5" s="174"/>
      <c r="F5" s="175" t="s">
        <v>11</v>
      </c>
      <c r="G5" s="175"/>
      <c r="H5" s="175"/>
      <c r="I5" s="175" t="s">
        <v>12</v>
      </c>
      <c r="J5" s="175"/>
      <c r="K5" s="175"/>
      <c r="L5" s="176" t="s">
        <v>271</v>
      </c>
      <c r="M5" s="229" t="s">
        <v>13</v>
      </c>
      <c r="N5" s="231" t="s">
        <v>14</v>
      </c>
      <c r="O5" s="231" t="s">
        <v>272</v>
      </c>
      <c r="P5" s="231" t="s">
        <v>15</v>
      </c>
      <c r="Q5" s="232" t="s">
        <v>15</v>
      </c>
      <c r="R5" s="163"/>
    </row>
    <row r="6" spans="1:18" ht="11.25">
      <c r="A6" s="171"/>
      <c r="B6" s="172"/>
      <c r="C6" s="172"/>
      <c r="D6" s="177"/>
      <c r="E6" s="178"/>
      <c r="F6" s="175" t="s">
        <v>16</v>
      </c>
      <c r="G6" s="175" t="s">
        <v>17</v>
      </c>
      <c r="H6" s="175" t="s">
        <v>17</v>
      </c>
      <c r="I6" s="175" t="s">
        <v>18</v>
      </c>
      <c r="J6" s="175" t="s">
        <v>19</v>
      </c>
      <c r="K6" s="175" t="s">
        <v>19</v>
      </c>
      <c r="L6" s="176" t="s">
        <v>20</v>
      </c>
      <c r="M6" s="229" t="s">
        <v>20</v>
      </c>
      <c r="N6" s="231" t="s">
        <v>21</v>
      </c>
      <c r="O6" s="231" t="s">
        <v>21</v>
      </c>
      <c r="P6" s="231" t="s">
        <v>22</v>
      </c>
      <c r="Q6" s="232" t="s">
        <v>273</v>
      </c>
      <c r="R6" s="163"/>
    </row>
    <row r="7" spans="1:18" ht="12" thickBot="1">
      <c r="A7" s="171"/>
      <c r="B7" s="172"/>
      <c r="C7" s="172"/>
      <c r="D7" s="177"/>
      <c r="E7" s="178" t="s">
        <v>23</v>
      </c>
      <c r="F7" s="175" t="s">
        <v>24</v>
      </c>
      <c r="G7" s="175" t="s">
        <v>25</v>
      </c>
      <c r="H7" s="175" t="s">
        <v>26</v>
      </c>
      <c r="I7" s="175" t="s">
        <v>27</v>
      </c>
      <c r="J7" s="175" t="s">
        <v>28</v>
      </c>
      <c r="K7" s="175" t="s">
        <v>28</v>
      </c>
      <c r="L7" s="176" t="s">
        <v>21</v>
      </c>
      <c r="M7" s="229" t="s">
        <v>21</v>
      </c>
      <c r="N7" s="231" t="s">
        <v>29</v>
      </c>
      <c r="O7" s="231" t="s">
        <v>274</v>
      </c>
      <c r="P7" s="231" t="s">
        <v>29</v>
      </c>
      <c r="Q7" s="232" t="s">
        <v>274</v>
      </c>
      <c r="R7" s="163"/>
    </row>
    <row r="8" spans="1:18" ht="11.25">
      <c r="A8" s="171"/>
      <c r="B8" s="373" t="s">
        <v>30</v>
      </c>
      <c r="C8" s="374"/>
      <c r="D8" s="177" t="s">
        <v>31</v>
      </c>
      <c r="E8" s="178" t="s">
        <v>31</v>
      </c>
      <c r="F8" s="175" t="s">
        <v>32</v>
      </c>
      <c r="G8" s="175" t="s">
        <v>33</v>
      </c>
      <c r="H8" s="175" t="s">
        <v>34</v>
      </c>
      <c r="I8" s="175" t="s">
        <v>35</v>
      </c>
      <c r="J8" s="175" t="s">
        <v>36</v>
      </c>
      <c r="K8" s="175" t="s">
        <v>37</v>
      </c>
      <c r="L8" s="176" t="s">
        <v>275</v>
      </c>
      <c r="M8" s="229" t="s">
        <v>38</v>
      </c>
      <c r="N8" s="231" t="s">
        <v>39</v>
      </c>
      <c r="O8" s="231" t="s">
        <v>276</v>
      </c>
      <c r="P8" s="231" t="s">
        <v>40</v>
      </c>
      <c r="Q8" s="232" t="s">
        <v>277</v>
      </c>
      <c r="R8" s="163"/>
    </row>
    <row r="9" spans="1:17" s="184" customFormat="1" ht="12" thickBot="1">
      <c r="A9" s="179" t="s">
        <v>261</v>
      </c>
      <c r="B9" s="375" t="s">
        <v>42</v>
      </c>
      <c r="C9" s="376"/>
      <c r="D9" s="180" t="s">
        <v>43</v>
      </c>
      <c r="E9" s="181" t="s">
        <v>43</v>
      </c>
      <c r="F9" s="182" t="s">
        <v>44</v>
      </c>
      <c r="G9" s="182" t="s">
        <v>45</v>
      </c>
      <c r="H9" s="182" t="s">
        <v>45</v>
      </c>
      <c r="I9" s="182" t="s">
        <v>46</v>
      </c>
      <c r="J9" s="182" t="s">
        <v>47</v>
      </c>
      <c r="K9" s="182" t="s">
        <v>48</v>
      </c>
      <c r="L9" s="183" t="s">
        <v>48</v>
      </c>
      <c r="M9" s="233" t="s">
        <v>48</v>
      </c>
      <c r="N9" s="234" t="s">
        <v>322</v>
      </c>
      <c r="O9" s="234" t="s">
        <v>323</v>
      </c>
      <c r="P9" s="234" t="s">
        <v>49</v>
      </c>
      <c r="Q9" s="235" t="s">
        <v>324</v>
      </c>
    </row>
    <row r="10" spans="1:17" s="94" customFormat="1" ht="11.25">
      <c r="A10" s="185" t="s">
        <v>50</v>
      </c>
      <c r="B10" s="186" t="s">
        <v>51</v>
      </c>
      <c r="C10" s="187" t="s">
        <v>35</v>
      </c>
      <c r="D10" s="188">
        <v>154</v>
      </c>
      <c r="E10" s="189">
        <v>154.21</v>
      </c>
      <c r="F10" s="236">
        <v>5027</v>
      </c>
      <c r="G10" s="190">
        <v>0.051</v>
      </c>
      <c r="H10" s="190">
        <v>8.3E-06</v>
      </c>
      <c r="I10" s="190">
        <v>3.9</v>
      </c>
      <c r="J10" s="190">
        <f>IF(K10&gt;0,(K10/41),K10)</f>
        <v>0.0001804878048780488</v>
      </c>
      <c r="K10" s="190">
        <v>0.0074</v>
      </c>
      <c r="L10" s="191">
        <v>1</v>
      </c>
      <c r="M10" s="237">
        <v>0.13</v>
      </c>
      <c r="N10" s="238"/>
      <c r="O10" s="238"/>
      <c r="P10" s="238">
        <v>0.06</v>
      </c>
      <c r="Q10" s="239">
        <f>P10*(70/20)</f>
        <v>0.21</v>
      </c>
    </row>
    <row r="11" spans="1:17" s="94" customFormat="1" ht="11.25">
      <c r="A11" s="185" t="s">
        <v>52</v>
      </c>
      <c r="B11" s="186" t="s">
        <v>51</v>
      </c>
      <c r="C11" s="187" t="s">
        <v>35</v>
      </c>
      <c r="D11" s="188">
        <v>152</v>
      </c>
      <c r="E11" s="192">
        <f>D11</f>
        <v>152</v>
      </c>
      <c r="F11" s="193">
        <v>2500</v>
      </c>
      <c r="G11" s="193">
        <v>0.0608</v>
      </c>
      <c r="H11" s="193">
        <v>7.88E-06</v>
      </c>
      <c r="I11" s="193">
        <v>3.93</v>
      </c>
      <c r="J11" s="193">
        <v>0.00145</v>
      </c>
      <c r="K11" s="193">
        <f>IF(J11=0,"",(J11*41))</f>
        <v>0.059449999999999996</v>
      </c>
      <c r="L11" s="194">
        <v>1</v>
      </c>
      <c r="M11" s="240">
        <v>0.13</v>
      </c>
      <c r="N11" s="241"/>
      <c r="O11" s="241"/>
      <c r="P11" s="241">
        <v>0.04</v>
      </c>
      <c r="Q11" s="242">
        <f>P11*(70/20)</f>
        <v>0.14</v>
      </c>
    </row>
    <row r="12" spans="1:17" s="94" customFormat="1" ht="11.25">
      <c r="A12" s="185" t="s">
        <v>53</v>
      </c>
      <c r="B12" s="186" t="s">
        <v>51</v>
      </c>
      <c r="C12" s="187" t="s">
        <v>54</v>
      </c>
      <c r="D12" s="188">
        <v>58</v>
      </c>
      <c r="E12" s="196">
        <v>58.08</v>
      </c>
      <c r="F12" s="243">
        <v>2.6</v>
      </c>
      <c r="G12" s="197">
        <v>0.11</v>
      </c>
      <c r="H12" s="197">
        <v>1.1E-05</v>
      </c>
      <c r="I12" s="197">
        <v>1000000</v>
      </c>
      <c r="J12" s="197">
        <f aca="true" t="shared" si="0" ref="J12:J17">IF(K12&gt;0,(K12/41),K12)</f>
        <v>3.9024390243902444E-05</v>
      </c>
      <c r="K12" s="197">
        <v>0.0016</v>
      </c>
      <c r="L12" s="194">
        <v>1</v>
      </c>
      <c r="M12" s="240"/>
      <c r="N12" s="241"/>
      <c r="O12" s="241"/>
      <c r="P12" s="241">
        <v>0.9</v>
      </c>
      <c r="Q12" s="242">
        <v>31</v>
      </c>
    </row>
    <row r="13" spans="1:17" s="94" customFormat="1" ht="11.25">
      <c r="A13" s="185" t="s">
        <v>55</v>
      </c>
      <c r="B13" s="186" t="s">
        <v>56</v>
      </c>
      <c r="C13" s="187" t="s">
        <v>35</v>
      </c>
      <c r="D13" s="188">
        <v>365</v>
      </c>
      <c r="E13" s="196">
        <v>364.92</v>
      </c>
      <c r="F13" s="243">
        <v>82020</v>
      </c>
      <c r="G13" s="197"/>
      <c r="H13" s="197"/>
      <c r="I13" s="197">
        <v>0.017</v>
      </c>
      <c r="J13" s="197">
        <f t="shared" si="0"/>
        <v>4.390243902439024E-05</v>
      </c>
      <c r="K13" s="197">
        <v>0.0018</v>
      </c>
      <c r="L13" s="194">
        <v>1</v>
      </c>
      <c r="M13" s="240">
        <v>0.1</v>
      </c>
      <c r="N13" s="241">
        <v>17</v>
      </c>
      <c r="O13" s="241">
        <v>0.0049</v>
      </c>
      <c r="P13" s="241">
        <v>3E-05</v>
      </c>
      <c r="Q13" s="242"/>
    </row>
    <row r="14" spans="1:19" s="93" customFormat="1" ht="11.25" customHeight="1">
      <c r="A14" s="185" t="s">
        <v>190</v>
      </c>
      <c r="B14" s="186" t="s">
        <v>56</v>
      </c>
      <c r="C14" s="187" t="s">
        <v>35</v>
      </c>
      <c r="D14" s="188">
        <v>227</v>
      </c>
      <c r="E14" s="196">
        <v>227.33</v>
      </c>
      <c r="F14" s="243">
        <v>428</v>
      </c>
      <c r="G14" s="197"/>
      <c r="H14" s="197"/>
      <c r="I14" s="197">
        <v>209</v>
      </c>
      <c r="J14" s="197">
        <f t="shared" si="0"/>
        <v>2.3902439024390246E-09</v>
      </c>
      <c r="K14" s="197">
        <v>9.8E-08</v>
      </c>
      <c r="L14" s="194">
        <v>1</v>
      </c>
      <c r="M14" s="240">
        <v>0.1</v>
      </c>
      <c r="N14" s="241"/>
      <c r="O14" s="241"/>
      <c r="P14" s="241">
        <v>0.009</v>
      </c>
      <c r="Q14" s="242"/>
      <c r="R14" s="92"/>
      <c r="S14" s="92"/>
    </row>
    <row r="15" spans="1:19" s="93" customFormat="1" ht="11.25" customHeight="1">
      <c r="A15" s="185" t="s">
        <v>278</v>
      </c>
      <c r="B15" s="186" t="s">
        <v>56</v>
      </c>
      <c r="C15" s="187" t="s">
        <v>35</v>
      </c>
      <c r="D15" s="188">
        <v>197</v>
      </c>
      <c r="E15" s="196">
        <v>197.15</v>
      </c>
      <c r="F15" s="243">
        <v>283</v>
      </c>
      <c r="G15" s="197"/>
      <c r="H15" s="197"/>
      <c r="I15" s="197">
        <v>1223</v>
      </c>
      <c r="J15" s="197">
        <f t="shared" si="0"/>
        <v>1.6097560975609756E-10</v>
      </c>
      <c r="K15" s="197">
        <v>6.6E-09</v>
      </c>
      <c r="L15" s="194">
        <v>1</v>
      </c>
      <c r="M15" s="240">
        <v>0.006</v>
      </c>
      <c r="N15" s="241"/>
      <c r="O15" s="241"/>
      <c r="P15" s="241">
        <v>0.002</v>
      </c>
      <c r="Q15" s="242"/>
      <c r="R15" s="92"/>
      <c r="S15" s="92"/>
    </row>
    <row r="16" spans="1:19" s="93" customFormat="1" ht="11.25" customHeight="1">
      <c r="A16" s="185" t="s">
        <v>191</v>
      </c>
      <c r="B16" s="186" t="s">
        <v>56</v>
      </c>
      <c r="C16" s="187" t="s">
        <v>35</v>
      </c>
      <c r="D16" s="188">
        <v>197</v>
      </c>
      <c r="E16" s="196">
        <v>197.15</v>
      </c>
      <c r="F16" s="243">
        <v>283</v>
      </c>
      <c r="G16" s="197"/>
      <c r="H16" s="197"/>
      <c r="I16" s="197">
        <v>1223</v>
      </c>
      <c r="J16" s="197">
        <f t="shared" si="0"/>
        <v>1.6097560975609756E-10</v>
      </c>
      <c r="K16" s="197">
        <v>6.6E-09</v>
      </c>
      <c r="L16" s="194">
        <v>1</v>
      </c>
      <c r="M16" s="240">
        <v>0.009</v>
      </c>
      <c r="N16" s="241"/>
      <c r="O16" s="241"/>
      <c r="P16" s="241">
        <v>0.002</v>
      </c>
      <c r="Q16" s="242"/>
      <c r="R16" s="92"/>
      <c r="S16" s="92"/>
    </row>
    <row r="17" spans="1:19" s="93" customFormat="1" ht="11.25" customHeight="1">
      <c r="A17" s="185" t="s">
        <v>57</v>
      </c>
      <c r="B17" s="186" t="s">
        <v>51</v>
      </c>
      <c r="C17" s="187" t="s">
        <v>35</v>
      </c>
      <c r="D17" s="188">
        <v>178</v>
      </c>
      <c r="E17" s="196">
        <v>178.24</v>
      </c>
      <c r="F17" s="243">
        <v>16360</v>
      </c>
      <c r="G17" s="197">
        <v>0.039</v>
      </c>
      <c r="H17" s="197">
        <v>7.9E-06</v>
      </c>
      <c r="I17" s="197">
        <v>0.0434</v>
      </c>
      <c r="J17" s="197">
        <f t="shared" si="0"/>
        <v>5.609756097560976E-05</v>
      </c>
      <c r="K17" s="197">
        <v>0.0023</v>
      </c>
      <c r="L17" s="194">
        <v>1</v>
      </c>
      <c r="M17" s="240">
        <v>0.13</v>
      </c>
      <c r="N17" s="241"/>
      <c r="O17" s="241"/>
      <c r="P17" s="241">
        <v>0.3</v>
      </c>
      <c r="Q17" s="242">
        <f>P17*(70/20)</f>
        <v>1.05</v>
      </c>
      <c r="R17" s="92"/>
      <c r="S17" s="92"/>
    </row>
    <row r="18" spans="1:19" s="93" customFormat="1" ht="11.25" customHeight="1">
      <c r="A18" s="185" t="s">
        <v>58</v>
      </c>
      <c r="B18" s="186" t="s">
        <v>56</v>
      </c>
      <c r="C18" s="187" t="s">
        <v>35</v>
      </c>
      <c r="D18" s="188">
        <v>122</v>
      </c>
      <c r="E18" s="196">
        <v>124.78</v>
      </c>
      <c r="F18" s="197"/>
      <c r="G18" s="197"/>
      <c r="H18" s="197"/>
      <c r="I18" s="197"/>
      <c r="J18" s="197"/>
      <c r="K18" s="197"/>
      <c r="L18" s="195">
        <v>0.15</v>
      </c>
      <c r="M18" s="244">
        <v>0.15</v>
      </c>
      <c r="N18" s="241"/>
      <c r="O18" s="241"/>
      <c r="P18" s="241">
        <v>0.0004</v>
      </c>
      <c r="Q18" s="242"/>
      <c r="R18" s="92"/>
      <c r="S18" s="92"/>
    </row>
    <row r="19" spans="1:19" s="93" customFormat="1" ht="11.25" customHeight="1">
      <c r="A19" s="185" t="s">
        <v>59</v>
      </c>
      <c r="B19" s="186" t="s">
        <v>56</v>
      </c>
      <c r="C19" s="187" t="s">
        <v>35</v>
      </c>
      <c r="D19" s="188">
        <v>75</v>
      </c>
      <c r="E19" s="196">
        <v>77.95</v>
      </c>
      <c r="F19" s="197"/>
      <c r="G19" s="197"/>
      <c r="H19" s="197"/>
      <c r="I19" s="197"/>
      <c r="J19" s="197"/>
      <c r="K19" s="197"/>
      <c r="L19" s="194">
        <v>1</v>
      </c>
      <c r="M19" s="240">
        <v>0.0004</v>
      </c>
      <c r="N19" s="241">
        <v>1.5</v>
      </c>
      <c r="O19" s="241">
        <v>0.0043</v>
      </c>
      <c r="P19" s="241">
        <v>0.0003</v>
      </c>
      <c r="Q19" s="245">
        <v>1.5E-05</v>
      </c>
      <c r="R19" s="92"/>
      <c r="S19" s="92"/>
    </row>
    <row r="20" spans="1:19" s="93" customFormat="1" ht="11.25" customHeight="1">
      <c r="A20" s="185" t="s">
        <v>192</v>
      </c>
      <c r="B20" s="186" t="s">
        <v>56</v>
      </c>
      <c r="C20" s="187" t="s">
        <v>35</v>
      </c>
      <c r="D20" s="188">
        <v>216</v>
      </c>
      <c r="E20" s="196">
        <v>215.69</v>
      </c>
      <c r="F20" s="243">
        <v>225</v>
      </c>
      <c r="G20" s="197"/>
      <c r="H20" s="197"/>
      <c r="I20" s="197">
        <v>34.7</v>
      </c>
      <c r="J20" s="197">
        <f>IF(K20&gt;0,(K20/41),K20)</f>
        <v>2.341463414634146E-09</v>
      </c>
      <c r="K20" s="197">
        <v>9.6E-08</v>
      </c>
      <c r="L20" s="194">
        <v>1</v>
      </c>
      <c r="M20" s="240">
        <v>0.1</v>
      </c>
      <c r="N20" s="241">
        <v>0.23</v>
      </c>
      <c r="O20" s="241"/>
      <c r="P20" s="241">
        <v>0.035</v>
      </c>
      <c r="Q20" s="242"/>
      <c r="R20" s="92"/>
      <c r="S20" s="92"/>
    </row>
    <row r="21" spans="1:19" s="93" customFormat="1" ht="11.25" customHeight="1">
      <c r="A21" s="185" t="s">
        <v>60</v>
      </c>
      <c r="B21" s="186" t="s">
        <v>56</v>
      </c>
      <c r="C21" s="187" t="s">
        <v>35</v>
      </c>
      <c r="D21" s="198">
        <v>137</v>
      </c>
      <c r="E21" s="196">
        <v>137.33</v>
      </c>
      <c r="F21" s="197"/>
      <c r="G21" s="197"/>
      <c r="H21" s="197"/>
      <c r="I21" s="197"/>
      <c r="J21" s="197"/>
      <c r="K21" s="197"/>
      <c r="L21" s="195">
        <v>0.07</v>
      </c>
      <c r="M21" s="240"/>
      <c r="N21" s="241"/>
      <c r="O21" s="241"/>
      <c r="P21" s="241">
        <v>0.2</v>
      </c>
      <c r="Q21" s="242">
        <v>0.0005</v>
      </c>
      <c r="R21" s="92"/>
      <c r="S21" s="92"/>
    </row>
    <row r="22" spans="1:19" s="93" customFormat="1" ht="11.25" customHeight="1">
      <c r="A22" s="185" t="s">
        <v>61</v>
      </c>
      <c r="B22" s="186" t="s">
        <v>51</v>
      </c>
      <c r="C22" s="187" t="s">
        <v>54</v>
      </c>
      <c r="D22" s="188">
        <v>78</v>
      </c>
      <c r="E22" s="196">
        <v>78.11</v>
      </c>
      <c r="F22" s="243">
        <v>146</v>
      </c>
      <c r="G22" s="197">
        <v>0.09</v>
      </c>
      <c r="H22" s="197">
        <v>1E-05</v>
      </c>
      <c r="I22" s="197">
        <v>1790</v>
      </c>
      <c r="J22" s="197">
        <f>IF(K22&gt;0,(K22/41),K22)</f>
        <v>0.005609756097560976</v>
      </c>
      <c r="K22" s="197">
        <v>0.23</v>
      </c>
      <c r="L22" s="194">
        <v>1</v>
      </c>
      <c r="M22" s="240"/>
      <c r="N22" s="241">
        <v>0.055</v>
      </c>
      <c r="O22" s="241">
        <v>7.8E-06</v>
      </c>
      <c r="P22" s="241">
        <v>0.004</v>
      </c>
      <c r="Q22" s="242">
        <v>0.03</v>
      </c>
      <c r="R22" s="92"/>
      <c r="S22" s="92"/>
    </row>
    <row r="23" spans="1:19" s="93" customFormat="1" ht="11.25" customHeight="1">
      <c r="A23" s="185" t="s">
        <v>62</v>
      </c>
      <c r="B23" s="186" t="s">
        <v>56</v>
      </c>
      <c r="C23" s="187" t="s">
        <v>35</v>
      </c>
      <c r="D23" s="188">
        <v>228</v>
      </c>
      <c r="E23" s="196">
        <v>228.3</v>
      </c>
      <c r="F23" s="243">
        <v>176900</v>
      </c>
      <c r="G23" s="197"/>
      <c r="H23" s="197"/>
      <c r="I23" s="197">
        <v>0.0094</v>
      </c>
      <c r="J23" s="197">
        <f>IF(K23&gt;0,(K23/41),K23)</f>
        <v>1.1951219512195121E-05</v>
      </c>
      <c r="K23" s="197">
        <v>0.00049</v>
      </c>
      <c r="L23" s="194">
        <v>1</v>
      </c>
      <c r="M23" s="240">
        <v>0.13</v>
      </c>
      <c r="N23" s="241">
        <v>0.73</v>
      </c>
      <c r="O23" s="241">
        <v>0.00011</v>
      </c>
      <c r="P23" s="241"/>
      <c r="Q23" s="242"/>
      <c r="R23" s="92"/>
      <c r="S23" s="92"/>
    </row>
    <row r="24" spans="1:19" s="93" customFormat="1" ht="11.25" customHeight="1">
      <c r="A24" s="185" t="s">
        <v>63</v>
      </c>
      <c r="B24" s="186" t="s">
        <v>56</v>
      </c>
      <c r="C24" s="187" t="s">
        <v>35</v>
      </c>
      <c r="D24" s="188">
        <v>252</v>
      </c>
      <c r="E24" s="196">
        <v>252.32</v>
      </c>
      <c r="F24" s="243">
        <v>587400</v>
      </c>
      <c r="G24" s="197"/>
      <c r="H24" s="197"/>
      <c r="I24" s="197">
        <v>0.00162</v>
      </c>
      <c r="J24" s="197">
        <f>IF(K24&gt;0,(K24/41),K24)</f>
        <v>4.634146341463415E-07</v>
      </c>
      <c r="K24" s="197">
        <v>1.9E-05</v>
      </c>
      <c r="L24" s="194">
        <v>1</v>
      </c>
      <c r="M24" s="240">
        <v>0.13</v>
      </c>
      <c r="N24" s="241">
        <v>7.3</v>
      </c>
      <c r="O24" s="241">
        <v>0.0011</v>
      </c>
      <c r="P24" s="241"/>
      <c r="Q24" s="242"/>
      <c r="R24" s="92"/>
      <c r="S24" s="92"/>
    </row>
    <row r="25" spans="1:19" s="93" customFormat="1" ht="11.25" customHeight="1">
      <c r="A25" s="185" t="s">
        <v>64</v>
      </c>
      <c r="B25" s="186" t="s">
        <v>56</v>
      </c>
      <c r="C25" s="187" t="s">
        <v>35</v>
      </c>
      <c r="D25" s="188">
        <v>252</v>
      </c>
      <c r="E25" s="196">
        <v>252.32</v>
      </c>
      <c r="F25" s="243">
        <v>599400</v>
      </c>
      <c r="G25" s="197"/>
      <c r="H25" s="197"/>
      <c r="I25" s="197">
        <v>0.0015</v>
      </c>
      <c r="J25" s="197">
        <f>IF(K25&gt;0,(K25/41),K25)</f>
        <v>6.585365853658536E-07</v>
      </c>
      <c r="K25" s="197">
        <v>2.7E-05</v>
      </c>
      <c r="L25" s="194">
        <v>1</v>
      </c>
      <c r="M25" s="240">
        <v>0.13</v>
      </c>
      <c r="N25" s="241">
        <v>0.73</v>
      </c>
      <c r="O25" s="241">
        <v>0.00011</v>
      </c>
      <c r="P25" s="241"/>
      <c r="Q25" s="242"/>
      <c r="R25" s="92"/>
      <c r="S25" s="92"/>
    </row>
    <row r="26" spans="1:19" s="93" customFormat="1" ht="11.25" customHeight="1">
      <c r="A26" s="185" t="s">
        <v>65</v>
      </c>
      <c r="B26" s="186" t="s">
        <v>56</v>
      </c>
      <c r="C26" s="187" t="s">
        <v>35</v>
      </c>
      <c r="D26" s="198">
        <v>276</v>
      </c>
      <c r="E26" s="192">
        <f>D26</f>
        <v>276</v>
      </c>
      <c r="F26" s="197">
        <v>1600000</v>
      </c>
      <c r="G26" s="193"/>
      <c r="H26" s="193"/>
      <c r="I26" s="193">
        <v>0.00026</v>
      </c>
      <c r="J26" s="197">
        <v>1.44E-07</v>
      </c>
      <c r="K26" s="193">
        <f>IF(J26=0,"",(J26*41))</f>
        <v>5.904E-06</v>
      </c>
      <c r="L26" s="194">
        <v>1</v>
      </c>
      <c r="M26" s="240">
        <v>0.13</v>
      </c>
      <c r="N26" s="241"/>
      <c r="O26" s="241"/>
      <c r="P26" s="241">
        <v>0.04</v>
      </c>
      <c r="Q26" s="242"/>
      <c r="R26" s="92"/>
      <c r="S26" s="92"/>
    </row>
    <row r="27" spans="1:19" s="93" customFormat="1" ht="11.25" customHeight="1">
      <c r="A27" s="185" t="s">
        <v>66</v>
      </c>
      <c r="B27" s="186" t="s">
        <v>56</v>
      </c>
      <c r="C27" s="187" t="s">
        <v>35</v>
      </c>
      <c r="D27" s="188">
        <v>252</v>
      </c>
      <c r="E27" s="196">
        <v>252.32</v>
      </c>
      <c r="F27" s="243">
        <v>587400</v>
      </c>
      <c r="G27" s="197"/>
      <c r="H27" s="197"/>
      <c r="I27" s="197">
        <v>0.0008</v>
      </c>
      <c r="J27" s="197">
        <f>IF(K27&gt;0,(K27/41),K27)</f>
        <v>5.853658536585366E-07</v>
      </c>
      <c r="K27" s="197">
        <v>2.4E-05</v>
      </c>
      <c r="L27" s="194">
        <v>1</v>
      </c>
      <c r="M27" s="240">
        <v>0.13</v>
      </c>
      <c r="N27" s="241">
        <v>0.073</v>
      </c>
      <c r="O27" s="241">
        <v>0.00011</v>
      </c>
      <c r="P27" s="241"/>
      <c r="Q27" s="242"/>
      <c r="R27" s="92"/>
      <c r="S27" s="92"/>
    </row>
    <row r="28" spans="1:19" s="93" customFormat="1" ht="11.25" customHeight="1">
      <c r="A28" s="185" t="s">
        <v>67</v>
      </c>
      <c r="B28" s="186" t="s">
        <v>56</v>
      </c>
      <c r="C28" s="187" t="s">
        <v>35</v>
      </c>
      <c r="D28" s="188">
        <v>9</v>
      </c>
      <c r="E28" s="196">
        <v>9.01</v>
      </c>
      <c r="F28" s="197"/>
      <c r="G28" s="197"/>
      <c r="H28" s="197"/>
      <c r="I28" s="197"/>
      <c r="J28" s="197"/>
      <c r="K28" s="197"/>
      <c r="L28" s="195">
        <v>0.007</v>
      </c>
      <c r="M28" s="240"/>
      <c r="N28" s="241"/>
      <c r="O28" s="241">
        <v>0.0024</v>
      </c>
      <c r="P28" s="241">
        <v>0.002</v>
      </c>
      <c r="Q28" s="242">
        <v>2E-05</v>
      </c>
      <c r="R28" s="92"/>
      <c r="S28" s="92"/>
    </row>
    <row r="29" spans="1:19" s="93" customFormat="1" ht="11.25" customHeight="1">
      <c r="A29" s="185" t="s">
        <v>68</v>
      </c>
      <c r="B29" s="186" t="s">
        <v>51</v>
      </c>
      <c r="C29" s="187" t="s">
        <v>35</v>
      </c>
      <c r="D29" s="188">
        <v>154</v>
      </c>
      <c r="E29" s="196">
        <v>154.21</v>
      </c>
      <c r="F29" s="243">
        <v>5129</v>
      </c>
      <c r="G29" s="197">
        <v>0.047</v>
      </c>
      <c r="H29" s="197">
        <v>7.6E-06</v>
      </c>
      <c r="I29" s="197">
        <v>6.94</v>
      </c>
      <c r="J29" s="197">
        <f>IF(K29&gt;0,(K29/41),K29)</f>
        <v>0.00031707317073170733</v>
      </c>
      <c r="K29" s="197">
        <v>0.013</v>
      </c>
      <c r="L29" s="194">
        <v>1</v>
      </c>
      <c r="M29" s="240"/>
      <c r="N29" s="246">
        <v>0.008</v>
      </c>
      <c r="O29" s="247">
        <f>N29*(20*(1/70)*(1/1000))</f>
        <v>2.2857142857142856E-06</v>
      </c>
      <c r="P29" s="241">
        <v>0.05</v>
      </c>
      <c r="Q29" s="245">
        <v>0.0004</v>
      </c>
      <c r="R29" s="92"/>
      <c r="S29" s="92"/>
    </row>
    <row r="30" spans="1:19" s="93" customFormat="1" ht="11.25" customHeight="1">
      <c r="A30" s="185" t="s">
        <v>69</v>
      </c>
      <c r="B30" s="186" t="s">
        <v>51</v>
      </c>
      <c r="C30" s="187" t="s">
        <v>54</v>
      </c>
      <c r="D30" s="188">
        <v>143</v>
      </c>
      <c r="E30" s="196">
        <v>143.01</v>
      </c>
      <c r="F30" s="243">
        <v>32</v>
      </c>
      <c r="G30" s="197">
        <v>0.057</v>
      </c>
      <c r="H30" s="197">
        <v>8.7E-06</v>
      </c>
      <c r="I30" s="197">
        <v>17200</v>
      </c>
      <c r="J30" s="197">
        <f>IF(K30&gt;0,(K30/41),K30)</f>
        <v>1.7073170731707317E-05</v>
      </c>
      <c r="K30" s="197">
        <v>0.0007</v>
      </c>
      <c r="L30" s="194">
        <v>1</v>
      </c>
      <c r="M30" s="240"/>
      <c r="N30" s="241">
        <v>1.1</v>
      </c>
      <c r="O30" s="241">
        <v>0.00033</v>
      </c>
      <c r="P30" s="241"/>
      <c r="Q30" s="242"/>
      <c r="R30" s="92"/>
      <c r="S30" s="92"/>
    </row>
    <row r="31" spans="1:19" s="93" customFormat="1" ht="11.25" customHeight="1">
      <c r="A31" s="185" t="s">
        <v>70</v>
      </c>
      <c r="B31" s="186" t="s">
        <v>51</v>
      </c>
      <c r="C31" s="187" t="s">
        <v>54</v>
      </c>
      <c r="D31" s="188">
        <v>171</v>
      </c>
      <c r="E31" s="192">
        <f>D31</f>
        <v>171</v>
      </c>
      <c r="F31" s="193">
        <v>61</v>
      </c>
      <c r="G31" s="193">
        <v>0.0631</v>
      </c>
      <c r="H31" s="193">
        <v>6.4E-06</v>
      </c>
      <c r="I31" s="193">
        <v>1700</v>
      </c>
      <c r="J31" s="193">
        <v>0.000113</v>
      </c>
      <c r="K31" s="193">
        <f>IF(J31=0,"",(J31*41))</f>
        <v>0.004633</v>
      </c>
      <c r="L31" s="194">
        <v>1</v>
      </c>
      <c r="M31" s="248"/>
      <c r="N31" s="249">
        <v>0.07</v>
      </c>
      <c r="O31" s="249">
        <f>0.035*(20*(1/70)*(1/1000))</f>
        <v>9.999999999999999E-06</v>
      </c>
      <c r="P31" s="250">
        <v>0.04</v>
      </c>
      <c r="Q31" s="251">
        <f>0.04*(70/20)</f>
        <v>0.14</v>
      </c>
      <c r="R31" s="92"/>
      <c r="S31" s="92"/>
    </row>
    <row r="32" spans="1:19" s="93" customFormat="1" ht="11.25" customHeight="1">
      <c r="A32" s="185" t="s">
        <v>71</v>
      </c>
      <c r="B32" s="186" t="s">
        <v>56</v>
      </c>
      <c r="C32" s="187" t="s">
        <v>35</v>
      </c>
      <c r="D32" s="188">
        <v>391</v>
      </c>
      <c r="E32" s="196">
        <v>390.57</v>
      </c>
      <c r="F32" s="243">
        <v>119600</v>
      </c>
      <c r="G32" s="197"/>
      <c r="H32" s="197"/>
      <c r="I32" s="197">
        <v>0.27</v>
      </c>
      <c r="J32" s="197">
        <f>IF(K32&gt;0,(K32/41),K32)</f>
        <v>2.6829268292682924E-07</v>
      </c>
      <c r="K32" s="197">
        <v>1.1E-05</v>
      </c>
      <c r="L32" s="194">
        <v>1</v>
      </c>
      <c r="M32" s="240">
        <v>0.1</v>
      </c>
      <c r="N32" s="241">
        <v>0.014</v>
      </c>
      <c r="O32" s="247">
        <v>2.4E-06</v>
      </c>
      <c r="P32" s="241">
        <v>0.02</v>
      </c>
      <c r="Q32" s="242"/>
      <c r="R32" s="92"/>
      <c r="S32" s="92"/>
    </row>
    <row r="33" spans="1:19" s="93" customFormat="1" ht="11.25" customHeight="1">
      <c r="A33" s="185" t="s">
        <v>72</v>
      </c>
      <c r="B33" s="186" t="s">
        <v>56</v>
      </c>
      <c r="C33" s="187" t="s">
        <v>35</v>
      </c>
      <c r="D33" s="188">
        <v>14</v>
      </c>
      <c r="E33" s="196">
        <v>13.84</v>
      </c>
      <c r="F33" s="197"/>
      <c r="G33" s="197"/>
      <c r="H33" s="197"/>
      <c r="I33" s="197"/>
      <c r="J33" s="197"/>
      <c r="K33" s="197"/>
      <c r="L33" s="194">
        <v>1</v>
      </c>
      <c r="M33" s="240"/>
      <c r="N33" s="241"/>
      <c r="O33" s="249"/>
      <c r="P33" s="241">
        <v>0.2</v>
      </c>
      <c r="Q33" s="242">
        <v>0.02</v>
      </c>
      <c r="R33" s="92"/>
      <c r="S33" s="92"/>
    </row>
    <row r="34" spans="1:19" s="93" customFormat="1" ht="11.25" customHeight="1">
      <c r="A34" s="185" t="s">
        <v>73</v>
      </c>
      <c r="B34" s="186" t="s">
        <v>51</v>
      </c>
      <c r="C34" s="187" t="s">
        <v>54</v>
      </c>
      <c r="D34" s="188">
        <v>164</v>
      </c>
      <c r="E34" s="196">
        <v>163.83</v>
      </c>
      <c r="F34" s="243">
        <v>31.8</v>
      </c>
      <c r="G34" s="197">
        <v>0.056</v>
      </c>
      <c r="H34" s="197">
        <v>1.1E-05</v>
      </c>
      <c r="I34" s="197">
        <v>3030</v>
      </c>
      <c r="J34" s="197">
        <f>IF(K34&gt;0,(K34/41),K34)</f>
        <v>0.002121951219512195</v>
      </c>
      <c r="K34" s="197">
        <v>0.087</v>
      </c>
      <c r="L34" s="194">
        <v>1</v>
      </c>
      <c r="M34" s="240"/>
      <c r="N34" s="241">
        <v>0.062</v>
      </c>
      <c r="O34" s="247">
        <v>3.7E-05</v>
      </c>
      <c r="P34" s="241">
        <v>0.02</v>
      </c>
      <c r="Q34" s="242">
        <f>P34*(70/20)</f>
        <v>0.07</v>
      </c>
      <c r="R34" s="92"/>
      <c r="S34" s="92"/>
    </row>
    <row r="35" spans="1:17" s="184" customFormat="1" ht="11.25">
      <c r="A35" s="185" t="s">
        <v>74</v>
      </c>
      <c r="B35" s="186" t="s">
        <v>56</v>
      </c>
      <c r="C35" s="187" t="s">
        <v>35</v>
      </c>
      <c r="D35" s="188">
        <v>253</v>
      </c>
      <c r="E35" s="196">
        <v>252.73</v>
      </c>
      <c r="F35" s="243">
        <v>31.8</v>
      </c>
      <c r="G35" s="197"/>
      <c r="H35" s="197"/>
      <c r="I35" s="197">
        <v>3100</v>
      </c>
      <c r="J35" s="197">
        <f>IF(K35&gt;0,(K35/41),K35)</f>
        <v>0.0005365853658536585</v>
      </c>
      <c r="K35" s="197">
        <v>0.022</v>
      </c>
      <c r="L35" s="194">
        <v>1</v>
      </c>
      <c r="M35" s="240">
        <v>0.1</v>
      </c>
      <c r="N35" s="241">
        <v>0.0079</v>
      </c>
      <c r="O35" s="249">
        <v>1.1E-06</v>
      </c>
      <c r="P35" s="241">
        <v>0.02</v>
      </c>
      <c r="Q35" s="242"/>
    </row>
    <row r="36" spans="1:19" s="93" customFormat="1" ht="11.25" customHeight="1">
      <c r="A36" s="185" t="s">
        <v>75</v>
      </c>
      <c r="B36" s="186" t="s">
        <v>51</v>
      </c>
      <c r="C36" s="187" t="s">
        <v>76</v>
      </c>
      <c r="D36" s="188">
        <v>95</v>
      </c>
      <c r="E36" s="196">
        <v>94.94</v>
      </c>
      <c r="F36" s="243">
        <v>13.2</v>
      </c>
      <c r="G36" s="197">
        <v>0.1</v>
      </c>
      <c r="H36" s="197">
        <v>1.3E-05</v>
      </c>
      <c r="I36" s="197">
        <v>15200</v>
      </c>
      <c r="J36" s="197">
        <f>IF(K36&gt;0,(K36/41),K36)</f>
        <v>0.006341463414634147</v>
      </c>
      <c r="K36" s="197">
        <v>0.26</v>
      </c>
      <c r="L36" s="194">
        <v>1</v>
      </c>
      <c r="M36" s="240"/>
      <c r="N36" s="241"/>
      <c r="O36" s="249"/>
      <c r="P36" s="241">
        <v>0.0014</v>
      </c>
      <c r="Q36" s="242">
        <v>0.005</v>
      </c>
      <c r="R36" s="92"/>
      <c r="S36" s="92"/>
    </row>
    <row r="37" spans="1:19" s="93" customFormat="1" ht="11.25" customHeight="1">
      <c r="A37" s="185" t="s">
        <v>77</v>
      </c>
      <c r="B37" s="186" t="s">
        <v>56</v>
      </c>
      <c r="C37" s="187" t="s">
        <v>35</v>
      </c>
      <c r="D37" s="188">
        <v>112</v>
      </c>
      <c r="E37" s="196">
        <v>112.41</v>
      </c>
      <c r="F37" s="197"/>
      <c r="G37" s="197"/>
      <c r="H37" s="197"/>
      <c r="I37" s="197"/>
      <c r="J37" s="197"/>
      <c r="K37" s="197"/>
      <c r="L37" s="195">
        <v>0.025</v>
      </c>
      <c r="M37" s="240">
        <v>0.001</v>
      </c>
      <c r="N37" s="241"/>
      <c r="O37" s="249">
        <v>0.0018</v>
      </c>
      <c r="P37" s="241">
        <v>0.001</v>
      </c>
      <c r="Q37" s="245">
        <v>2E-05</v>
      </c>
      <c r="R37" s="92"/>
      <c r="S37" s="92"/>
    </row>
    <row r="38" spans="1:19" s="93" customFormat="1" ht="11.25" customHeight="1">
      <c r="A38" s="185" t="s">
        <v>78</v>
      </c>
      <c r="B38" s="186" t="s">
        <v>51</v>
      </c>
      <c r="C38" s="187" t="s">
        <v>54</v>
      </c>
      <c r="D38" s="188">
        <v>154</v>
      </c>
      <c r="E38" s="196">
        <v>153.82</v>
      </c>
      <c r="F38" s="243">
        <v>43.9</v>
      </c>
      <c r="G38" s="197">
        <v>0.057</v>
      </c>
      <c r="H38" s="197">
        <v>9.8E-06</v>
      </c>
      <c r="I38" s="197">
        <v>793</v>
      </c>
      <c r="J38" s="197">
        <f aca="true" t="shared" si="1" ref="J38:J45">IF(K38&gt;0,(K38/41),K38)</f>
        <v>0.02682926829268293</v>
      </c>
      <c r="K38" s="197">
        <v>1.1</v>
      </c>
      <c r="L38" s="194">
        <v>1</v>
      </c>
      <c r="M38" s="240"/>
      <c r="N38" s="246">
        <v>0.07</v>
      </c>
      <c r="O38" s="247">
        <v>6E-06</v>
      </c>
      <c r="P38" s="246">
        <v>0.004</v>
      </c>
      <c r="Q38" s="245">
        <v>0.1</v>
      </c>
      <c r="R38" s="92"/>
      <c r="S38" s="92"/>
    </row>
    <row r="39" spans="1:19" s="93" customFormat="1" ht="11.25" customHeight="1">
      <c r="A39" s="185" t="s">
        <v>193</v>
      </c>
      <c r="B39" s="186" t="s">
        <v>56</v>
      </c>
      <c r="C39" s="187" t="s">
        <v>35</v>
      </c>
      <c r="D39" s="188">
        <v>410</v>
      </c>
      <c r="E39" s="196">
        <v>409.78</v>
      </c>
      <c r="F39" s="197">
        <v>86650</v>
      </c>
      <c r="G39" s="197"/>
      <c r="H39" s="197"/>
      <c r="I39" s="197">
        <v>0.056</v>
      </c>
      <c r="J39" s="197">
        <f t="shared" si="1"/>
        <v>4.878048780487805E-05</v>
      </c>
      <c r="K39" s="197">
        <v>0.002</v>
      </c>
      <c r="L39" s="194">
        <v>1</v>
      </c>
      <c r="M39" s="240">
        <v>0.04</v>
      </c>
      <c r="N39" s="241">
        <v>0.35</v>
      </c>
      <c r="O39" s="249">
        <v>0.0001</v>
      </c>
      <c r="P39" s="241">
        <v>0.0005</v>
      </c>
      <c r="Q39" s="242">
        <v>0.0007</v>
      </c>
      <c r="R39" s="92"/>
      <c r="S39" s="92"/>
    </row>
    <row r="40" spans="1:19" s="93" customFormat="1" ht="11.25" customHeight="1">
      <c r="A40" s="185" t="s">
        <v>79</v>
      </c>
      <c r="B40" s="186" t="s">
        <v>56</v>
      </c>
      <c r="C40" s="187" t="s">
        <v>35</v>
      </c>
      <c r="D40" s="188">
        <v>128</v>
      </c>
      <c r="E40" s="196">
        <v>127.57</v>
      </c>
      <c r="F40" s="243">
        <v>112.7</v>
      </c>
      <c r="G40" s="197">
        <v>0.07</v>
      </c>
      <c r="H40" s="197">
        <v>1E-05</v>
      </c>
      <c r="I40" s="197">
        <v>3900</v>
      </c>
      <c r="J40" s="197">
        <f t="shared" si="1"/>
        <v>1.1463414634146342E-06</v>
      </c>
      <c r="K40" s="197">
        <v>4.7E-05</v>
      </c>
      <c r="L40" s="194">
        <v>1</v>
      </c>
      <c r="M40" s="240">
        <v>0.1</v>
      </c>
      <c r="N40" s="246">
        <v>0.2</v>
      </c>
      <c r="O40" s="249"/>
      <c r="P40" s="241">
        <v>0.004</v>
      </c>
      <c r="Q40" s="242"/>
      <c r="R40" s="92"/>
      <c r="S40" s="92"/>
    </row>
    <row r="41" spans="1:19" s="93" customFormat="1" ht="11.25" customHeight="1">
      <c r="A41" s="185" t="s">
        <v>80</v>
      </c>
      <c r="B41" s="186" t="s">
        <v>51</v>
      </c>
      <c r="C41" s="187" t="s">
        <v>54</v>
      </c>
      <c r="D41" s="188">
        <v>113</v>
      </c>
      <c r="E41" s="196">
        <v>112.56</v>
      </c>
      <c r="F41" s="243">
        <v>234</v>
      </c>
      <c r="G41" s="197">
        <v>0.072</v>
      </c>
      <c r="H41" s="197">
        <v>9.5E-06</v>
      </c>
      <c r="I41" s="197">
        <v>498</v>
      </c>
      <c r="J41" s="197">
        <f t="shared" si="1"/>
        <v>0.0031707317073170734</v>
      </c>
      <c r="K41" s="197">
        <v>0.13</v>
      </c>
      <c r="L41" s="194">
        <v>1</v>
      </c>
      <c r="M41" s="240"/>
      <c r="N41" s="241"/>
      <c r="O41" s="249"/>
      <c r="P41" s="241">
        <v>0.02</v>
      </c>
      <c r="Q41" s="242">
        <v>0.05</v>
      </c>
      <c r="R41" s="92"/>
      <c r="S41" s="92"/>
    </row>
    <row r="42" spans="1:19" s="93" customFormat="1" ht="11.25" customHeight="1">
      <c r="A42" s="185" t="s">
        <v>81</v>
      </c>
      <c r="B42" s="186" t="s">
        <v>51</v>
      </c>
      <c r="C42" s="187" t="s">
        <v>76</v>
      </c>
      <c r="D42" s="188">
        <v>65</v>
      </c>
      <c r="E42" s="196">
        <v>64.52</v>
      </c>
      <c r="F42" s="243">
        <v>21.8</v>
      </c>
      <c r="G42" s="197">
        <v>0.11</v>
      </c>
      <c r="H42" s="197">
        <v>1.2E-05</v>
      </c>
      <c r="I42" s="197">
        <v>6710</v>
      </c>
      <c r="J42" s="197">
        <f t="shared" si="1"/>
        <v>0.010975609756097562</v>
      </c>
      <c r="K42" s="197">
        <v>0.45</v>
      </c>
      <c r="L42" s="194">
        <v>1</v>
      </c>
      <c r="M42" s="240"/>
      <c r="N42" s="241"/>
      <c r="O42" s="249"/>
      <c r="P42" s="241"/>
      <c r="Q42" s="242">
        <v>10</v>
      </c>
      <c r="R42" s="92"/>
      <c r="S42" s="92"/>
    </row>
    <row r="43" spans="1:18" ht="11.25" customHeight="1">
      <c r="A43" s="199" t="s">
        <v>82</v>
      </c>
      <c r="B43" s="186" t="s">
        <v>51</v>
      </c>
      <c r="C43" s="187" t="s">
        <v>54</v>
      </c>
      <c r="D43" s="188">
        <v>119</v>
      </c>
      <c r="E43" s="196">
        <v>119.38</v>
      </c>
      <c r="F43" s="243">
        <v>31.8</v>
      </c>
      <c r="G43" s="197">
        <v>0.077</v>
      </c>
      <c r="H43" s="197">
        <v>1.1E-05</v>
      </c>
      <c r="I43" s="197">
        <v>7950</v>
      </c>
      <c r="J43" s="197">
        <f t="shared" si="1"/>
        <v>0.0036585365853658534</v>
      </c>
      <c r="K43" s="197">
        <v>0.15</v>
      </c>
      <c r="L43" s="194">
        <v>1</v>
      </c>
      <c r="M43" s="240"/>
      <c r="N43" s="241">
        <v>0.031</v>
      </c>
      <c r="O43" s="249">
        <v>2.3E-05</v>
      </c>
      <c r="P43" s="241">
        <v>0.01</v>
      </c>
      <c r="Q43" s="242">
        <v>0.098</v>
      </c>
      <c r="R43" s="163"/>
    </row>
    <row r="44" spans="1:18" ht="11.25" customHeight="1">
      <c r="A44" s="185" t="s">
        <v>83</v>
      </c>
      <c r="B44" s="200" t="s">
        <v>51</v>
      </c>
      <c r="C44" s="201" t="s">
        <v>76</v>
      </c>
      <c r="D44" s="202">
        <v>50</v>
      </c>
      <c r="E44" s="196">
        <v>50.49</v>
      </c>
      <c r="F44" s="243">
        <v>13.2</v>
      </c>
      <c r="G44" s="197">
        <v>0.12</v>
      </c>
      <c r="H44" s="197">
        <v>1.4E-05</v>
      </c>
      <c r="I44" s="197">
        <v>5320</v>
      </c>
      <c r="J44" s="197">
        <f t="shared" si="1"/>
        <v>0.008780487804878048</v>
      </c>
      <c r="K44" s="197">
        <v>0.36</v>
      </c>
      <c r="L44" s="194">
        <v>1</v>
      </c>
      <c r="M44" s="240"/>
      <c r="N44" s="241">
        <v>0.013</v>
      </c>
      <c r="O44" s="249">
        <v>1.8E-06</v>
      </c>
      <c r="P44" s="241"/>
      <c r="Q44" s="242">
        <v>0.09</v>
      </c>
      <c r="R44" s="163"/>
    </row>
    <row r="45" spans="1:18" ht="11.25" customHeight="1">
      <c r="A45" s="185" t="s">
        <v>84</v>
      </c>
      <c r="B45" s="200" t="s">
        <v>51</v>
      </c>
      <c r="C45" s="201" t="s">
        <v>54</v>
      </c>
      <c r="D45" s="202">
        <v>129</v>
      </c>
      <c r="E45" s="196">
        <v>128.56</v>
      </c>
      <c r="F45" s="243">
        <v>306</v>
      </c>
      <c r="G45" s="197">
        <v>0.066</v>
      </c>
      <c r="H45" s="197">
        <v>9.5E-06</v>
      </c>
      <c r="I45" s="197">
        <v>28500</v>
      </c>
      <c r="J45" s="197">
        <f t="shared" si="1"/>
        <v>1.1219512195121952E-05</v>
      </c>
      <c r="K45" s="197">
        <v>0.00046</v>
      </c>
      <c r="L45" s="194">
        <v>1</v>
      </c>
      <c r="M45" s="240"/>
      <c r="N45" s="241"/>
      <c r="O45" s="249"/>
      <c r="P45" s="241">
        <v>0.005</v>
      </c>
      <c r="Q45" s="242">
        <f>P45*(70/20)</f>
        <v>0.0175</v>
      </c>
      <c r="R45" s="163"/>
    </row>
    <row r="46" spans="1:18" ht="11.25" customHeight="1">
      <c r="A46" s="185" t="s">
        <v>85</v>
      </c>
      <c r="B46" s="200" t="s">
        <v>56</v>
      </c>
      <c r="C46" s="201" t="s">
        <v>35</v>
      </c>
      <c r="D46" s="202">
        <v>52</v>
      </c>
      <c r="E46" s="192">
        <f>D46</f>
        <v>52</v>
      </c>
      <c r="F46" s="193"/>
      <c r="G46" s="193"/>
      <c r="H46" s="193"/>
      <c r="I46" s="193"/>
      <c r="J46" s="193"/>
      <c r="K46" s="193"/>
      <c r="L46" s="194">
        <v>1</v>
      </c>
      <c r="M46" s="252"/>
      <c r="N46" s="241"/>
      <c r="O46" s="249"/>
      <c r="P46" s="241"/>
      <c r="Q46" s="251"/>
      <c r="R46" s="163"/>
    </row>
    <row r="47" spans="1:18" ht="11.25" customHeight="1">
      <c r="A47" s="185" t="s">
        <v>86</v>
      </c>
      <c r="B47" s="200" t="s">
        <v>56</v>
      </c>
      <c r="C47" s="201" t="s">
        <v>35</v>
      </c>
      <c r="D47" s="202">
        <v>52</v>
      </c>
      <c r="E47" s="196">
        <v>52</v>
      </c>
      <c r="F47" s="197"/>
      <c r="G47" s="197"/>
      <c r="H47" s="197"/>
      <c r="I47" s="197"/>
      <c r="J47" s="197"/>
      <c r="K47" s="197"/>
      <c r="L47" s="195">
        <v>0.013</v>
      </c>
      <c r="M47" s="240"/>
      <c r="N47" s="241"/>
      <c r="O47" s="249"/>
      <c r="P47" s="241">
        <v>1.5</v>
      </c>
      <c r="Q47" s="242"/>
      <c r="R47" s="163"/>
    </row>
    <row r="48" spans="1:18" ht="11.25" customHeight="1">
      <c r="A48" s="185" t="s">
        <v>87</v>
      </c>
      <c r="B48" s="200" t="s">
        <v>56</v>
      </c>
      <c r="C48" s="201" t="s">
        <v>35</v>
      </c>
      <c r="D48" s="202">
        <v>52</v>
      </c>
      <c r="E48" s="192">
        <f>D48</f>
        <v>52</v>
      </c>
      <c r="F48" s="197"/>
      <c r="G48" s="197"/>
      <c r="H48" s="197"/>
      <c r="I48" s="197">
        <v>1690000</v>
      </c>
      <c r="J48" s="197"/>
      <c r="K48" s="197"/>
      <c r="L48" s="195">
        <v>0.025</v>
      </c>
      <c r="M48" s="240"/>
      <c r="N48" s="246">
        <v>0.5</v>
      </c>
      <c r="O48" s="249">
        <v>0.084</v>
      </c>
      <c r="P48" s="241">
        <v>0.003</v>
      </c>
      <c r="Q48" s="242">
        <v>0.0001</v>
      </c>
      <c r="R48" s="163"/>
    </row>
    <row r="49" spans="1:18" ht="11.25" customHeight="1">
      <c r="A49" s="185" t="s">
        <v>88</v>
      </c>
      <c r="B49" s="200" t="s">
        <v>56</v>
      </c>
      <c r="C49" s="201" t="s">
        <v>35</v>
      </c>
      <c r="D49" s="202">
        <v>228</v>
      </c>
      <c r="E49" s="196">
        <v>228.3</v>
      </c>
      <c r="F49" s="243">
        <v>180500</v>
      </c>
      <c r="G49" s="197"/>
      <c r="H49" s="197"/>
      <c r="I49" s="197">
        <v>0.002</v>
      </c>
      <c r="J49" s="197">
        <f>IF(K49&gt;0,(K49/41),K49)</f>
        <v>5.121951219512195E-06</v>
      </c>
      <c r="K49" s="197">
        <v>0.00021</v>
      </c>
      <c r="L49" s="194">
        <v>1</v>
      </c>
      <c r="M49" s="240">
        <v>0.13</v>
      </c>
      <c r="N49" s="241">
        <v>0.0073</v>
      </c>
      <c r="O49" s="249">
        <v>1.1E-05</v>
      </c>
      <c r="P49" s="241"/>
      <c r="Q49" s="242"/>
      <c r="R49" s="163"/>
    </row>
    <row r="50" spans="1:18" ht="11.25" customHeight="1">
      <c r="A50" s="185" t="s">
        <v>89</v>
      </c>
      <c r="B50" s="200" t="s">
        <v>56</v>
      </c>
      <c r="C50" s="201" t="s">
        <v>35</v>
      </c>
      <c r="D50" s="202">
        <v>59</v>
      </c>
      <c r="E50" s="192">
        <f>D50</f>
        <v>59</v>
      </c>
      <c r="F50" s="193"/>
      <c r="G50" s="193"/>
      <c r="H50" s="193"/>
      <c r="I50" s="193"/>
      <c r="J50" s="193"/>
      <c r="K50" s="193"/>
      <c r="L50" s="194">
        <v>1</v>
      </c>
      <c r="M50" s="248"/>
      <c r="N50" s="249"/>
      <c r="O50" s="249">
        <v>0.009</v>
      </c>
      <c r="P50" s="243">
        <v>0.0003</v>
      </c>
      <c r="Q50" s="253">
        <v>6E-06</v>
      </c>
      <c r="R50" s="163"/>
    </row>
    <row r="51" spans="1:18" ht="11.25" customHeight="1">
      <c r="A51" s="185" t="s">
        <v>90</v>
      </c>
      <c r="B51" s="200" t="s">
        <v>56</v>
      </c>
      <c r="C51" s="201" t="s">
        <v>35</v>
      </c>
      <c r="D51" s="202">
        <v>64</v>
      </c>
      <c r="E51" s="196">
        <v>63.55</v>
      </c>
      <c r="F51" s="197"/>
      <c r="G51" s="197"/>
      <c r="H51" s="197"/>
      <c r="I51" s="197"/>
      <c r="J51" s="197"/>
      <c r="K51" s="197"/>
      <c r="L51" s="194">
        <v>1</v>
      </c>
      <c r="M51" s="240"/>
      <c r="N51" s="241"/>
      <c r="O51" s="241"/>
      <c r="P51" s="241">
        <v>0.04</v>
      </c>
      <c r="Q51" s="242"/>
      <c r="R51" s="163"/>
    </row>
    <row r="52" spans="1:18" ht="11.25" customHeight="1">
      <c r="A52" s="185" t="s">
        <v>91</v>
      </c>
      <c r="B52" s="200" t="s">
        <v>51</v>
      </c>
      <c r="C52" s="201" t="s">
        <v>35</v>
      </c>
      <c r="D52" s="203">
        <v>27</v>
      </c>
      <c r="E52" s="196">
        <v>27.03</v>
      </c>
      <c r="F52" s="197"/>
      <c r="G52" s="197"/>
      <c r="H52" s="197"/>
      <c r="I52" s="197"/>
      <c r="J52" s="197"/>
      <c r="K52" s="197"/>
      <c r="L52" s="194">
        <v>1</v>
      </c>
      <c r="M52" s="240"/>
      <c r="N52" s="241"/>
      <c r="O52" s="241"/>
      <c r="P52" s="241">
        <v>0.02</v>
      </c>
      <c r="Q52" s="242"/>
      <c r="R52" s="163"/>
    </row>
    <row r="53" spans="1:18" ht="11.25" customHeight="1">
      <c r="A53" s="185" t="s">
        <v>194</v>
      </c>
      <c r="B53" s="200" t="s">
        <v>56</v>
      </c>
      <c r="C53" s="201" t="s">
        <v>35</v>
      </c>
      <c r="D53" s="202">
        <v>222</v>
      </c>
      <c r="E53" s="196">
        <v>222.12</v>
      </c>
      <c r="F53" s="243">
        <v>89.1</v>
      </c>
      <c r="G53" s="197"/>
      <c r="H53" s="197"/>
      <c r="I53" s="197">
        <v>59.7</v>
      </c>
      <c r="J53" s="197">
        <f aca="true" t="shared" si="2" ref="J53:J59">IF(K53&gt;0,(K53/41),K53)</f>
        <v>6.341463414634147E-08</v>
      </c>
      <c r="K53" s="197">
        <v>2.6E-06</v>
      </c>
      <c r="L53" s="194">
        <v>1</v>
      </c>
      <c r="M53" s="240">
        <v>0.015</v>
      </c>
      <c r="N53" s="241">
        <v>0.11</v>
      </c>
      <c r="O53" s="241"/>
      <c r="P53" s="241">
        <v>0.003</v>
      </c>
      <c r="Q53" s="242"/>
      <c r="R53" s="163"/>
    </row>
    <row r="54" spans="1:18" ht="11.25" customHeight="1">
      <c r="A54" s="185" t="s">
        <v>195</v>
      </c>
      <c r="B54" s="200" t="s">
        <v>56</v>
      </c>
      <c r="C54" s="201" t="s">
        <v>54</v>
      </c>
      <c r="D54" s="202">
        <v>143</v>
      </c>
      <c r="E54" s="196">
        <v>142.97</v>
      </c>
      <c r="F54" s="243">
        <v>3.2</v>
      </c>
      <c r="G54" s="197"/>
      <c r="H54" s="197"/>
      <c r="I54" s="197">
        <v>502000</v>
      </c>
      <c r="J54" s="197">
        <f t="shared" si="2"/>
        <v>9.024390243902439E-08</v>
      </c>
      <c r="K54" s="197">
        <v>3.7E-06</v>
      </c>
      <c r="L54" s="194">
        <v>1</v>
      </c>
      <c r="M54" s="240">
        <v>0.1</v>
      </c>
      <c r="N54" s="241"/>
      <c r="O54" s="241"/>
      <c r="P54" s="241">
        <v>0.03</v>
      </c>
      <c r="Q54" s="242"/>
      <c r="R54" s="163"/>
    </row>
    <row r="55" spans="1:18" ht="11.25" customHeight="1">
      <c r="A55" s="185" t="s">
        <v>92</v>
      </c>
      <c r="B55" s="200" t="s">
        <v>56</v>
      </c>
      <c r="C55" s="201" t="s">
        <v>35</v>
      </c>
      <c r="D55" s="202">
        <v>278</v>
      </c>
      <c r="E55" s="196">
        <v>278.36</v>
      </c>
      <c r="F55" s="243">
        <v>1912000</v>
      </c>
      <c r="G55" s="197"/>
      <c r="H55" s="197"/>
      <c r="I55" s="197">
        <v>0.00103</v>
      </c>
      <c r="J55" s="197">
        <f t="shared" si="2"/>
        <v>1.2195121951219514E-07</v>
      </c>
      <c r="K55" s="197">
        <v>5E-06</v>
      </c>
      <c r="L55" s="194">
        <v>1</v>
      </c>
      <c r="M55" s="240">
        <v>0.13</v>
      </c>
      <c r="N55" s="241">
        <v>7.3</v>
      </c>
      <c r="O55" s="241">
        <v>0.0012</v>
      </c>
      <c r="P55" s="241"/>
      <c r="Q55" s="242"/>
      <c r="R55" s="163"/>
    </row>
    <row r="56" spans="1:18" ht="11.25" customHeight="1">
      <c r="A56" s="185" t="s">
        <v>262</v>
      </c>
      <c r="B56" s="200" t="s">
        <v>51</v>
      </c>
      <c r="C56" s="201" t="s">
        <v>54</v>
      </c>
      <c r="D56" s="202">
        <v>236</v>
      </c>
      <c r="E56" s="192">
        <v>199</v>
      </c>
      <c r="F56" s="197">
        <v>130.8</v>
      </c>
      <c r="G56" s="197">
        <v>0.032</v>
      </c>
      <c r="H56" s="197">
        <v>8.9E-06</v>
      </c>
      <c r="I56" s="197">
        <v>1230</v>
      </c>
      <c r="J56" s="197">
        <f t="shared" si="2"/>
        <v>0.00014634146341463414</v>
      </c>
      <c r="K56" s="197">
        <v>0.006</v>
      </c>
      <c r="L56" s="194">
        <v>1</v>
      </c>
      <c r="M56" s="240"/>
      <c r="N56" s="241">
        <v>0.8</v>
      </c>
      <c r="O56" s="241">
        <v>0.006</v>
      </c>
      <c r="P56" s="241">
        <v>0.0002</v>
      </c>
      <c r="Q56" s="242">
        <v>0.0002</v>
      </c>
      <c r="R56" s="163"/>
    </row>
    <row r="57" spans="1:18" ht="11.25" customHeight="1">
      <c r="A57" s="185" t="s">
        <v>93</v>
      </c>
      <c r="B57" s="200" t="s">
        <v>51</v>
      </c>
      <c r="C57" s="201" t="s">
        <v>35</v>
      </c>
      <c r="D57" s="202">
        <v>208</v>
      </c>
      <c r="E57" s="192">
        <v>199</v>
      </c>
      <c r="F57" s="243">
        <v>31.8</v>
      </c>
      <c r="G57" s="197">
        <v>0.037</v>
      </c>
      <c r="H57" s="197">
        <v>1.1E-05</v>
      </c>
      <c r="I57" s="197">
        <v>2700</v>
      </c>
      <c r="J57" s="197">
        <f t="shared" si="2"/>
        <v>0.0007804878048780488</v>
      </c>
      <c r="K57" s="197">
        <v>0.032</v>
      </c>
      <c r="L57" s="194">
        <v>1</v>
      </c>
      <c r="M57" s="240">
        <v>0.1</v>
      </c>
      <c r="N57" s="241">
        <v>0.084</v>
      </c>
      <c r="O57" s="241">
        <f>N57*(20*(1/70)*(1/1000))</f>
        <v>2.3999999999999997E-05</v>
      </c>
      <c r="P57" s="241">
        <v>0.02</v>
      </c>
      <c r="Q57" s="242">
        <f>P57*(70/20)</f>
        <v>0.07</v>
      </c>
      <c r="R57" s="163"/>
    </row>
    <row r="58" spans="1:18" ht="11.25" customHeight="1">
      <c r="A58" s="185" t="s">
        <v>94</v>
      </c>
      <c r="B58" s="200" t="s">
        <v>51</v>
      </c>
      <c r="C58" s="201" t="s">
        <v>35</v>
      </c>
      <c r="D58" s="202">
        <v>188</v>
      </c>
      <c r="E58" s="196">
        <v>187.86</v>
      </c>
      <c r="F58" s="243">
        <v>31.8</v>
      </c>
      <c r="G58" s="197">
        <v>0.043</v>
      </c>
      <c r="H58" s="197">
        <v>1E-05</v>
      </c>
      <c r="I58" s="197">
        <v>3910</v>
      </c>
      <c r="J58" s="197">
        <f t="shared" si="2"/>
        <v>0.0006585365853658537</v>
      </c>
      <c r="K58" s="197">
        <v>0.027</v>
      </c>
      <c r="L58" s="194">
        <v>1</v>
      </c>
      <c r="M58" s="240"/>
      <c r="N58" s="241">
        <v>2</v>
      </c>
      <c r="O58" s="241">
        <v>0.0006</v>
      </c>
      <c r="P58" s="241">
        <v>0.009</v>
      </c>
      <c r="Q58" s="242">
        <v>0.009</v>
      </c>
      <c r="R58" s="163"/>
    </row>
    <row r="59" spans="1:18" ht="11.25" customHeight="1">
      <c r="A59" s="185" t="s">
        <v>95</v>
      </c>
      <c r="B59" s="200" t="s">
        <v>51</v>
      </c>
      <c r="C59" s="201" t="s">
        <v>54</v>
      </c>
      <c r="D59" s="202">
        <v>147</v>
      </c>
      <c r="E59" s="196">
        <v>147</v>
      </c>
      <c r="F59" s="243">
        <v>383</v>
      </c>
      <c r="G59" s="197">
        <v>0.056</v>
      </c>
      <c r="H59" s="197">
        <v>8.9E-06</v>
      </c>
      <c r="I59" s="197">
        <v>80</v>
      </c>
      <c r="J59" s="197">
        <f t="shared" si="2"/>
        <v>0.0019024390243902439</v>
      </c>
      <c r="K59" s="197">
        <v>0.078</v>
      </c>
      <c r="L59" s="194">
        <v>1</v>
      </c>
      <c r="M59" s="240"/>
      <c r="N59" s="241"/>
      <c r="O59" s="241"/>
      <c r="P59" s="241">
        <v>0.09</v>
      </c>
      <c r="Q59" s="242">
        <v>0.2</v>
      </c>
      <c r="R59" s="163"/>
    </row>
    <row r="60" spans="1:18" ht="11.25" customHeight="1">
      <c r="A60" s="185" t="s">
        <v>96</v>
      </c>
      <c r="B60" s="200" t="s">
        <v>51</v>
      </c>
      <c r="C60" s="201" t="s">
        <v>54</v>
      </c>
      <c r="D60" s="202">
        <v>147</v>
      </c>
      <c r="E60" s="192">
        <f>D60</f>
        <v>147</v>
      </c>
      <c r="F60" s="193">
        <v>617</v>
      </c>
      <c r="G60" s="193">
        <v>0.069</v>
      </c>
      <c r="H60" s="193">
        <v>7.9E-06</v>
      </c>
      <c r="I60" s="193">
        <v>156</v>
      </c>
      <c r="J60" s="193">
        <v>0.0019</v>
      </c>
      <c r="K60" s="193">
        <f>IF(J60=0,"",(J60*41))</f>
        <v>0.0779</v>
      </c>
      <c r="L60" s="194">
        <v>1</v>
      </c>
      <c r="M60" s="248"/>
      <c r="N60" s="249"/>
      <c r="O60" s="249"/>
      <c r="P60" s="250">
        <v>0.03</v>
      </c>
      <c r="Q60" s="242">
        <f>P60*(70/20)</f>
        <v>0.105</v>
      </c>
      <c r="R60" s="163"/>
    </row>
    <row r="61" spans="1:18" ht="11.25" customHeight="1">
      <c r="A61" s="185" t="s">
        <v>97</v>
      </c>
      <c r="B61" s="200" t="s">
        <v>51</v>
      </c>
      <c r="C61" s="201" t="s">
        <v>35</v>
      </c>
      <c r="D61" s="202">
        <v>147</v>
      </c>
      <c r="E61" s="196">
        <v>147</v>
      </c>
      <c r="F61" s="243">
        <v>375</v>
      </c>
      <c r="G61" s="197">
        <v>0.055</v>
      </c>
      <c r="H61" s="197">
        <v>8.7E-06</v>
      </c>
      <c r="I61" s="197">
        <v>81.3</v>
      </c>
      <c r="J61" s="197">
        <f aca="true" t="shared" si="3" ref="J61:J77">IF(K61&gt;0,(K61/41),K61)</f>
        <v>0.0024146341463414634</v>
      </c>
      <c r="K61" s="197">
        <v>0.099</v>
      </c>
      <c r="L61" s="194">
        <v>1</v>
      </c>
      <c r="M61" s="240"/>
      <c r="N61" s="241">
        <v>0.0054</v>
      </c>
      <c r="O61" s="241">
        <v>1.1E-05</v>
      </c>
      <c r="P61" s="246">
        <v>0.07</v>
      </c>
      <c r="Q61" s="242">
        <v>0.8</v>
      </c>
      <c r="R61" s="163"/>
    </row>
    <row r="62" spans="1:18" ht="11.25" customHeight="1">
      <c r="A62" s="185" t="s">
        <v>98</v>
      </c>
      <c r="B62" s="200" t="s">
        <v>56</v>
      </c>
      <c r="C62" s="201" t="s">
        <v>35</v>
      </c>
      <c r="D62" s="202">
        <v>253</v>
      </c>
      <c r="E62" s="196">
        <v>253.13</v>
      </c>
      <c r="F62" s="243">
        <v>3190</v>
      </c>
      <c r="G62" s="197"/>
      <c r="H62" s="197"/>
      <c r="I62" s="197">
        <v>3.1</v>
      </c>
      <c r="J62" s="197">
        <f t="shared" si="3"/>
        <v>5.1219512195121956E-11</v>
      </c>
      <c r="K62" s="197">
        <v>2.1E-09</v>
      </c>
      <c r="L62" s="194">
        <v>1</v>
      </c>
      <c r="M62" s="240">
        <v>0.1</v>
      </c>
      <c r="N62" s="241">
        <v>0.45</v>
      </c>
      <c r="O62" s="246">
        <v>0.00034</v>
      </c>
      <c r="P62" s="241"/>
      <c r="Q62" s="242"/>
      <c r="R62" s="163"/>
    </row>
    <row r="63" spans="1:18" ht="11.25" customHeight="1">
      <c r="A63" s="185" t="s">
        <v>99</v>
      </c>
      <c r="B63" s="200" t="s">
        <v>56</v>
      </c>
      <c r="C63" s="201" t="s">
        <v>35</v>
      </c>
      <c r="D63" s="202">
        <v>320</v>
      </c>
      <c r="E63" s="196">
        <v>320.05</v>
      </c>
      <c r="F63" s="243">
        <v>117500</v>
      </c>
      <c r="G63" s="197"/>
      <c r="H63" s="197"/>
      <c r="I63" s="197">
        <v>0.09</v>
      </c>
      <c r="J63" s="197">
        <f t="shared" si="3"/>
        <v>6.585365853658537E-06</v>
      </c>
      <c r="K63" s="197">
        <v>0.00027</v>
      </c>
      <c r="L63" s="194">
        <v>1</v>
      </c>
      <c r="M63" s="240">
        <v>0.1</v>
      </c>
      <c r="N63" s="241">
        <v>0.24</v>
      </c>
      <c r="O63" s="246">
        <v>6.9E-05</v>
      </c>
      <c r="P63" s="241"/>
      <c r="Q63" s="242"/>
      <c r="R63" s="163"/>
    </row>
    <row r="64" spans="1:18" ht="11.25" customHeight="1">
      <c r="A64" s="185" t="s">
        <v>100</v>
      </c>
      <c r="B64" s="200" t="s">
        <v>56</v>
      </c>
      <c r="C64" s="201" t="s">
        <v>35</v>
      </c>
      <c r="D64" s="202">
        <v>318</v>
      </c>
      <c r="E64" s="196">
        <v>318.03</v>
      </c>
      <c r="F64" s="243">
        <v>117500</v>
      </c>
      <c r="G64" s="197"/>
      <c r="H64" s="197"/>
      <c r="I64" s="197">
        <v>0.04</v>
      </c>
      <c r="J64" s="197">
        <f t="shared" si="3"/>
        <v>4.146341463414634E-05</v>
      </c>
      <c r="K64" s="197">
        <v>0.0017</v>
      </c>
      <c r="L64" s="194">
        <v>1</v>
      </c>
      <c r="M64" s="240">
        <v>0.1</v>
      </c>
      <c r="N64" s="241">
        <v>0.34</v>
      </c>
      <c r="O64" s="246">
        <v>9.7E-05</v>
      </c>
      <c r="P64" s="241"/>
      <c r="Q64" s="242"/>
      <c r="R64" s="163"/>
    </row>
    <row r="65" spans="1:18" ht="11.25" customHeight="1">
      <c r="A65" s="185" t="s">
        <v>101</v>
      </c>
      <c r="B65" s="200" t="s">
        <v>56</v>
      </c>
      <c r="C65" s="201" t="s">
        <v>35</v>
      </c>
      <c r="D65" s="202">
        <v>354</v>
      </c>
      <c r="E65" s="196">
        <v>354.49</v>
      </c>
      <c r="F65" s="243">
        <v>168600</v>
      </c>
      <c r="G65" s="197"/>
      <c r="H65" s="197"/>
      <c r="I65" s="197">
        <v>0.0055</v>
      </c>
      <c r="J65" s="197">
        <f t="shared" si="3"/>
        <v>8.292682926829268E-06</v>
      </c>
      <c r="K65" s="197">
        <v>0.00034</v>
      </c>
      <c r="L65" s="194">
        <v>1</v>
      </c>
      <c r="M65" s="240">
        <v>0.03</v>
      </c>
      <c r="N65" s="241">
        <v>0.34</v>
      </c>
      <c r="O65" s="241">
        <v>9.7E-05</v>
      </c>
      <c r="P65" s="241">
        <v>0.0005</v>
      </c>
      <c r="Q65" s="242"/>
      <c r="R65" s="163"/>
    </row>
    <row r="66" spans="1:18" ht="11.25" customHeight="1">
      <c r="A66" s="185" t="s">
        <v>102</v>
      </c>
      <c r="B66" s="200" t="s">
        <v>51</v>
      </c>
      <c r="C66" s="201" t="s">
        <v>54</v>
      </c>
      <c r="D66" s="202">
        <v>99</v>
      </c>
      <c r="E66" s="196">
        <v>98.96</v>
      </c>
      <c r="F66" s="243">
        <v>31.8</v>
      </c>
      <c r="G66" s="197">
        <v>0.084</v>
      </c>
      <c r="H66" s="197">
        <v>1.1E-05</v>
      </c>
      <c r="I66" s="197">
        <v>5040</v>
      </c>
      <c r="J66" s="197">
        <f t="shared" si="3"/>
        <v>0.005609756097560976</v>
      </c>
      <c r="K66" s="197">
        <v>0.23</v>
      </c>
      <c r="L66" s="194">
        <v>1</v>
      </c>
      <c r="M66" s="240"/>
      <c r="N66" s="241">
        <v>0.0057</v>
      </c>
      <c r="O66" s="241">
        <v>1.6E-06</v>
      </c>
      <c r="P66" s="241">
        <v>0.2</v>
      </c>
      <c r="Q66" s="242">
        <f>P66*(70/20)</f>
        <v>0.7000000000000001</v>
      </c>
      <c r="R66" s="163"/>
    </row>
    <row r="67" spans="1:18" ht="11.25" customHeight="1">
      <c r="A67" s="185" t="s">
        <v>103</v>
      </c>
      <c r="B67" s="200" t="s">
        <v>51</v>
      </c>
      <c r="C67" s="201" t="s">
        <v>54</v>
      </c>
      <c r="D67" s="202">
        <v>99</v>
      </c>
      <c r="E67" s="196">
        <v>98.96</v>
      </c>
      <c r="F67" s="243">
        <v>39.6</v>
      </c>
      <c r="G67" s="197">
        <v>0.086</v>
      </c>
      <c r="H67" s="197">
        <v>1.1E-05</v>
      </c>
      <c r="I67" s="197">
        <v>5100</v>
      </c>
      <c r="J67" s="197">
        <f t="shared" si="3"/>
        <v>0.0011707317073170731</v>
      </c>
      <c r="K67" s="197">
        <v>0.048</v>
      </c>
      <c r="L67" s="194">
        <v>1</v>
      </c>
      <c r="M67" s="240"/>
      <c r="N67" s="241">
        <v>0.091</v>
      </c>
      <c r="O67" s="241">
        <v>2.6E-05</v>
      </c>
      <c r="P67" s="246">
        <v>0.006</v>
      </c>
      <c r="Q67" s="245">
        <v>0.007</v>
      </c>
      <c r="R67" s="163"/>
    </row>
    <row r="68" spans="1:18" ht="11.25" customHeight="1">
      <c r="A68" s="185" t="s">
        <v>104</v>
      </c>
      <c r="B68" s="200" t="s">
        <v>51</v>
      </c>
      <c r="C68" s="201" t="s">
        <v>54</v>
      </c>
      <c r="D68" s="202">
        <v>97</v>
      </c>
      <c r="E68" s="196">
        <v>96.94</v>
      </c>
      <c r="F68" s="243">
        <v>31.8</v>
      </c>
      <c r="G68" s="197">
        <v>0.086</v>
      </c>
      <c r="H68" s="197">
        <v>1.1E-05</v>
      </c>
      <c r="I68" s="197">
        <v>2420</v>
      </c>
      <c r="J68" s="197">
        <f t="shared" si="3"/>
        <v>0.02682926829268293</v>
      </c>
      <c r="K68" s="197">
        <v>1.1</v>
      </c>
      <c r="L68" s="194">
        <v>1</v>
      </c>
      <c r="M68" s="240"/>
      <c r="N68" s="241"/>
      <c r="O68" s="241"/>
      <c r="P68" s="241">
        <v>0.05</v>
      </c>
      <c r="Q68" s="242">
        <v>0.2</v>
      </c>
      <c r="R68" s="163"/>
    </row>
    <row r="69" spans="1:18" ht="11.25" customHeight="1">
      <c r="A69" s="185" t="s">
        <v>105</v>
      </c>
      <c r="B69" s="200" t="s">
        <v>51</v>
      </c>
      <c r="C69" s="201" t="s">
        <v>54</v>
      </c>
      <c r="D69" s="202">
        <v>97</v>
      </c>
      <c r="E69" s="196">
        <v>96.94</v>
      </c>
      <c r="F69" s="243">
        <v>39.6</v>
      </c>
      <c r="G69" s="197">
        <v>0.088</v>
      </c>
      <c r="H69" s="197">
        <v>1.1E-05</v>
      </c>
      <c r="I69" s="197">
        <v>3500</v>
      </c>
      <c r="J69" s="197">
        <f t="shared" si="3"/>
        <v>0.004146341463414634</v>
      </c>
      <c r="K69" s="197">
        <v>0.17</v>
      </c>
      <c r="L69" s="194">
        <v>1</v>
      </c>
      <c r="M69" s="240"/>
      <c r="N69" s="241"/>
      <c r="O69" s="241"/>
      <c r="P69" s="246">
        <v>0.002</v>
      </c>
      <c r="Q69" s="245">
        <f>P69*(70/20)</f>
        <v>0.007</v>
      </c>
      <c r="R69" s="163"/>
    </row>
    <row r="70" spans="1:18" ht="11.25" customHeight="1">
      <c r="A70" s="185" t="s">
        <v>106</v>
      </c>
      <c r="B70" s="200" t="s">
        <v>51</v>
      </c>
      <c r="C70" s="201" t="s">
        <v>54</v>
      </c>
      <c r="D70" s="202">
        <v>97</v>
      </c>
      <c r="E70" s="196">
        <v>96.94</v>
      </c>
      <c r="F70" s="243">
        <v>39.6</v>
      </c>
      <c r="G70" s="197">
        <v>0.088</v>
      </c>
      <c r="H70" s="197">
        <v>1.1E-05</v>
      </c>
      <c r="I70" s="197">
        <v>3500</v>
      </c>
      <c r="J70" s="197">
        <f t="shared" si="3"/>
        <v>0.009268292682926829</v>
      </c>
      <c r="K70" s="197">
        <v>0.38</v>
      </c>
      <c r="L70" s="194">
        <v>1</v>
      </c>
      <c r="M70" s="240"/>
      <c r="N70" s="241"/>
      <c r="O70" s="241"/>
      <c r="P70" s="241">
        <v>0.02</v>
      </c>
      <c r="Q70" s="242">
        <v>0.06</v>
      </c>
      <c r="R70" s="163"/>
    </row>
    <row r="71" spans="1:18" ht="11.25" customHeight="1">
      <c r="A71" s="185" t="s">
        <v>107</v>
      </c>
      <c r="B71" s="200" t="s">
        <v>56</v>
      </c>
      <c r="C71" s="201" t="s">
        <v>35</v>
      </c>
      <c r="D71" s="202">
        <v>163</v>
      </c>
      <c r="E71" s="196">
        <v>163</v>
      </c>
      <c r="F71" s="243">
        <v>492</v>
      </c>
      <c r="G71" s="197">
        <v>0.064</v>
      </c>
      <c r="H71" s="197">
        <v>7.4E-06</v>
      </c>
      <c r="I71" s="197">
        <v>4500</v>
      </c>
      <c r="J71" s="197">
        <f t="shared" si="3"/>
        <v>2.1951219512195125E-06</v>
      </c>
      <c r="K71" s="197">
        <v>9E-05</v>
      </c>
      <c r="L71" s="194">
        <v>1</v>
      </c>
      <c r="M71" s="240">
        <v>0.1</v>
      </c>
      <c r="N71" s="241"/>
      <c r="O71" s="241"/>
      <c r="P71" s="241">
        <v>0.003</v>
      </c>
      <c r="Q71" s="242"/>
      <c r="R71" s="163"/>
    </row>
    <row r="72" spans="1:18" ht="11.25" customHeight="1">
      <c r="A72" s="185" t="s">
        <v>196</v>
      </c>
      <c r="B72" s="200" t="s">
        <v>56</v>
      </c>
      <c r="C72" s="201" t="s">
        <v>35</v>
      </c>
      <c r="D72" s="202">
        <v>221</v>
      </c>
      <c r="E72" s="196">
        <v>221.04</v>
      </c>
      <c r="F72" s="243">
        <v>29.6</v>
      </c>
      <c r="G72" s="197"/>
      <c r="H72" s="197"/>
      <c r="I72" s="197">
        <v>677</v>
      </c>
      <c r="J72" s="197">
        <f t="shared" si="3"/>
        <v>3.414634146341463E-08</v>
      </c>
      <c r="K72" s="197">
        <v>1.4E-06</v>
      </c>
      <c r="L72" s="194">
        <v>1</v>
      </c>
      <c r="M72" s="240">
        <v>0.05</v>
      </c>
      <c r="N72" s="241"/>
      <c r="O72" s="241"/>
      <c r="P72" s="241">
        <v>0.01</v>
      </c>
      <c r="Q72" s="242"/>
      <c r="R72" s="163"/>
    </row>
    <row r="73" spans="1:18" ht="11.25" customHeight="1">
      <c r="A73" s="185" t="s">
        <v>108</v>
      </c>
      <c r="B73" s="200" t="s">
        <v>51</v>
      </c>
      <c r="C73" s="201" t="s">
        <v>54</v>
      </c>
      <c r="D73" s="202">
        <v>113</v>
      </c>
      <c r="E73" s="196">
        <v>112.99</v>
      </c>
      <c r="F73" s="243">
        <v>60.7</v>
      </c>
      <c r="G73" s="197">
        <v>0.081</v>
      </c>
      <c r="H73" s="197">
        <v>9.5E-06</v>
      </c>
      <c r="I73" s="197">
        <v>2800</v>
      </c>
      <c r="J73" s="197">
        <f t="shared" si="3"/>
        <v>0.002926829268292683</v>
      </c>
      <c r="K73" s="197">
        <v>0.12</v>
      </c>
      <c r="L73" s="194">
        <v>1</v>
      </c>
      <c r="M73" s="240"/>
      <c r="N73" s="241">
        <v>0.036</v>
      </c>
      <c r="O73" s="241">
        <v>1E-05</v>
      </c>
      <c r="P73" s="246">
        <v>0.09</v>
      </c>
      <c r="Q73" s="242">
        <v>0.004</v>
      </c>
      <c r="R73" s="163"/>
    </row>
    <row r="74" spans="1:18" ht="11.25" customHeight="1">
      <c r="A74" s="185" t="s">
        <v>109</v>
      </c>
      <c r="B74" s="200" t="s">
        <v>51</v>
      </c>
      <c r="C74" s="201" t="s">
        <v>54</v>
      </c>
      <c r="D74" s="202">
        <v>111</v>
      </c>
      <c r="E74" s="196">
        <v>110.97</v>
      </c>
      <c r="F74" s="243">
        <v>72.2</v>
      </c>
      <c r="G74" s="197">
        <v>0.082</v>
      </c>
      <c r="H74" s="197">
        <v>9.6E-06</v>
      </c>
      <c r="I74" s="197">
        <v>2800</v>
      </c>
      <c r="J74" s="197">
        <f t="shared" si="3"/>
        <v>0.0036585365853658534</v>
      </c>
      <c r="K74" s="197">
        <v>0.15</v>
      </c>
      <c r="L74" s="194">
        <v>1</v>
      </c>
      <c r="M74" s="240"/>
      <c r="N74" s="241">
        <v>0.1</v>
      </c>
      <c r="O74" s="241">
        <v>4E-06</v>
      </c>
      <c r="P74" s="241">
        <v>0.03</v>
      </c>
      <c r="Q74" s="242">
        <v>0.02</v>
      </c>
      <c r="R74" s="163"/>
    </row>
    <row r="75" spans="1:18" ht="11.25" customHeight="1">
      <c r="A75" s="185" t="s">
        <v>110</v>
      </c>
      <c r="B75" s="200" t="s">
        <v>56</v>
      </c>
      <c r="C75" s="201" t="s">
        <v>35</v>
      </c>
      <c r="D75" s="202">
        <v>381</v>
      </c>
      <c r="E75" s="196">
        <v>380.91</v>
      </c>
      <c r="F75" s="243">
        <v>20090</v>
      </c>
      <c r="G75" s="197"/>
      <c r="H75" s="197"/>
      <c r="I75" s="197">
        <v>0.25</v>
      </c>
      <c r="J75" s="197">
        <f t="shared" si="3"/>
        <v>9.999999999999999E-06</v>
      </c>
      <c r="K75" s="197">
        <v>0.00041</v>
      </c>
      <c r="L75" s="194">
        <v>1</v>
      </c>
      <c r="M75" s="240">
        <v>0.1</v>
      </c>
      <c r="N75" s="241">
        <v>16</v>
      </c>
      <c r="O75" s="241">
        <v>0.0046</v>
      </c>
      <c r="P75" s="241">
        <v>5E-05</v>
      </c>
      <c r="Q75" s="242"/>
      <c r="R75" s="163"/>
    </row>
    <row r="76" spans="1:18" ht="11.25" customHeight="1">
      <c r="A76" s="185" t="s">
        <v>111</v>
      </c>
      <c r="B76" s="200" t="s">
        <v>56</v>
      </c>
      <c r="C76" s="201" t="s">
        <v>35</v>
      </c>
      <c r="D76" s="202">
        <v>222</v>
      </c>
      <c r="E76" s="196">
        <v>222.24</v>
      </c>
      <c r="F76" s="243">
        <v>105</v>
      </c>
      <c r="G76" s="197"/>
      <c r="H76" s="197"/>
      <c r="I76" s="197">
        <v>1080</v>
      </c>
      <c r="J76" s="197">
        <f t="shared" si="3"/>
        <v>6.097560975609757E-07</v>
      </c>
      <c r="K76" s="197">
        <v>2.5E-05</v>
      </c>
      <c r="L76" s="194">
        <v>1</v>
      </c>
      <c r="M76" s="240">
        <v>0.1</v>
      </c>
      <c r="N76" s="241"/>
      <c r="O76" s="241"/>
      <c r="P76" s="241">
        <v>0.8</v>
      </c>
      <c r="Q76" s="242"/>
      <c r="R76" s="163"/>
    </row>
    <row r="77" spans="1:18" ht="11.25" customHeight="1">
      <c r="A77" s="185" t="s">
        <v>112</v>
      </c>
      <c r="B77" s="200" t="s">
        <v>51</v>
      </c>
      <c r="C77" s="201" t="s">
        <v>35</v>
      </c>
      <c r="D77" s="202">
        <v>122</v>
      </c>
      <c r="E77" s="196">
        <v>122.17</v>
      </c>
      <c r="F77" s="243">
        <v>492</v>
      </c>
      <c r="G77" s="197">
        <v>0.062</v>
      </c>
      <c r="H77" s="197">
        <v>8.3E-06</v>
      </c>
      <c r="I77" s="197">
        <v>7870</v>
      </c>
      <c r="J77" s="197">
        <f t="shared" si="3"/>
        <v>9.512195121951219E-07</v>
      </c>
      <c r="K77" s="197">
        <v>3.9E-05</v>
      </c>
      <c r="L77" s="194">
        <v>1</v>
      </c>
      <c r="M77" s="240">
        <v>0.1</v>
      </c>
      <c r="N77" s="241"/>
      <c r="O77" s="241"/>
      <c r="P77" s="241">
        <v>0.02</v>
      </c>
      <c r="Q77" s="242">
        <f>P77*(70/20)</f>
        <v>0.07</v>
      </c>
      <c r="R77" s="163"/>
    </row>
    <row r="78" spans="1:18" ht="11.25" customHeight="1">
      <c r="A78" s="185" t="s">
        <v>113</v>
      </c>
      <c r="B78" s="200" t="s">
        <v>56</v>
      </c>
      <c r="C78" s="201" t="s">
        <v>35</v>
      </c>
      <c r="D78" s="202">
        <v>194</v>
      </c>
      <c r="E78" s="192">
        <f>D78</f>
        <v>194</v>
      </c>
      <c r="F78" s="193">
        <v>140</v>
      </c>
      <c r="G78" s="193"/>
      <c r="H78" s="193"/>
      <c r="I78" s="193">
        <v>5000</v>
      </c>
      <c r="J78" s="193">
        <v>1.05E-07</v>
      </c>
      <c r="K78" s="193">
        <f>IF(J78=0,"",(J78*41))</f>
        <v>4.305E-06</v>
      </c>
      <c r="L78" s="194">
        <v>1</v>
      </c>
      <c r="M78" s="248">
        <v>0.1</v>
      </c>
      <c r="N78" s="249"/>
      <c r="O78" s="249"/>
      <c r="P78" s="250">
        <v>10</v>
      </c>
      <c r="Q78" s="251"/>
      <c r="R78" s="163"/>
    </row>
    <row r="79" spans="1:18" ht="11.25" customHeight="1">
      <c r="A79" s="185" t="s">
        <v>197</v>
      </c>
      <c r="B79" s="200" t="s">
        <v>56</v>
      </c>
      <c r="C79" s="201" t="s">
        <v>35</v>
      </c>
      <c r="D79" s="202">
        <v>168</v>
      </c>
      <c r="E79" s="196">
        <v>168.11</v>
      </c>
      <c r="F79" s="243">
        <v>352</v>
      </c>
      <c r="G79" s="197"/>
      <c r="H79" s="197"/>
      <c r="I79" s="197">
        <v>533</v>
      </c>
      <c r="J79" s="197">
        <f aca="true" t="shared" si="4" ref="J79:J87">IF(K79&gt;0,(K79/41),K79)</f>
        <v>4.878048780487805E-08</v>
      </c>
      <c r="K79" s="197">
        <v>2E-06</v>
      </c>
      <c r="L79" s="194">
        <v>1</v>
      </c>
      <c r="M79" s="240">
        <v>0.1</v>
      </c>
      <c r="N79" s="241"/>
      <c r="O79" s="241"/>
      <c r="P79" s="241">
        <v>0.0001</v>
      </c>
      <c r="Q79" s="242"/>
      <c r="R79" s="163"/>
    </row>
    <row r="80" spans="1:18" ht="11.25" customHeight="1">
      <c r="A80" s="185" t="s">
        <v>114</v>
      </c>
      <c r="B80" s="200" t="s">
        <v>56</v>
      </c>
      <c r="C80" s="201" t="s">
        <v>35</v>
      </c>
      <c r="D80" s="202">
        <v>184</v>
      </c>
      <c r="E80" s="196">
        <v>184.11</v>
      </c>
      <c r="F80" s="243">
        <v>461</v>
      </c>
      <c r="G80" s="197"/>
      <c r="H80" s="197"/>
      <c r="I80" s="197">
        <v>2790</v>
      </c>
      <c r="J80" s="197">
        <f t="shared" si="4"/>
        <v>8.536585365853659E-08</v>
      </c>
      <c r="K80" s="197">
        <v>3.5E-06</v>
      </c>
      <c r="L80" s="194">
        <v>1</v>
      </c>
      <c r="M80" s="240">
        <v>0.1</v>
      </c>
      <c r="N80" s="241"/>
      <c r="O80" s="241"/>
      <c r="P80" s="241">
        <v>0.002</v>
      </c>
      <c r="Q80" s="242"/>
      <c r="R80" s="163"/>
    </row>
    <row r="81" spans="1:18" ht="11.25" customHeight="1">
      <c r="A81" s="185" t="s">
        <v>198</v>
      </c>
      <c r="B81" s="200" t="s">
        <v>56</v>
      </c>
      <c r="C81" s="201" t="s">
        <v>35</v>
      </c>
      <c r="D81" s="202">
        <v>182</v>
      </c>
      <c r="E81" s="196">
        <v>182.14</v>
      </c>
      <c r="F81" s="243">
        <v>587</v>
      </c>
      <c r="G81" s="197"/>
      <c r="H81" s="197"/>
      <c r="I81" s="197">
        <v>270</v>
      </c>
      <c r="J81" s="197">
        <f t="shared" si="4"/>
        <v>5.365853658536586E-08</v>
      </c>
      <c r="K81" s="197">
        <v>2.2E-06</v>
      </c>
      <c r="L81" s="194">
        <v>1</v>
      </c>
      <c r="M81" s="240">
        <v>0.1</v>
      </c>
      <c r="N81" s="246">
        <v>0.31</v>
      </c>
      <c r="O81" s="246">
        <v>8.9E-05</v>
      </c>
      <c r="P81" s="241">
        <v>0.002</v>
      </c>
      <c r="Q81" s="242"/>
      <c r="R81" s="163"/>
    </row>
    <row r="82" spans="1:18" ht="11.25" customHeight="1">
      <c r="A82" s="185" t="s">
        <v>199</v>
      </c>
      <c r="B82" s="200" t="s">
        <v>56</v>
      </c>
      <c r="C82" s="201" t="s">
        <v>35</v>
      </c>
      <c r="D82" s="202">
        <v>182</v>
      </c>
      <c r="E82" s="196">
        <v>182.14</v>
      </c>
      <c r="F82" s="243">
        <v>587</v>
      </c>
      <c r="G82" s="197">
        <v>0.037</v>
      </c>
      <c r="H82" s="197">
        <v>7.8E-06</v>
      </c>
      <c r="I82" s="197">
        <v>352.4</v>
      </c>
      <c r="J82" s="197">
        <f t="shared" si="4"/>
        <v>7.560975609756098E-07</v>
      </c>
      <c r="K82" s="197">
        <v>3.1E-05</v>
      </c>
      <c r="L82" s="194">
        <v>1</v>
      </c>
      <c r="M82" s="240">
        <v>0.1</v>
      </c>
      <c r="N82" s="241"/>
      <c r="O82" s="241"/>
      <c r="P82" s="241">
        <v>0.001</v>
      </c>
      <c r="Q82" s="242"/>
      <c r="R82" s="163"/>
    </row>
    <row r="83" spans="1:18" ht="11.25" customHeight="1">
      <c r="A83" s="185" t="s">
        <v>115</v>
      </c>
      <c r="B83" s="200" t="s">
        <v>56</v>
      </c>
      <c r="C83" s="201" t="s">
        <v>54</v>
      </c>
      <c r="D83" s="202">
        <v>88</v>
      </c>
      <c r="E83" s="196">
        <v>88.11</v>
      </c>
      <c r="F83" s="243">
        <v>2.6</v>
      </c>
      <c r="G83" s="197">
        <v>0.087</v>
      </c>
      <c r="H83" s="197">
        <v>1.1E-05</v>
      </c>
      <c r="I83" s="197">
        <v>1000000</v>
      </c>
      <c r="J83" s="197">
        <f t="shared" si="4"/>
        <v>4.8780487804878055E-06</v>
      </c>
      <c r="K83" s="197">
        <v>0.0002</v>
      </c>
      <c r="L83" s="194">
        <v>1</v>
      </c>
      <c r="M83" s="240">
        <v>0.1</v>
      </c>
      <c r="N83" s="246">
        <v>0.1</v>
      </c>
      <c r="O83" s="246">
        <v>7.7E-06</v>
      </c>
      <c r="P83" s="246">
        <v>0.03</v>
      </c>
      <c r="Q83" s="245">
        <v>3</v>
      </c>
      <c r="R83" s="163"/>
    </row>
    <row r="84" spans="1:18" ht="11.25" customHeight="1">
      <c r="A84" s="185" t="s">
        <v>279</v>
      </c>
      <c r="B84" s="200" t="s">
        <v>56</v>
      </c>
      <c r="C84" s="201" t="s">
        <v>35</v>
      </c>
      <c r="D84" s="202">
        <v>356</v>
      </c>
      <c r="E84" s="196">
        <v>356.42</v>
      </c>
      <c r="F84" s="243">
        <v>249100</v>
      </c>
      <c r="G84" s="197"/>
      <c r="H84" s="197"/>
      <c r="I84" s="197">
        <v>0.00012</v>
      </c>
      <c r="J84" s="197">
        <f t="shared" si="4"/>
        <v>2.1951219512195125E-06</v>
      </c>
      <c r="K84" s="197">
        <v>9E-05</v>
      </c>
      <c r="L84" s="194">
        <v>1</v>
      </c>
      <c r="M84" s="240">
        <v>0.03</v>
      </c>
      <c r="N84" s="241"/>
      <c r="O84" s="241"/>
      <c r="P84" s="246">
        <v>3.3E-09</v>
      </c>
      <c r="Q84" s="242"/>
      <c r="R84" s="163"/>
    </row>
    <row r="85" spans="1:18" ht="11.25" customHeight="1">
      <c r="A85" s="185" t="s">
        <v>200</v>
      </c>
      <c r="B85" s="200" t="s">
        <v>56</v>
      </c>
      <c r="C85" s="201" t="s">
        <v>35</v>
      </c>
      <c r="D85" s="202">
        <v>233</v>
      </c>
      <c r="E85" s="196">
        <v>233.1</v>
      </c>
      <c r="F85" s="243">
        <v>109</v>
      </c>
      <c r="G85" s="197"/>
      <c r="H85" s="197"/>
      <c r="I85" s="197">
        <v>42</v>
      </c>
      <c r="J85" s="197">
        <f t="shared" si="4"/>
        <v>5.121951219512195E-10</v>
      </c>
      <c r="K85" s="197">
        <v>2.1E-08</v>
      </c>
      <c r="L85" s="194">
        <v>1</v>
      </c>
      <c r="M85" s="240">
        <v>0.1</v>
      </c>
      <c r="N85" s="241"/>
      <c r="O85" s="241"/>
      <c r="P85" s="241">
        <v>0.002</v>
      </c>
      <c r="Q85" s="242"/>
      <c r="R85" s="163"/>
    </row>
    <row r="86" spans="1:18" ht="11.25" customHeight="1">
      <c r="A86" s="185" t="s">
        <v>116</v>
      </c>
      <c r="B86" s="200" t="s">
        <v>56</v>
      </c>
      <c r="C86" s="201" t="s">
        <v>35</v>
      </c>
      <c r="D86" s="202">
        <v>407</v>
      </c>
      <c r="E86" s="196">
        <v>406.92</v>
      </c>
      <c r="F86" s="243">
        <v>6761</v>
      </c>
      <c r="G86" s="197"/>
      <c r="H86" s="197"/>
      <c r="I86" s="197">
        <v>0.45</v>
      </c>
      <c r="J86" s="197">
        <f t="shared" si="4"/>
        <v>6.585365853658536E-05</v>
      </c>
      <c r="K86" s="197">
        <v>0.0027</v>
      </c>
      <c r="L86" s="194">
        <v>1</v>
      </c>
      <c r="M86" s="240">
        <v>0.1</v>
      </c>
      <c r="N86" s="241"/>
      <c r="O86" s="241"/>
      <c r="P86" s="241">
        <v>0.006</v>
      </c>
      <c r="Q86" s="242"/>
      <c r="R86" s="163"/>
    </row>
    <row r="87" spans="1:18" ht="11.25" customHeight="1">
      <c r="A87" s="185" t="s">
        <v>117</v>
      </c>
      <c r="B87" s="200" t="s">
        <v>56</v>
      </c>
      <c r="C87" s="201" t="s">
        <v>35</v>
      </c>
      <c r="D87" s="202">
        <v>381</v>
      </c>
      <c r="E87" s="196">
        <v>380.91</v>
      </c>
      <c r="F87" s="243">
        <v>20090</v>
      </c>
      <c r="G87" s="197"/>
      <c r="H87" s="197"/>
      <c r="I87" s="197">
        <v>0.25</v>
      </c>
      <c r="J87" s="197">
        <f t="shared" si="4"/>
        <v>6.3414634146341454E-06</v>
      </c>
      <c r="K87" s="197">
        <v>0.00026</v>
      </c>
      <c r="L87" s="194">
        <v>1</v>
      </c>
      <c r="M87" s="240">
        <v>0.1</v>
      </c>
      <c r="N87" s="241"/>
      <c r="O87" s="241"/>
      <c r="P87" s="241">
        <v>0.0003</v>
      </c>
      <c r="Q87" s="242"/>
      <c r="R87" s="163"/>
    </row>
    <row r="88" spans="1:18" ht="11.25" customHeight="1">
      <c r="A88" s="185" t="s">
        <v>179</v>
      </c>
      <c r="B88" s="200" t="s">
        <v>56</v>
      </c>
      <c r="C88" s="201" t="s">
        <v>54</v>
      </c>
      <c r="D88" s="202">
        <v>46</v>
      </c>
      <c r="E88" s="192">
        <f>D88</f>
        <v>46</v>
      </c>
      <c r="F88" s="193">
        <f>0.63*10^(-0.31)</f>
        <v>0.3085606562021211</v>
      </c>
      <c r="G88" s="193"/>
      <c r="H88" s="193"/>
      <c r="I88" s="193">
        <v>1000000</v>
      </c>
      <c r="J88" s="193">
        <v>6.29E-06</v>
      </c>
      <c r="K88" s="193">
        <f>IF(J88=0,"",(J88*41))</f>
        <v>0.00025789</v>
      </c>
      <c r="L88" s="194">
        <v>1</v>
      </c>
      <c r="M88" s="248"/>
      <c r="N88" s="250"/>
      <c r="O88" s="250"/>
      <c r="P88" s="250"/>
      <c r="Q88" s="251"/>
      <c r="R88" s="163"/>
    </row>
    <row r="89" spans="1:18" ht="11.25" customHeight="1">
      <c r="A89" s="185" t="s">
        <v>118</v>
      </c>
      <c r="B89" s="200" t="s">
        <v>51</v>
      </c>
      <c r="C89" s="201" t="s">
        <v>54</v>
      </c>
      <c r="D89" s="202">
        <v>106</v>
      </c>
      <c r="E89" s="196">
        <v>106.17</v>
      </c>
      <c r="F89" s="243">
        <v>446</v>
      </c>
      <c r="G89" s="197">
        <v>0.068</v>
      </c>
      <c r="H89" s="197">
        <v>8.5E-06</v>
      </c>
      <c r="I89" s="197">
        <v>169</v>
      </c>
      <c r="J89" s="197">
        <f aca="true" t="shared" si="5" ref="J89:J101">IF(K89&gt;0,(K89/41),K89)</f>
        <v>0.007804878048780488</v>
      </c>
      <c r="K89" s="197">
        <v>0.32</v>
      </c>
      <c r="L89" s="194">
        <v>1</v>
      </c>
      <c r="M89" s="240"/>
      <c r="N89" s="241">
        <v>0.011</v>
      </c>
      <c r="O89" s="241">
        <v>2.5E-06</v>
      </c>
      <c r="P89" s="241">
        <v>0.1</v>
      </c>
      <c r="Q89" s="242">
        <v>1</v>
      </c>
      <c r="R89" s="163"/>
    </row>
    <row r="90" spans="1:18" ht="11.25" customHeight="1">
      <c r="A90" s="185" t="s">
        <v>119</v>
      </c>
      <c r="B90" s="200" t="s">
        <v>56</v>
      </c>
      <c r="C90" s="201" t="s">
        <v>35</v>
      </c>
      <c r="D90" s="202">
        <v>202</v>
      </c>
      <c r="E90" s="196">
        <v>202.26</v>
      </c>
      <c r="F90" s="243">
        <v>55450</v>
      </c>
      <c r="G90" s="197"/>
      <c r="H90" s="197"/>
      <c r="I90" s="197">
        <v>0.26</v>
      </c>
      <c r="J90" s="197">
        <f t="shared" si="5"/>
        <v>8.78048780487805E-06</v>
      </c>
      <c r="K90" s="197">
        <v>0.00036</v>
      </c>
      <c r="L90" s="194">
        <v>1</v>
      </c>
      <c r="M90" s="240">
        <v>0.13</v>
      </c>
      <c r="N90" s="241"/>
      <c r="O90" s="241"/>
      <c r="P90" s="241">
        <v>0.04</v>
      </c>
      <c r="Q90" s="242"/>
      <c r="R90" s="163"/>
    </row>
    <row r="91" spans="1:18" ht="11.25" customHeight="1">
      <c r="A91" s="185" t="s">
        <v>120</v>
      </c>
      <c r="B91" s="200" t="s">
        <v>51</v>
      </c>
      <c r="C91" s="201" t="s">
        <v>35</v>
      </c>
      <c r="D91" s="202">
        <v>166</v>
      </c>
      <c r="E91" s="196">
        <v>166.22</v>
      </c>
      <c r="F91" s="243">
        <v>9160</v>
      </c>
      <c r="G91" s="197">
        <v>0.044</v>
      </c>
      <c r="H91" s="197">
        <v>7.9E-06</v>
      </c>
      <c r="I91" s="197">
        <v>1.89</v>
      </c>
      <c r="J91" s="197">
        <f t="shared" si="5"/>
        <v>9.512195121951219E-05</v>
      </c>
      <c r="K91" s="197">
        <v>0.0039</v>
      </c>
      <c r="L91" s="194">
        <v>1</v>
      </c>
      <c r="M91" s="240">
        <v>0.13</v>
      </c>
      <c r="N91" s="241"/>
      <c r="O91" s="241"/>
      <c r="P91" s="241">
        <v>0.04</v>
      </c>
      <c r="Q91" s="242">
        <f>P91*(70/20)</f>
        <v>0.14</v>
      </c>
      <c r="R91" s="163"/>
    </row>
    <row r="92" spans="1:18" ht="11.25" customHeight="1">
      <c r="A92" s="185" t="s">
        <v>201</v>
      </c>
      <c r="B92" s="200" t="s">
        <v>56</v>
      </c>
      <c r="C92" s="201" t="s">
        <v>35</v>
      </c>
      <c r="D92" s="202">
        <v>169</v>
      </c>
      <c r="E92" s="196">
        <v>169.07</v>
      </c>
      <c r="F92" s="243">
        <v>1</v>
      </c>
      <c r="G92" s="197"/>
      <c r="H92" s="197"/>
      <c r="I92" s="197">
        <v>12000</v>
      </c>
      <c r="J92" s="197">
        <f t="shared" si="5"/>
        <v>4.1463414634146337E-19</v>
      </c>
      <c r="K92" s="197">
        <v>1.7E-17</v>
      </c>
      <c r="L92" s="194">
        <v>1</v>
      </c>
      <c r="M92" s="240">
        <v>0.1</v>
      </c>
      <c r="N92" s="241"/>
      <c r="O92" s="241"/>
      <c r="P92" s="241">
        <v>0.1</v>
      </c>
      <c r="Q92" s="242"/>
      <c r="R92" s="163"/>
    </row>
    <row r="93" spans="1:18" ht="11.25" customHeight="1">
      <c r="A93" s="185" t="s">
        <v>121</v>
      </c>
      <c r="B93" s="200" t="s">
        <v>56</v>
      </c>
      <c r="C93" s="201" t="s">
        <v>35</v>
      </c>
      <c r="D93" s="202">
        <v>373</v>
      </c>
      <c r="E93" s="196">
        <v>373.32</v>
      </c>
      <c r="F93" s="243">
        <v>41260</v>
      </c>
      <c r="G93" s="197"/>
      <c r="H93" s="197"/>
      <c r="I93" s="197">
        <v>0.18</v>
      </c>
      <c r="J93" s="197">
        <f t="shared" si="5"/>
        <v>0.0002926829268292683</v>
      </c>
      <c r="K93" s="197">
        <v>0.012</v>
      </c>
      <c r="L93" s="194">
        <v>1</v>
      </c>
      <c r="M93" s="240">
        <v>0.1</v>
      </c>
      <c r="N93" s="241">
        <v>4.5</v>
      </c>
      <c r="O93" s="241">
        <v>0.0013</v>
      </c>
      <c r="P93" s="241">
        <v>0.0005</v>
      </c>
      <c r="Q93" s="242"/>
      <c r="R93" s="163"/>
    </row>
    <row r="94" spans="1:18" ht="11.25" customHeight="1">
      <c r="A94" s="185" t="s">
        <v>122</v>
      </c>
      <c r="B94" s="200" t="s">
        <v>56</v>
      </c>
      <c r="C94" s="201" t="s">
        <v>35</v>
      </c>
      <c r="D94" s="202">
        <v>389</v>
      </c>
      <c r="E94" s="196">
        <v>389.32</v>
      </c>
      <c r="F94" s="243">
        <v>10110</v>
      </c>
      <c r="G94" s="197"/>
      <c r="H94" s="197"/>
      <c r="I94" s="197">
        <v>0.2</v>
      </c>
      <c r="J94" s="197">
        <f t="shared" si="5"/>
        <v>2.097560975609756E-05</v>
      </c>
      <c r="K94" s="197">
        <v>0.00086</v>
      </c>
      <c r="L94" s="194">
        <v>1</v>
      </c>
      <c r="M94" s="240">
        <v>0.1</v>
      </c>
      <c r="N94" s="241">
        <v>9.1</v>
      </c>
      <c r="O94" s="241">
        <v>0.0026</v>
      </c>
      <c r="P94" s="241">
        <v>1.3E-05</v>
      </c>
      <c r="Q94" s="242"/>
      <c r="R94" s="163"/>
    </row>
    <row r="95" spans="1:18" ht="11.25" customHeight="1">
      <c r="A95" s="185" t="s">
        <v>123</v>
      </c>
      <c r="B95" s="200" t="s">
        <v>56</v>
      </c>
      <c r="C95" s="201" t="s">
        <v>35</v>
      </c>
      <c r="D95" s="202">
        <v>285</v>
      </c>
      <c r="E95" s="196">
        <v>284.78</v>
      </c>
      <c r="F95" s="243">
        <v>6195</v>
      </c>
      <c r="G95" s="197"/>
      <c r="H95" s="197"/>
      <c r="I95" s="197">
        <v>0.0062</v>
      </c>
      <c r="J95" s="197">
        <f t="shared" si="5"/>
        <v>0.001707317073170732</v>
      </c>
      <c r="K95" s="197">
        <v>0.07</v>
      </c>
      <c r="L95" s="194">
        <v>1</v>
      </c>
      <c r="M95" s="240">
        <v>0.1</v>
      </c>
      <c r="N95" s="241">
        <v>1.6</v>
      </c>
      <c r="O95" s="241">
        <v>0.00046</v>
      </c>
      <c r="P95" s="241">
        <v>0.0008</v>
      </c>
      <c r="Q95" s="242"/>
      <c r="R95" s="163"/>
    </row>
    <row r="96" spans="1:18" ht="11.25" customHeight="1">
      <c r="A96" s="185" t="s">
        <v>124</v>
      </c>
      <c r="B96" s="200" t="s">
        <v>56</v>
      </c>
      <c r="C96" s="201" t="s">
        <v>35</v>
      </c>
      <c r="D96" s="202">
        <v>261</v>
      </c>
      <c r="E96" s="196">
        <v>260.76</v>
      </c>
      <c r="F96" s="243">
        <v>845</v>
      </c>
      <c r="G96" s="197"/>
      <c r="H96" s="197"/>
      <c r="I96" s="197">
        <v>3.2</v>
      </c>
      <c r="J96" s="197">
        <f t="shared" si="5"/>
        <v>0.01024390243902439</v>
      </c>
      <c r="K96" s="197">
        <v>0.42</v>
      </c>
      <c r="L96" s="194">
        <v>1</v>
      </c>
      <c r="M96" s="240">
        <v>0.1</v>
      </c>
      <c r="N96" s="241">
        <v>0.078</v>
      </c>
      <c r="O96" s="241">
        <v>2.2E-05</v>
      </c>
      <c r="P96" s="241">
        <v>0.001</v>
      </c>
      <c r="Q96" s="242"/>
      <c r="R96" s="163"/>
    </row>
    <row r="97" spans="1:18" ht="11.25" customHeight="1">
      <c r="A97" s="185" t="s">
        <v>125</v>
      </c>
      <c r="B97" s="200" t="s">
        <v>56</v>
      </c>
      <c r="C97" s="201" t="s">
        <v>35</v>
      </c>
      <c r="D97" s="202">
        <v>291</v>
      </c>
      <c r="E97" s="196">
        <v>290.83</v>
      </c>
      <c r="F97" s="243">
        <v>2807</v>
      </c>
      <c r="G97" s="197"/>
      <c r="H97" s="197"/>
      <c r="I97" s="197">
        <v>8</v>
      </c>
      <c r="J97" s="197">
        <f t="shared" si="5"/>
        <v>5.121951219512195E-06</v>
      </c>
      <c r="K97" s="197">
        <v>0.00021</v>
      </c>
      <c r="L97" s="194">
        <v>1</v>
      </c>
      <c r="M97" s="240">
        <v>0.04</v>
      </c>
      <c r="N97" s="241">
        <v>1.1</v>
      </c>
      <c r="O97" s="241">
        <v>0.00031</v>
      </c>
      <c r="P97" s="241">
        <v>0.0003</v>
      </c>
      <c r="Q97" s="242"/>
      <c r="R97" s="163"/>
    </row>
    <row r="98" spans="1:18" ht="11.25" customHeight="1">
      <c r="A98" s="185" t="s">
        <v>126</v>
      </c>
      <c r="B98" s="200" t="s">
        <v>56</v>
      </c>
      <c r="C98" s="201" t="s">
        <v>35</v>
      </c>
      <c r="D98" s="202">
        <v>237</v>
      </c>
      <c r="E98" s="196">
        <v>236.74</v>
      </c>
      <c r="F98" s="243">
        <v>197</v>
      </c>
      <c r="G98" s="197"/>
      <c r="H98" s="197"/>
      <c r="I98" s="197">
        <v>50</v>
      </c>
      <c r="J98" s="197">
        <f t="shared" si="5"/>
        <v>0.003902439024390244</v>
      </c>
      <c r="K98" s="197">
        <v>0.16</v>
      </c>
      <c r="L98" s="194">
        <v>1</v>
      </c>
      <c r="M98" s="240">
        <v>0.1</v>
      </c>
      <c r="N98" s="241">
        <v>0.014</v>
      </c>
      <c r="O98" s="241">
        <v>4E-06</v>
      </c>
      <c r="P98" s="241">
        <v>0.001</v>
      </c>
      <c r="Q98" s="242"/>
      <c r="R98" s="163"/>
    </row>
    <row r="99" spans="1:18" ht="11.25" customHeight="1">
      <c r="A99" s="185" t="s">
        <v>202</v>
      </c>
      <c r="B99" s="200" t="s">
        <v>56</v>
      </c>
      <c r="C99" s="201" t="s">
        <v>35</v>
      </c>
      <c r="D99" s="202">
        <v>252</v>
      </c>
      <c r="E99" s="196">
        <v>252.32</v>
      </c>
      <c r="F99" s="243">
        <v>129</v>
      </c>
      <c r="G99" s="197"/>
      <c r="H99" s="197"/>
      <c r="I99" s="197">
        <v>33000</v>
      </c>
      <c r="J99" s="197">
        <f t="shared" si="5"/>
        <v>2.2439024390243904E-12</v>
      </c>
      <c r="K99" s="197">
        <v>9.2E-11</v>
      </c>
      <c r="L99" s="194">
        <v>1</v>
      </c>
      <c r="M99" s="240">
        <v>0.1</v>
      </c>
      <c r="N99" s="241"/>
      <c r="O99" s="241"/>
      <c r="P99" s="241">
        <v>0.033</v>
      </c>
      <c r="Q99" s="242"/>
      <c r="R99" s="163"/>
    </row>
    <row r="100" spans="1:18" ht="11.25" customHeight="1">
      <c r="A100" s="185" t="s">
        <v>127</v>
      </c>
      <c r="B100" s="200" t="s">
        <v>56</v>
      </c>
      <c r="C100" s="201" t="s">
        <v>35</v>
      </c>
      <c r="D100" s="202">
        <v>276</v>
      </c>
      <c r="E100" s="196">
        <v>276.34</v>
      </c>
      <c r="F100" s="243">
        <v>1951000</v>
      </c>
      <c r="G100" s="197"/>
      <c r="H100" s="197"/>
      <c r="I100" s="197">
        <v>0.00019</v>
      </c>
      <c r="J100" s="197">
        <f t="shared" si="5"/>
        <v>3.4146341463414634E-07</v>
      </c>
      <c r="K100" s="197">
        <v>1.4E-05</v>
      </c>
      <c r="L100" s="194">
        <v>1</v>
      </c>
      <c r="M100" s="240">
        <v>0.13</v>
      </c>
      <c r="N100" s="241">
        <v>0.73</v>
      </c>
      <c r="O100" s="241">
        <v>0.00011</v>
      </c>
      <c r="P100" s="241"/>
      <c r="Q100" s="242"/>
      <c r="R100" s="163"/>
    </row>
    <row r="101" spans="1:18" ht="11.25" customHeight="1">
      <c r="A101" s="185" t="s">
        <v>203</v>
      </c>
      <c r="B101" s="200" t="s">
        <v>56</v>
      </c>
      <c r="C101" s="201" t="s">
        <v>54</v>
      </c>
      <c r="D101" s="202">
        <v>138</v>
      </c>
      <c r="E101" s="196">
        <v>138.21</v>
      </c>
      <c r="F101" s="243">
        <v>65.2</v>
      </c>
      <c r="G101" s="197">
        <v>0.053</v>
      </c>
      <c r="H101" s="197">
        <v>7.5E-06</v>
      </c>
      <c r="I101" s="197">
        <v>12000</v>
      </c>
      <c r="J101" s="197">
        <f t="shared" si="5"/>
        <v>6.585365853658537E-06</v>
      </c>
      <c r="K101" s="197">
        <v>0.00027</v>
      </c>
      <c r="L101" s="194">
        <v>1</v>
      </c>
      <c r="M101" s="240">
        <v>0.1</v>
      </c>
      <c r="N101" s="241">
        <v>0.00095</v>
      </c>
      <c r="O101" s="241"/>
      <c r="P101" s="241">
        <v>0.2</v>
      </c>
      <c r="Q101" s="242">
        <v>2</v>
      </c>
      <c r="R101" s="163"/>
    </row>
    <row r="102" spans="1:18" ht="11.25" customHeight="1">
      <c r="A102" s="185" t="s">
        <v>128</v>
      </c>
      <c r="B102" s="200" t="s">
        <v>56</v>
      </c>
      <c r="C102" s="201" t="s">
        <v>35</v>
      </c>
      <c r="D102" s="202">
        <v>207</v>
      </c>
      <c r="E102" s="192">
        <f>D102</f>
        <v>207</v>
      </c>
      <c r="F102" s="193"/>
      <c r="G102" s="193"/>
      <c r="H102" s="193"/>
      <c r="I102" s="193"/>
      <c r="J102" s="193"/>
      <c r="K102" s="193"/>
      <c r="L102" s="194">
        <v>1</v>
      </c>
      <c r="M102" s="248"/>
      <c r="N102" s="249"/>
      <c r="O102" s="249"/>
      <c r="P102" s="250"/>
      <c r="Q102" s="251"/>
      <c r="R102" s="163"/>
    </row>
    <row r="103" spans="1:18" ht="11.25" customHeight="1">
      <c r="A103" s="185" t="s">
        <v>129</v>
      </c>
      <c r="B103" s="200" t="s">
        <v>51</v>
      </c>
      <c r="C103" s="201" t="s">
        <v>35</v>
      </c>
      <c r="D103" s="202">
        <v>201</v>
      </c>
      <c r="E103" s="196">
        <v>200.59</v>
      </c>
      <c r="F103" s="197"/>
      <c r="G103" s="197"/>
      <c r="H103" s="197"/>
      <c r="I103" s="197">
        <v>0.06</v>
      </c>
      <c r="J103" s="197"/>
      <c r="K103" s="197"/>
      <c r="L103" s="195">
        <v>0.07</v>
      </c>
      <c r="M103" s="240"/>
      <c r="N103" s="241"/>
      <c r="O103" s="241"/>
      <c r="P103" s="241">
        <v>0.0003</v>
      </c>
      <c r="Q103" s="245">
        <v>3E-05</v>
      </c>
      <c r="R103" s="163"/>
    </row>
    <row r="104" spans="1:18" ht="11.25" customHeight="1">
      <c r="A104" s="185" t="s">
        <v>130</v>
      </c>
      <c r="B104" s="200" t="s">
        <v>56</v>
      </c>
      <c r="C104" s="201" t="s">
        <v>35</v>
      </c>
      <c r="D104" s="202">
        <v>346</v>
      </c>
      <c r="E104" s="196">
        <v>345.66</v>
      </c>
      <c r="F104" s="243">
        <v>26890</v>
      </c>
      <c r="G104" s="197"/>
      <c r="H104" s="197"/>
      <c r="I104" s="197">
        <v>0.1</v>
      </c>
      <c r="J104" s="197">
        <f>IF(K104&gt;0,(K104/41),K104)</f>
        <v>2.0243902439024392E-07</v>
      </c>
      <c r="K104" s="197">
        <v>8.3E-06</v>
      </c>
      <c r="L104" s="194">
        <v>1</v>
      </c>
      <c r="M104" s="240">
        <v>0.1</v>
      </c>
      <c r="N104" s="241"/>
      <c r="O104" s="241"/>
      <c r="P104" s="241">
        <v>0.005</v>
      </c>
      <c r="Q104" s="242"/>
      <c r="R104" s="163"/>
    </row>
    <row r="105" spans="1:18" ht="11.25" customHeight="1">
      <c r="A105" s="185" t="s">
        <v>131</v>
      </c>
      <c r="B105" s="200" t="s">
        <v>51</v>
      </c>
      <c r="C105" s="201" t="s">
        <v>54</v>
      </c>
      <c r="D105" s="202">
        <v>72</v>
      </c>
      <c r="E105" s="196">
        <v>72.11</v>
      </c>
      <c r="F105" s="243">
        <v>4.51</v>
      </c>
      <c r="G105" s="197">
        <v>0.091</v>
      </c>
      <c r="H105" s="197">
        <v>1E-05</v>
      </c>
      <c r="I105" s="197">
        <v>223000</v>
      </c>
      <c r="J105" s="197">
        <f>IF(K105&gt;0,(K105/41),K105)</f>
        <v>5.609756097560976E-05</v>
      </c>
      <c r="K105" s="197">
        <v>0.0023</v>
      </c>
      <c r="L105" s="194">
        <v>1</v>
      </c>
      <c r="M105" s="240"/>
      <c r="N105" s="241"/>
      <c r="O105" s="241"/>
      <c r="P105" s="241">
        <v>0.6</v>
      </c>
      <c r="Q105" s="242">
        <v>5</v>
      </c>
      <c r="R105" s="163"/>
    </row>
    <row r="106" spans="1:17" ht="11.25" customHeight="1">
      <c r="A106" s="185" t="s">
        <v>132</v>
      </c>
      <c r="B106" s="200" t="s">
        <v>51</v>
      </c>
      <c r="C106" s="201" t="s">
        <v>54</v>
      </c>
      <c r="D106" s="202">
        <v>100</v>
      </c>
      <c r="E106" s="196">
        <v>100.16</v>
      </c>
      <c r="F106" s="243">
        <v>12.6</v>
      </c>
      <c r="G106" s="197">
        <v>0.07</v>
      </c>
      <c r="H106" s="197">
        <v>8.3E-06</v>
      </c>
      <c r="I106" s="197">
        <v>19000</v>
      </c>
      <c r="J106" s="197">
        <f>IF(K106&gt;0,(K106/41),K106)</f>
        <v>0.00013658536585365853</v>
      </c>
      <c r="K106" s="197">
        <v>0.0056</v>
      </c>
      <c r="L106" s="194">
        <v>1</v>
      </c>
      <c r="M106" s="240"/>
      <c r="N106" s="241"/>
      <c r="O106" s="241"/>
      <c r="P106" s="241">
        <v>0.08</v>
      </c>
      <c r="Q106" s="242">
        <v>3</v>
      </c>
    </row>
    <row r="107" spans="1:18" ht="11.25" customHeight="1">
      <c r="A107" s="185" t="s">
        <v>133</v>
      </c>
      <c r="B107" s="200" t="s">
        <v>56</v>
      </c>
      <c r="C107" s="201" t="s">
        <v>35</v>
      </c>
      <c r="D107" s="202">
        <v>216</v>
      </c>
      <c r="E107" s="196">
        <v>215.63</v>
      </c>
      <c r="F107" s="197"/>
      <c r="G107" s="197"/>
      <c r="H107" s="197"/>
      <c r="I107" s="197"/>
      <c r="J107" s="197"/>
      <c r="K107" s="197"/>
      <c r="L107" s="194">
        <v>1</v>
      </c>
      <c r="M107" s="240"/>
      <c r="N107" s="241"/>
      <c r="O107" s="241"/>
      <c r="P107" s="241">
        <v>0.0001</v>
      </c>
      <c r="Q107" s="242"/>
      <c r="R107" s="163"/>
    </row>
    <row r="108" spans="1:18" ht="11.25" customHeight="1">
      <c r="A108" s="185" t="s">
        <v>134</v>
      </c>
      <c r="B108" s="200" t="s">
        <v>51</v>
      </c>
      <c r="C108" s="201" t="s">
        <v>54</v>
      </c>
      <c r="D108" s="202">
        <v>88</v>
      </c>
      <c r="E108" s="196">
        <v>88.15</v>
      </c>
      <c r="F108" s="243">
        <v>11.6</v>
      </c>
      <c r="G108" s="197">
        <v>0.075</v>
      </c>
      <c r="H108" s="197">
        <v>8.6E-06</v>
      </c>
      <c r="I108" s="197">
        <v>51000</v>
      </c>
      <c r="J108" s="197">
        <f>IF(K108&gt;0,(K108/41),K108)</f>
        <v>0.0005853658536585366</v>
      </c>
      <c r="K108" s="197">
        <v>0.024</v>
      </c>
      <c r="L108" s="194">
        <v>1</v>
      </c>
      <c r="M108" s="240"/>
      <c r="N108" s="241">
        <v>0.0018</v>
      </c>
      <c r="O108" s="241">
        <v>2.6E-07</v>
      </c>
      <c r="P108" s="241"/>
      <c r="Q108" s="242">
        <v>3</v>
      </c>
      <c r="R108" s="163"/>
    </row>
    <row r="109" spans="1:18" ht="11.25" customHeight="1">
      <c r="A109" s="185" t="s">
        <v>135</v>
      </c>
      <c r="B109" s="200" t="s">
        <v>51</v>
      </c>
      <c r="C109" s="201" t="s">
        <v>54</v>
      </c>
      <c r="D109" s="202">
        <v>85</v>
      </c>
      <c r="E109" s="196">
        <v>84.93</v>
      </c>
      <c r="F109" s="243">
        <v>21.7</v>
      </c>
      <c r="G109" s="197">
        <v>0.1</v>
      </c>
      <c r="H109" s="197">
        <v>1.3E-05</v>
      </c>
      <c r="I109" s="197">
        <v>13000</v>
      </c>
      <c r="J109" s="197">
        <f>IF(K109&gt;0,(K109/41),K109)</f>
        <v>0.0031707317073170734</v>
      </c>
      <c r="K109" s="197">
        <v>0.13</v>
      </c>
      <c r="L109" s="194">
        <v>1</v>
      </c>
      <c r="M109" s="240"/>
      <c r="N109" s="241">
        <v>0.0075</v>
      </c>
      <c r="O109" s="241">
        <v>4.7E-07</v>
      </c>
      <c r="P109" s="241">
        <v>0.06</v>
      </c>
      <c r="Q109" s="242">
        <v>1.1</v>
      </c>
      <c r="R109" s="163"/>
    </row>
    <row r="110" spans="1:18" ht="11.25" customHeight="1">
      <c r="A110" s="185" t="s">
        <v>314</v>
      </c>
      <c r="B110" s="200" t="s">
        <v>51</v>
      </c>
      <c r="C110" s="201" t="s">
        <v>35</v>
      </c>
      <c r="D110" s="202">
        <v>142</v>
      </c>
      <c r="E110" s="196">
        <v>142.2</v>
      </c>
      <c r="F110" s="243">
        <v>2258</v>
      </c>
      <c r="G110" s="197">
        <v>0.053</v>
      </c>
      <c r="H110" s="197">
        <v>7.8E-06</v>
      </c>
      <c r="I110" s="197">
        <v>25</v>
      </c>
      <c r="J110" s="197">
        <f>IF(K110&gt;0,(K110/41),K110)</f>
        <v>0.0005121951219512195</v>
      </c>
      <c r="K110" s="197">
        <v>0.021</v>
      </c>
      <c r="L110" s="194">
        <v>1</v>
      </c>
      <c r="M110" s="240"/>
      <c r="N110" s="241">
        <v>0.029</v>
      </c>
      <c r="O110" s="241">
        <f>N110*(20*(1/70)*(1/1000))</f>
        <v>8.285714285714285E-06</v>
      </c>
      <c r="P110" s="246">
        <v>0.07</v>
      </c>
      <c r="Q110" s="245">
        <f>P110*(70/20)</f>
        <v>0.24500000000000002</v>
      </c>
      <c r="R110" s="163"/>
    </row>
    <row r="111" spans="1:18" ht="11.25" customHeight="1">
      <c r="A111" s="185" t="s">
        <v>315</v>
      </c>
      <c r="B111" s="200" t="s">
        <v>51</v>
      </c>
      <c r="C111" s="201" t="s">
        <v>35</v>
      </c>
      <c r="D111" s="202">
        <v>142</v>
      </c>
      <c r="E111" s="196">
        <v>142.2</v>
      </c>
      <c r="F111" s="243">
        <v>2478</v>
      </c>
      <c r="G111" s="197">
        <v>0.052</v>
      </c>
      <c r="H111" s="197">
        <v>7.8E-06</v>
      </c>
      <c r="I111" s="197">
        <v>25</v>
      </c>
      <c r="J111" s="197">
        <f>IF(K111&gt;0,(K111/41),K111)</f>
        <v>0.0005121951219512195</v>
      </c>
      <c r="K111" s="197">
        <v>0.021</v>
      </c>
      <c r="L111" s="194">
        <v>1</v>
      </c>
      <c r="M111" s="240"/>
      <c r="N111" s="241"/>
      <c r="O111" s="241"/>
      <c r="P111" s="241">
        <v>0.004</v>
      </c>
      <c r="Q111" s="242">
        <f>P111*(70/20)</f>
        <v>0.014</v>
      </c>
      <c r="R111" s="163"/>
    </row>
    <row r="112" spans="1:18" ht="11.25" customHeight="1">
      <c r="A112" s="185" t="s">
        <v>136</v>
      </c>
      <c r="B112" s="200" t="s">
        <v>56</v>
      </c>
      <c r="C112" s="201" t="s">
        <v>35</v>
      </c>
      <c r="D112" s="202">
        <v>96</v>
      </c>
      <c r="E112" s="196">
        <v>95.94</v>
      </c>
      <c r="F112" s="197"/>
      <c r="G112" s="197"/>
      <c r="H112" s="197"/>
      <c r="I112" s="197"/>
      <c r="J112" s="197"/>
      <c r="K112" s="197"/>
      <c r="L112" s="194">
        <v>1</v>
      </c>
      <c r="M112" s="240"/>
      <c r="N112" s="241"/>
      <c r="O112" s="241"/>
      <c r="P112" s="241">
        <v>0.005</v>
      </c>
      <c r="Q112" s="242"/>
      <c r="R112" s="163"/>
    </row>
    <row r="113" spans="1:18" ht="11.25" customHeight="1">
      <c r="A113" s="185" t="s">
        <v>137</v>
      </c>
      <c r="B113" s="200" t="s">
        <v>51</v>
      </c>
      <c r="C113" s="201" t="s">
        <v>35</v>
      </c>
      <c r="D113" s="202">
        <v>128</v>
      </c>
      <c r="E113" s="196">
        <v>128.18</v>
      </c>
      <c r="F113" s="243">
        <v>1544</v>
      </c>
      <c r="G113" s="197">
        <v>0.06</v>
      </c>
      <c r="H113" s="197">
        <v>8.4E-06</v>
      </c>
      <c r="I113" s="197">
        <v>31</v>
      </c>
      <c r="J113" s="197">
        <f>IF(K113&gt;0,(K113/41),K113)</f>
        <v>0.0004390243902439024</v>
      </c>
      <c r="K113" s="197">
        <v>0.018</v>
      </c>
      <c r="L113" s="194">
        <v>1</v>
      </c>
      <c r="M113" s="240">
        <v>0.13</v>
      </c>
      <c r="N113" s="241"/>
      <c r="O113" s="241">
        <v>3.4E-05</v>
      </c>
      <c r="P113" s="241">
        <v>0.02</v>
      </c>
      <c r="Q113" s="242">
        <v>0.003</v>
      </c>
      <c r="R113" s="163"/>
    </row>
    <row r="114" spans="1:18" ht="11.25" customHeight="1">
      <c r="A114" s="185" t="s">
        <v>138</v>
      </c>
      <c r="B114" s="200" t="s">
        <v>56</v>
      </c>
      <c r="C114" s="201" t="s">
        <v>35</v>
      </c>
      <c r="D114" s="202">
        <v>59</v>
      </c>
      <c r="E114" s="196">
        <v>58.69</v>
      </c>
      <c r="F114" s="197"/>
      <c r="G114" s="197"/>
      <c r="H114" s="197"/>
      <c r="I114" s="197"/>
      <c r="J114" s="197"/>
      <c r="K114" s="197"/>
      <c r="L114" s="195">
        <v>0.04</v>
      </c>
      <c r="M114" s="240"/>
      <c r="N114" s="241"/>
      <c r="O114" s="241"/>
      <c r="P114" s="246">
        <v>0.05</v>
      </c>
      <c r="Q114" s="245">
        <v>0.0001</v>
      </c>
      <c r="R114" s="163"/>
    </row>
    <row r="115" spans="1:18" ht="11.25" customHeight="1">
      <c r="A115" s="185" t="s">
        <v>204</v>
      </c>
      <c r="B115" s="200" t="s">
        <v>51</v>
      </c>
      <c r="C115" s="201" t="s">
        <v>54</v>
      </c>
      <c r="D115" s="202">
        <v>123</v>
      </c>
      <c r="E115" s="196">
        <v>123.11</v>
      </c>
      <c r="F115" s="243">
        <v>226</v>
      </c>
      <c r="G115" s="197">
        <v>0.068</v>
      </c>
      <c r="H115" s="197">
        <v>9.4E-06</v>
      </c>
      <c r="I115" s="197">
        <v>2090</v>
      </c>
      <c r="J115" s="197">
        <f>IF(K115&gt;0,(K115/41),K115)</f>
        <v>2.3902439024390243E-05</v>
      </c>
      <c r="K115" s="197">
        <v>0.00098</v>
      </c>
      <c r="L115" s="194">
        <v>1</v>
      </c>
      <c r="M115" s="240"/>
      <c r="N115" s="241"/>
      <c r="O115" s="246">
        <v>4E-05</v>
      </c>
      <c r="P115" s="241">
        <v>0.0005</v>
      </c>
      <c r="Q115" s="245">
        <v>0.009</v>
      </c>
      <c r="R115" s="163"/>
    </row>
    <row r="116" spans="1:18" ht="11.25" customHeight="1">
      <c r="A116" s="185" t="s">
        <v>205</v>
      </c>
      <c r="B116" s="200" t="s">
        <v>56</v>
      </c>
      <c r="C116" s="201" t="s">
        <v>54</v>
      </c>
      <c r="D116" s="202">
        <v>227</v>
      </c>
      <c r="E116" s="196">
        <v>227.09</v>
      </c>
      <c r="F116" s="243">
        <v>116</v>
      </c>
      <c r="G116" s="197"/>
      <c r="H116" s="197"/>
      <c r="I116" s="197">
        <v>1380</v>
      </c>
      <c r="J116" s="197">
        <f>IF(K116&gt;0,(K116/41),K116)</f>
        <v>9.75609756097561E-08</v>
      </c>
      <c r="K116" s="197">
        <v>4E-06</v>
      </c>
      <c r="L116" s="194">
        <v>1</v>
      </c>
      <c r="M116" s="240">
        <v>0.1</v>
      </c>
      <c r="N116" s="241">
        <v>0.017</v>
      </c>
      <c r="O116" s="241"/>
      <c r="P116" s="241">
        <v>0.0001</v>
      </c>
      <c r="Q116" s="242"/>
      <c r="R116" s="163"/>
    </row>
    <row r="117" spans="1:18" ht="11.25" customHeight="1">
      <c r="A117" s="185" t="s">
        <v>206</v>
      </c>
      <c r="B117" s="200" t="s">
        <v>51</v>
      </c>
      <c r="C117" s="201" t="s">
        <v>35</v>
      </c>
      <c r="D117" s="202">
        <v>137</v>
      </c>
      <c r="E117" s="196">
        <v>137.14</v>
      </c>
      <c r="F117" s="243">
        <v>371</v>
      </c>
      <c r="G117" s="197">
        <v>0.059</v>
      </c>
      <c r="H117" s="197">
        <v>8.7E-06</v>
      </c>
      <c r="I117" s="197">
        <v>650</v>
      </c>
      <c r="J117" s="197">
        <f>IF(K117&gt;0,(K117/41),K117)</f>
        <v>1.2439024390243903E-05</v>
      </c>
      <c r="K117" s="197">
        <v>0.00051</v>
      </c>
      <c r="L117" s="194">
        <v>1</v>
      </c>
      <c r="M117" s="240"/>
      <c r="N117" s="241">
        <v>0.22</v>
      </c>
      <c r="O117" s="241">
        <f>N117*(20*(1/70)*(1/1000))</f>
        <v>6.285714285714285E-05</v>
      </c>
      <c r="P117" s="241">
        <v>0.0009</v>
      </c>
      <c r="Q117" s="242">
        <f>P117*(70/20)</f>
        <v>0.00315</v>
      </c>
      <c r="R117" s="163"/>
    </row>
    <row r="118" spans="1:18" ht="11.25" customHeight="1">
      <c r="A118" s="185" t="s">
        <v>207</v>
      </c>
      <c r="B118" s="200" t="s">
        <v>51</v>
      </c>
      <c r="C118" s="201" t="s">
        <v>35</v>
      </c>
      <c r="D118" s="202">
        <v>137</v>
      </c>
      <c r="E118" s="192">
        <v>137</v>
      </c>
      <c r="F118" s="254">
        <v>363</v>
      </c>
      <c r="G118" s="193">
        <v>0.076</v>
      </c>
      <c r="H118" s="193">
        <v>8.6E-06</v>
      </c>
      <c r="I118" s="193">
        <v>419</v>
      </c>
      <c r="J118" s="193">
        <v>2.39E-05</v>
      </c>
      <c r="K118" s="193">
        <f>IF(J118=0,"",(J118*41))</f>
        <v>0.0009799000000000001</v>
      </c>
      <c r="L118" s="194">
        <v>1</v>
      </c>
      <c r="M118" s="248"/>
      <c r="N118" s="249"/>
      <c r="O118" s="249"/>
      <c r="P118" s="250">
        <v>0.02</v>
      </c>
      <c r="Q118" s="242">
        <f>P118*(70/20)</f>
        <v>0.07</v>
      </c>
      <c r="R118" s="163"/>
    </row>
    <row r="119" spans="1:18" ht="11.25" customHeight="1">
      <c r="A119" s="185" t="s">
        <v>208</v>
      </c>
      <c r="B119" s="200" t="s">
        <v>56</v>
      </c>
      <c r="C119" s="201" t="s">
        <v>35</v>
      </c>
      <c r="D119" s="202">
        <v>137</v>
      </c>
      <c r="E119" s="196">
        <v>137.14</v>
      </c>
      <c r="F119" s="254">
        <v>363</v>
      </c>
      <c r="G119" s="197">
        <v>0.057</v>
      </c>
      <c r="H119" s="197">
        <v>8.4E-06</v>
      </c>
      <c r="I119" s="197">
        <v>442</v>
      </c>
      <c r="J119" s="197">
        <f>IF(K119&gt;0,(K119/41),K119)</f>
        <v>5.609756097560976E-06</v>
      </c>
      <c r="K119" s="197">
        <v>0.00023</v>
      </c>
      <c r="L119" s="194">
        <v>1</v>
      </c>
      <c r="M119" s="240">
        <v>0.1</v>
      </c>
      <c r="N119" s="241">
        <v>0.016</v>
      </c>
      <c r="O119" s="241">
        <f>N119*(20*(1/70)*(1/1000))</f>
        <v>4.571428571428571E-06</v>
      </c>
      <c r="P119" s="241">
        <v>0.004</v>
      </c>
      <c r="Q119" s="242">
        <f>P119*(70/20)</f>
        <v>0.014</v>
      </c>
      <c r="R119" s="163"/>
    </row>
    <row r="120" spans="1:18" ht="11.25" customHeight="1">
      <c r="A120" s="185" t="s">
        <v>139</v>
      </c>
      <c r="B120" s="200" t="s">
        <v>56</v>
      </c>
      <c r="C120" s="201" t="s">
        <v>35</v>
      </c>
      <c r="D120" s="202">
        <v>266</v>
      </c>
      <c r="E120" s="196">
        <v>266.34</v>
      </c>
      <c r="F120" s="243">
        <v>4959</v>
      </c>
      <c r="G120" s="197"/>
      <c r="H120" s="197"/>
      <c r="I120" s="197">
        <v>14</v>
      </c>
      <c r="J120" s="197">
        <f>IF(K120&gt;0,(K120/41),K120)</f>
        <v>2.4390243902439023E-08</v>
      </c>
      <c r="K120" s="197">
        <v>1E-06</v>
      </c>
      <c r="L120" s="194">
        <v>1</v>
      </c>
      <c r="M120" s="240">
        <v>0.25</v>
      </c>
      <c r="N120" s="241">
        <v>0.4</v>
      </c>
      <c r="O120" s="241">
        <v>5.1E-06</v>
      </c>
      <c r="P120" s="241">
        <v>0.005</v>
      </c>
      <c r="Q120" s="242"/>
      <c r="R120" s="163"/>
    </row>
    <row r="121" spans="1:18" ht="11.25" customHeight="1">
      <c r="A121" s="185" t="s">
        <v>209</v>
      </c>
      <c r="B121" s="200" t="s">
        <v>56</v>
      </c>
      <c r="C121" s="201" t="s">
        <v>35</v>
      </c>
      <c r="D121" s="202">
        <v>316</v>
      </c>
      <c r="E121" s="192">
        <v>316</v>
      </c>
      <c r="F121" s="193">
        <v>151</v>
      </c>
      <c r="G121" s="193"/>
      <c r="H121" s="193"/>
      <c r="I121" s="193">
        <v>43</v>
      </c>
      <c r="J121" s="193">
        <v>1.2E-11</v>
      </c>
      <c r="K121" s="193">
        <f>IF(J121=0,"",(J121*41))</f>
        <v>4.920000000000001E-10</v>
      </c>
      <c r="L121" s="194">
        <v>1</v>
      </c>
      <c r="M121" s="240">
        <v>0.1</v>
      </c>
      <c r="N121" s="241">
        <v>0.004</v>
      </c>
      <c r="O121" s="241"/>
      <c r="P121" s="241">
        <v>0.002</v>
      </c>
      <c r="Q121" s="242"/>
      <c r="R121" s="163"/>
    </row>
    <row r="122" spans="1:18" ht="11.25" customHeight="1">
      <c r="A122" s="185" t="s">
        <v>140</v>
      </c>
      <c r="B122" s="200" t="s">
        <v>56</v>
      </c>
      <c r="C122" s="201" t="s">
        <v>35</v>
      </c>
      <c r="D122" s="202">
        <v>117</v>
      </c>
      <c r="E122" s="196">
        <v>117.49</v>
      </c>
      <c r="F122" s="197"/>
      <c r="G122" s="197"/>
      <c r="H122" s="197"/>
      <c r="I122" s="197">
        <v>245000</v>
      </c>
      <c r="J122" s="197"/>
      <c r="K122" s="197"/>
      <c r="L122" s="194">
        <v>1</v>
      </c>
      <c r="M122" s="240"/>
      <c r="N122" s="241"/>
      <c r="O122" s="241"/>
      <c r="P122" s="241">
        <v>0.0007</v>
      </c>
      <c r="Q122" s="242"/>
      <c r="R122" s="163"/>
    </row>
    <row r="123" spans="1:18" ht="11.25" customHeight="1">
      <c r="A123" s="185" t="s">
        <v>141</v>
      </c>
      <c r="B123" s="200" t="s">
        <v>51</v>
      </c>
      <c r="C123" s="201" t="s">
        <v>35</v>
      </c>
      <c r="D123" s="202">
        <v>178</v>
      </c>
      <c r="E123" s="192">
        <f>D123</f>
        <v>178</v>
      </c>
      <c r="F123" s="193">
        <v>14000</v>
      </c>
      <c r="G123" s="193">
        <v>0.0608</v>
      </c>
      <c r="H123" s="193">
        <v>7.88E-06</v>
      </c>
      <c r="I123" s="193">
        <v>0.816</v>
      </c>
      <c r="J123" s="193">
        <v>3.93E-05</v>
      </c>
      <c r="K123" s="193">
        <f>IF(J123=0,"",(J123*41))</f>
        <v>0.0016113</v>
      </c>
      <c r="L123" s="194">
        <v>1</v>
      </c>
      <c r="M123" s="240">
        <v>0.13</v>
      </c>
      <c r="N123" s="241"/>
      <c r="O123" s="241"/>
      <c r="P123" s="241">
        <v>0.04</v>
      </c>
      <c r="Q123" s="242">
        <f>P123*(70/20)</f>
        <v>0.14</v>
      </c>
      <c r="R123" s="163"/>
    </row>
    <row r="124" spans="1:18" ht="11.25" customHeight="1">
      <c r="A124" s="185" t="s">
        <v>142</v>
      </c>
      <c r="B124" s="200" t="s">
        <v>56</v>
      </c>
      <c r="C124" s="201" t="s">
        <v>35</v>
      </c>
      <c r="D124" s="202">
        <v>94</v>
      </c>
      <c r="E124" s="196">
        <v>94.11</v>
      </c>
      <c r="F124" s="243">
        <v>187</v>
      </c>
      <c r="G124" s="197">
        <v>0.083</v>
      </c>
      <c r="H124" s="197">
        <v>1E-05</v>
      </c>
      <c r="I124" s="197">
        <v>82800</v>
      </c>
      <c r="J124" s="197">
        <f>IF(K124&gt;0,(K124/41),K124)</f>
        <v>3.4146341463414634E-07</v>
      </c>
      <c r="K124" s="197">
        <v>1.4E-05</v>
      </c>
      <c r="L124" s="194">
        <v>1</v>
      </c>
      <c r="M124" s="240">
        <v>0.1</v>
      </c>
      <c r="N124" s="241"/>
      <c r="O124" s="241"/>
      <c r="P124" s="241">
        <v>0.3</v>
      </c>
      <c r="Q124" s="242">
        <v>0.2</v>
      </c>
      <c r="R124" s="163"/>
    </row>
    <row r="125" spans="1:18" ht="11.25" customHeight="1">
      <c r="A125" s="185" t="s">
        <v>143</v>
      </c>
      <c r="B125" s="200" t="s">
        <v>56</v>
      </c>
      <c r="C125" s="201" t="s">
        <v>35</v>
      </c>
      <c r="D125" s="202">
        <v>326</v>
      </c>
      <c r="E125" s="196">
        <v>326.44</v>
      </c>
      <c r="F125" s="243">
        <v>130500</v>
      </c>
      <c r="G125" s="197"/>
      <c r="H125" s="197"/>
      <c r="I125" s="197">
        <v>0.032</v>
      </c>
      <c r="J125" s="197">
        <f>IF(K125&gt;0,(K125/41),K125)</f>
        <v>0.0002926829268292683</v>
      </c>
      <c r="K125" s="197">
        <v>0.012</v>
      </c>
      <c r="L125" s="194">
        <v>1</v>
      </c>
      <c r="M125" s="240">
        <v>0.14</v>
      </c>
      <c r="N125" s="241">
        <v>2</v>
      </c>
      <c r="O125" s="241">
        <v>0.00057</v>
      </c>
      <c r="P125" s="241">
        <v>2E-05</v>
      </c>
      <c r="Q125" s="242"/>
      <c r="R125" s="163"/>
    </row>
    <row r="126" spans="1:18" ht="11.25" customHeight="1">
      <c r="A126" s="185" t="s">
        <v>210</v>
      </c>
      <c r="B126" s="200" t="s">
        <v>56</v>
      </c>
      <c r="C126" s="201" t="s">
        <v>54</v>
      </c>
      <c r="D126" s="202">
        <v>342</v>
      </c>
      <c r="E126" s="196">
        <v>342.23</v>
      </c>
      <c r="F126" s="243">
        <v>1556</v>
      </c>
      <c r="G126" s="197"/>
      <c r="H126" s="197"/>
      <c r="I126" s="197">
        <v>110</v>
      </c>
      <c r="J126" s="197">
        <f>IF(K126&gt;0,(K126/41),K126)</f>
        <v>4.146341463414634E-09</v>
      </c>
      <c r="K126" s="197">
        <v>1.7E-07</v>
      </c>
      <c r="L126" s="194">
        <v>1</v>
      </c>
      <c r="M126" s="240">
        <v>0.1</v>
      </c>
      <c r="N126" s="241"/>
      <c r="O126" s="241"/>
      <c r="P126" s="241">
        <v>0.013</v>
      </c>
      <c r="Q126" s="242"/>
      <c r="R126" s="163"/>
    </row>
    <row r="127" spans="1:18" ht="11.25" customHeight="1">
      <c r="A127" s="185" t="s">
        <v>144</v>
      </c>
      <c r="B127" s="200" t="s">
        <v>51</v>
      </c>
      <c r="C127" s="201" t="s">
        <v>35</v>
      </c>
      <c r="D127" s="202">
        <v>202</v>
      </c>
      <c r="E127" s="196">
        <v>199</v>
      </c>
      <c r="F127" s="243">
        <v>54340</v>
      </c>
      <c r="G127" s="197">
        <v>0.028</v>
      </c>
      <c r="H127" s="197">
        <v>7.2E-06</v>
      </c>
      <c r="I127" s="197">
        <v>0.135</v>
      </c>
      <c r="J127" s="197">
        <f>IF(K127&gt;0,(K127/41),K127)</f>
        <v>1.1951219512195121E-05</v>
      </c>
      <c r="K127" s="197">
        <v>0.00049</v>
      </c>
      <c r="L127" s="194">
        <v>1</v>
      </c>
      <c r="M127" s="240">
        <v>0.13</v>
      </c>
      <c r="N127" s="241"/>
      <c r="O127" s="241"/>
      <c r="P127" s="241">
        <v>0.03</v>
      </c>
      <c r="Q127" s="242">
        <f>P127*(70/20)</f>
        <v>0.105</v>
      </c>
      <c r="R127" s="163"/>
    </row>
    <row r="128" spans="1:18" ht="11.25" customHeight="1">
      <c r="A128" s="185" t="s">
        <v>145</v>
      </c>
      <c r="B128" s="200" t="s">
        <v>56</v>
      </c>
      <c r="C128" s="201" t="s">
        <v>35</v>
      </c>
      <c r="D128" s="202">
        <v>81</v>
      </c>
      <c r="E128" s="196">
        <v>80.98</v>
      </c>
      <c r="F128" s="197"/>
      <c r="G128" s="197"/>
      <c r="H128" s="197"/>
      <c r="I128" s="197"/>
      <c r="J128" s="197"/>
      <c r="K128" s="197"/>
      <c r="L128" s="194">
        <v>1</v>
      </c>
      <c r="M128" s="240"/>
      <c r="N128" s="241"/>
      <c r="O128" s="241"/>
      <c r="P128" s="241">
        <v>0.005</v>
      </c>
      <c r="Q128" s="242">
        <v>0.02</v>
      </c>
      <c r="R128" s="163"/>
    </row>
    <row r="129" spans="1:18" ht="11.25" customHeight="1">
      <c r="A129" s="185" t="s">
        <v>263</v>
      </c>
      <c r="B129" s="200" t="s">
        <v>56</v>
      </c>
      <c r="C129" s="201" t="s">
        <v>35</v>
      </c>
      <c r="D129" s="202">
        <v>108</v>
      </c>
      <c r="E129" s="196">
        <v>107.87</v>
      </c>
      <c r="F129" s="197"/>
      <c r="G129" s="197"/>
      <c r="H129" s="197"/>
      <c r="I129" s="197"/>
      <c r="J129" s="197"/>
      <c r="K129" s="197"/>
      <c r="L129" s="195">
        <v>0.04</v>
      </c>
      <c r="M129" s="240"/>
      <c r="N129" s="241"/>
      <c r="O129" s="241"/>
      <c r="P129" s="241">
        <v>0.005</v>
      </c>
      <c r="Q129" s="242"/>
      <c r="R129" s="163"/>
    </row>
    <row r="130" spans="1:18" ht="11.25" customHeight="1">
      <c r="A130" s="185" t="s">
        <v>211</v>
      </c>
      <c r="B130" s="200" t="s">
        <v>56</v>
      </c>
      <c r="C130" s="201" t="s">
        <v>35</v>
      </c>
      <c r="D130" s="202">
        <v>202</v>
      </c>
      <c r="E130" s="196">
        <v>201.66</v>
      </c>
      <c r="F130" s="243">
        <v>147</v>
      </c>
      <c r="G130" s="197"/>
      <c r="H130" s="197"/>
      <c r="I130" s="197">
        <v>6.2</v>
      </c>
      <c r="J130" s="197">
        <f>IF(K130&gt;0,(K130/41),K130)</f>
        <v>9.51219512195122E-10</v>
      </c>
      <c r="K130" s="197">
        <v>3.9E-08</v>
      </c>
      <c r="L130" s="194">
        <v>1</v>
      </c>
      <c r="M130" s="240">
        <v>0.1</v>
      </c>
      <c r="N130" s="241">
        <v>0.12</v>
      </c>
      <c r="O130" s="241"/>
      <c r="P130" s="241">
        <v>0.005</v>
      </c>
      <c r="Q130" s="242"/>
      <c r="R130" s="163"/>
    </row>
    <row r="131" spans="1:18" ht="11.25" customHeight="1">
      <c r="A131" s="185" t="s">
        <v>146</v>
      </c>
      <c r="B131" s="200" t="s">
        <v>51</v>
      </c>
      <c r="C131" s="201" t="s">
        <v>54</v>
      </c>
      <c r="D131" s="202">
        <v>104</v>
      </c>
      <c r="E131" s="196">
        <v>104.15</v>
      </c>
      <c r="F131" s="243">
        <v>446</v>
      </c>
      <c r="G131" s="197">
        <v>0.071</v>
      </c>
      <c r="H131" s="197">
        <v>8.8E-06</v>
      </c>
      <c r="I131" s="197">
        <v>310</v>
      </c>
      <c r="J131" s="197">
        <f>IF(K131&gt;0,(K131/41),K131)</f>
        <v>0.002682926829268293</v>
      </c>
      <c r="K131" s="197">
        <v>0.11</v>
      </c>
      <c r="L131" s="194">
        <v>1</v>
      </c>
      <c r="M131" s="240"/>
      <c r="N131" s="241"/>
      <c r="O131" s="241"/>
      <c r="P131" s="241">
        <v>0.2</v>
      </c>
      <c r="Q131" s="242">
        <v>1</v>
      </c>
      <c r="R131" s="163"/>
    </row>
    <row r="132" spans="1:18" ht="11.25" customHeight="1">
      <c r="A132" s="185" t="s">
        <v>212</v>
      </c>
      <c r="B132" s="200" t="s">
        <v>56</v>
      </c>
      <c r="C132" s="201" t="s">
        <v>35</v>
      </c>
      <c r="D132" s="202">
        <v>217</v>
      </c>
      <c r="E132" s="196">
        <v>216.67</v>
      </c>
      <c r="F132" s="243">
        <v>50.1</v>
      </c>
      <c r="G132" s="197"/>
      <c r="H132" s="197"/>
      <c r="I132" s="197">
        <v>710</v>
      </c>
      <c r="J132" s="197">
        <f>IF(K132&gt;0,(K132/41),K132)</f>
        <v>1.1951219512195123E-10</v>
      </c>
      <c r="K132" s="197">
        <v>4.9E-09</v>
      </c>
      <c r="L132" s="194">
        <v>1</v>
      </c>
      <c r="M132" s="240">
        <v>0.1</v>
      </c>
      <c r="N132" s="241"/>
      <c r="O132" s="241"/>
      <c r="P132" s="241">
        <v>0.013</v>
      </c>
      <c r="Q132" s="242"/>
      <c r="R132" s="163"/>
    </row>
    <row r="133" spans="1:18" ht="11.25" customHeight="1">
      <c r="A133" s="185" t="s">
        <v>147</v>
      </c>
      <c r="B133" s="200" t="s">
        <v>51</v>
      </c>
      <c r="C133" s="201" t="s">
        <v>54</v>
      </c>
      <c r="D133" s="202">
        <v>74</v>
      </c>
      <c r="E133" s="192">
        <f>D133</f>
        <v>74</v>
      </c>
      <c r="F133" s="193">
        <v>37</v>
      </c>
      <c r="G133" s="193">
        <v>0.09</v>
      </c>
      <c r="H133" s="193">
        <v>9.1E-06</v>
      </c>
      <c r="I133" s="193">
        <v>1000000</v>
      </c>
      <c r="J133" s="193">
        <v>1.17E-05</v>
      </c>
      <c r="K133" s="193">
        <f>IF(J133=0,"",(J133*41))</f>
        <v>0.0004797</v>
      </c>
      <c r="L133" s="194">
        <v>1</v>
      </c>
      <c r="M133" s="248"/>
      <c r="N133" s="249">
        <v>0.003</v>
      </c>
      <c r="O133" s="249">
        <f>N133*20*(1/70)*(1/1000)</f>
        <v>8.571428571428571E-07</v>
      </c>
      <c r="P133" s="250"/>
      <c r="Q133" s="251"/>
      <c r="R133" s="163"/>
    </row>
    <row r="134" spans="1:18" ht="11.25" customHeight="1">
      <c r="A134" s="185" t="s">
        <v>148</v>
      </c>
      <c r="B134" s="200" t="s">
        <v>51</v>
      </c>
      <c r="C134" s="201" t="s">
        <v>54</v>
      </c>
      <c r="D134" s="202">
        <v>168</v>
      </c>
      <c r="E134" s="196">
        <v>167.85</v>
      </c>
      <c r="F134" s="243">
        <v>86</v>
      </c>
      <c r="G134" s="197">
        <v>0.048</v>
      </c>
      <c r="H134" s="197">
        <v>9.1E-06</v>
      </c>
      <c r="I134" s="197">
        <v>1070</v>
      </c>
      <c r="J134" s="197">
        <f aca="true" t="shared" si="6" ref="J134:J141">IF(K134&gt;0,(K134/41),K134)</f>
        <v>0.0024146341463414634</v>
      </c>
      <c r="K134" s="197">
        <v>0.099</v>
      </c>
      <c r="L134" s="194">
        <v>1</v>
      </c>
      <c r="M134" s="240"/>
      <c r="N134" s="241">
        <v>0.026</v>
      </c>
      <c r="O134" s="241">
        <v>7.4E-06</v>
      </c>
      <c r="P134" s="241">
        <v>0.03</v>
      </c>
      <c r="Q134" s="242">
        <f>P134*(70/20)</f>
        <v>0.105</v>
      </c>
      <c r="R134" s="163"/>
    </row>
    <row r="135" spans="1:18" ht="11.25" customHeight="1">
      <c r="A135" s="185" t="s">
        <v>149</v>
      </c>
      <c r="B135" s="200" t="s">
        <v>51</v>
      </c>
      <c r="C135" s="201" t="s">
        <v>54</v>
      </c>
      <c r="D135" s="202">
        <v>168</v>
      </c>
      <c r="E135" s="196">
        <v>167.85</v>
      </c>
      <c r="F135" s="243">
        <v>94.9</v>
      </c>
      <c r="G135" s="197">
        <v>0.049</v>
      </c>
      <c r="H135" s="197">
        <v>9.3E-06</v>
      </c>
      <c r="I135" s="197">
        <v>2870</v>
      </c>
      <c r="J135" s="197">
        <f t="shared" si="6"/>
        <v>0.00036585365853658537</v>
      </c>
      <c r="K135" s="197">
        <v>0.015</v>
      </c>
      <c r="L135" s="194">
        <v>1</v>
      </c>
      <c r="M135" s="240"/>
      <c r="N135" s="241">
        <v>0.2</v>
      </c>
      <c r="O135" s="241">
        <v>5.8E-05</v>
      </c>
      <c r="P135" s="246">
        <v>0.02</v>
      </c>
      <c r="Q135" s="242"/>
      <c r="R135" s="163"/>
    </row>
    <row r="136" spans="1:18" ht="11.25" customHeight="1">
      <c r="A136" s="185" t="s">
        <v>150</v>
      </c>
      <c r="B136" s="200" t="s">
        <v>51</v>
      </c>
      <c r="C136" s="201" t="s">
        <v>54</v>
      </c>
      <c r="D136" s="202">
        <v>166</v>
      </c>
      <c r="E136" s="196">
        <v>165.83</v>
      </c>
      <c r="F136" s="243">
        <v>94.9</v>
      </c>
      <c r="G136" s="197">
        <v>0.05</v>
      </c>
      <c r="H136" s="197">
        <v>9.5E-06</v>
      </c>
      <c r="I136" s="197">
        <v>206</v>
      </c>
      <c r="J136" s="197">
        <f t="shared" si="6"/>
        <v>0.017560975609756096</v>
      </c>
      <c r="K136" s="197">
        <v>0.72</v>
      </c>
      <c r="L136" s="194">
        <v>1</v>
      </c>
      <c r="M136" s="240"/>
      <c r="N136" s="241">
        <v>0.54</v>
      </c>
      <c r="O136" s="241">
        <v>5.9E-06</v>
      </c>
      <c r="P136" s="241">
        <v>0.01</v>
      </c>
      <c r="Q136" s="242">
        <v>0.27</v>
      </c>
      <c r="R136" s="163"/>
    </row>
    <row r="137" spans="1:18" ht="11.25" customHeight="1">
      <c r="A137" s="185" t="s">
        <v>213</v>
      </c>
      <c r="B137" s="200" t="s">
        <v>56</v>
      </c>
      <c r="C137" s="201" t="s">
        <v>35</v>
      </c>
      <c r="D137" s="202">
        <v>232</v>
      </c>
      <c r="E137" s="196">
        <v>231.89</v>
      </c>
      <c r="F137" s="243">
        <v>2969</v>
      </c>
      <c r="G137" s="193">
        <v>0.0217</v>
      </c>
      <c r="H137" s="193">
        <v>7.1E-06</v>
      </c>
      <c r="I137" s="197">
        <v>23</v>
      </c>
      <c r="J137" s="197">
        <f t="shared" si="6"/>
        <v>8.78048780487805E-06</v>
      </c>
      <c r="K137" s="197">
        <v>0.00036</v>
      </c>
      <c r="L137" s="194">
        <v>1</v>
      </c>
      <c r="M137" s="240">
        <v>0.1</v>
      </c>
      <c r="N137" s="241"/>
      <c r="O137" s="241"/>
      <c r="P137" s="241">
        <v>0.03</v>
      </c>
      <c r="Q137" s="242"/>
      <c r="R137" s="163"/>
    </row>
    <row r="138" spans="1:18" ht="11.25" customHeight="1">
      <c r="A138" s="185" t="s">
        <v>214</v>
      </c>
      <c r="B138" s="200" t="s">
        <v>56</v>
      </c>
      <c r="C138" s="201" t="s">
        <v>35</v>
      </c>
      <c r="D138" s="202">
        <v>296</v>
      </c>
      <c r="E138" s="196">
        <v>296.16</v>
      </c>
      <c r="F138" s="243">
        <v>532</v>
      </c>
      <c r="G138" s="197"/>
      <c r="H138" s="197"/>
      <c r="I138" s="197">
        <v>9438</v>
      </c>
      <c r="J138" s="197">
        <f t="shared" si="6"/>
        <v>8.536585365853659E-10</v>
      </c>
      <c r="K138" s="197">
        <v>3.5E-08</v>
      </c>
      <c r="L138" s="194">
        <v>1</v>
      </c>
      <c r="M138" s="240">
        <v>0.006</v>
      </c>
      <c r="N138" s="241"/>
      <c r="O138" s="241"/>
      <c r="P138" s="241">
        <v>0.05</v>
      </c>
      <c r="Q138" s="242"/>
      <c r="R138" s="163"/>
    </row>
    <row r="139" spans="1:18" ht="11.25" customHeight="1">
      <c r="A139" s="185" t="s">
        <v>151</v>
      </c>
      <c r="B139" s="200" t="s">
        <v>56</v>
      </c>
      <c r="C139" s="201" t="s">
        <v>35</v>
      </c>
      <c r="D139" s="202">
        <v>204</v>
      </c>
      <c r="E139" s="196">
        <v>204.38</v>
      </c>
      <c r="F139" s="197"/>
      <c r="G139" s="197"/>
      <c r="H139" s="197"/>
      <c r="I139" s="197"/>
      <c r="J139" s="197"/>
      <c r="K139" s="197"/>
      <c r="L139" s="194">
        <v>1</v>
      </c>
      <c r="M139" s="240"/>
      <c r="N139" s="241"/>
      <c r="O139" s="241"/>
      <c r="P139" s="246">
        <v>1E-05</v>
      </c>
      <c r="Q139" s="242"/>
      <c r="R139" s="163"/>
    </row>
    <row r="140" spans="1:18" ht="11.25" customHeight="1">
      <c r="A140" s="185" t="s">
        <v>152</v>
      </c>
      <c r="B140" s="200" t="s">
        <v>51</v>
      </c>
      <c r="C140" s="201" t="s">
        <v>54</v>
      </c>
      <c r="D140" s="202">
        <v>92</v>
      </c>
      <c r="E140" s="196">
        <v>92.14</v>
      </c>
      <c r="F140" s="243">
        <v>234</v>
      </c>
      <c r="G140" s="197">
        <v>0.078</v>
      </c>
      <c r="H140" s="197">
        <v>9.2E-06</v>
      </c>
      <c r="I140" s="197">
        <v>526</v>
      </c>
      <c r="J140" s="197">
        <f t="shared" si="6"/>
        <v>0.006585365853658537</v>
      </c>
      <c r="K140" s="197">
        <v>0.27</v>
      </c>
      <c r="L140" s="194">
        <v>1</v>
      </c>
      <c r="M140" s="240"/>
      <c r="N140" s="241"/>
      <c r="O140" s="241"/>
      <c r="P140" s="241">
        <v>0.08</v>
      </c>
      <c r="Q140" s="242">
        <v>5</v>
      </c>
      <c r="R140" s="163"/>
    </row>
    <row r="141" spans="1:18" ht="11.25" customHeight="1">
      <c r="A141" s="185" t="s">
        <v>153</v>
      </c>
      <c r="B141" s="200" t="s">
        <v>56</v>
      </c>
      <c r="C141" s="201" t="s">
        <v>35</v>
      </c>
      <c r="D141" s="202">
        <v>414</v>
      </c>
      <c r="E141" s="196">
        <v>413.82</v>
      </c>
      <c r="F141" s="243">
        <v>77200</v>
      </c>
      <c r="G141" s="197"/>
      <c r="H141" s="197"/>
      <c r="I141" s="197">
        <v>0.55</v>
      </c>
      <c r="J141" s="197">
        <f t="shared" si="6"/>
        <v>6.0975609756097564E-06</v>
      </c>
      <c r="K141" s="197">
        <v>0.00025</v>
      </c>
      <c r="L141" s="194">
        <v>1</v>
      </c>
      <c r="M141" s="240">
        <v>0.1</v>
      </c>
      <c r="N141" s="241">
        <v>1.1</v>
      </c>
      <c r="O141" s="241">
        <v>0.00032</v>
      </c>
      <c r="P141" s="241"/>
      <c r="Q141" s="242"/>
      <c r="R141" s="163"/>
    </row>
    <row r="142" spans="1:18" ht="11.25" customHeight="1">
      <c r="A142" s="185" t="s">
        <v>154</v>
      </c>
      <c r="B142" s="200" t="s">
        <v>51</v>
      </c>
      <c r="C142" s="201" t="s">
        <v>54</v>
      </c>
      <c r="D142" s="202">
        <v>108</v>
      </c>
      <c r="E142" s="192">
        <f>D142</f>
        <v>108</v>
      </c>
      <c r="F142" s="193">
        <v>5000</v>
      </c>
      <c r="G142" s="193">
        <v>0.07</v>
      </c>
      <c r="H142" s="193">
        <v>7.8E-06</v>
      </c>
      <c r="I142" s="193">
        <v>150</v>
      </c>
      <c r="J142" s="193">
        <v>0.00072</v>
      </c>
      <c r="K142" s="193">
        <f>IF(J142=0,"",(J142*41))</f>
        <v>0.02952</v>
      </c>
      <c r="L142" s="194">
        <v>1</v>
      </c>
      <c r="M142" s="248">
        <v>0.1</v>
      </c>
      <c r="N142" s="249"/>
      <c r="O142" s="249"/>
      <c r="P142" s="310">
        <v>0.03</v>
      </c>
      <c r="Q142" s="311">
        <v>0.126</v>
      </c>
      <c r="R142" s="163"/>
    </row>
    <row r="143" spans="1:18" ht="11.25" customHeight="1">
      <c r="A143" s="185" t="s">
        <v>155</v>
      </c>
      <c r="B143" s="200" t="s">
        <v>51</v>
      </c>
      <c r="C143" s="201" t="s">
        <v>54</v>
      </c>
      <c r="D143" s="202">
        <v>170</v>
      </c>
      <c r="E143" s="192">
        <f>D143</f>
        <v>170</v>
      </c>
      <c r="F143" s="193">
        <v>5000</v>
      </c>
      <c r="G143" s="193">
        <v>0.07</v>
      </c>
      <c r="H143" s="193">
        <v>7.8E-06</v>
      </c>
      <c r="I143" s="193">
        <v>5</v>
      </c>
      <c r="J143" s="193">
        <v>0.00072</v>
      </c>
      <c r="K143" s="193">
        <f>IF(J143=0,"",(J143*41))</f>
        <v>0.02952</v>
      </c>
      <c r="L143" s="194">
        <v>1</v>
      </c>
      <c r="M143" s="248">
        <v>0.1</v>
      </c>
      <c r="N143" s="249"/>
      <c r="O143" s="249"/>
      <c r="P143" s="310">
        <v>0.02</v>
      </c>
      <c r="Q143" s="311">
        <v>0.126</v>
      </c>
      <c r="R143" s="163"/>
    </row>
    <row r="144" spans="1:18" ht="11.25" customHeight="1">
      <c r="A144" s="185" t="s">
        <v>156</v>
      </c>
      <c r="B144" s="200" t="s">
        <v>56</v>
      </c>
      <c r="C144" s="201" t="s">
        <v>54</v>
      </c>
      <c r="D144" s="202" t="s">
        <v>264</v>
      </c>
      <c r="E144" s="192">
        <v>200</v>
      </c>
      <c r="F144" s="193"/>
      <c r="G144" s="193"/>
      <c r="H144" s="193"/>
      <c r="I144" s="193">
        <v>5</v>
      </c>
      <c r="J144" s="193"/>
      <c r="K144" s="193"/>
      <c r="L144" s="194">
        <v>1</v>
      </c>
      <c r="M144" s="248"/>
      <c r="N144" s="249"/>
      <c r="O144" s="249"/>
      <c r="P144" s="310">
        <v>0.12</v>
      </c>
      <c r="Q144" s="311">
        <v>0.126</v>
      </c>
      <c r="R144" s="163"/>
    </row>
    <row r="145" spans="1:18" ht="11.25" customHeight="1">
      <c r="A145" s="185" t="s">
        <v>157</v>
      </c>
      <c r="B145" s="200" t="s">
        <v>51</v>
      </c>
      <c r="C145" s="201" t="s">
        <v>35</v>
      </c>
      <c r="D145" s="202">
        <v>181</v>
      </c>
      <c r="E145" s="196">
        <v>181.45</v>
      </c>
      <c r="F145" s="243">
        <v>1356</v>
      </c>
      <c r="G145" s="197">
        <v>0.04</v>
      </c>
      <c r="H145" s="197">
        <v>8.4E-06</v>
      </c>
      <c r="I145" s="197">
        <v>49</v>
      </c>
      <c r="J145" s="197">
        <f aca="true" t="shared" si="7" ref="J145:J151">IF(K145&gt;0,(K145/41),K145)</f>
        <v>0.0014146341463414636</v>
      </c>
      <c r="K145" s="197">
        <v>0.058</v>
      </c>
      <c r="L145" s="194">
        <v>1</v>
      </c>
      <c r="M145" s="240"/>
      <c r="N145" s="246">
        <v>0.029</v>
      </c>
      <c r="O145" s="246">
        <f>N145*(20*(1/70)*(1/1000))</f>
        <v>8.285714285714285E-06</v>
      </c>
      <c r="P145" s="241">
        <v>0.01</v>
      </c>
      <c r="Q145" s="245">
        <v>0.002</v>
      </c>
      <c r="R145" s="163"/>
    </row>
    <row r="146" spans="1:18" ht="11.25" customHeight="1">
      <c r="A146" s="185" t="s">
        <v>158</v>
      </c>
      <c r="B146" s="200" t="s">
        <v>51</v>
      </c>
      <c r="C146" s="201" t="s">
        <v>54</v>
      </c>
      <c r="D146" s="202">
        <v>133</v>
      </c>
      <c r="E146" s="196">
        <v>133.41</v>
      </c>
      <c r="F146" s="243">
        <v>43.4</v>
      </c>
      <c r="G146" s="197">
        <v>0.065</v>
      </c>
      <c r="H146" s="197">
        <v>9.6E-06</v>
      </c>
      <c r="I146" s="197">
        <v>1290</v>
      </c>
      <c r="J146" s="197">
        <f t="shared" si="7"/>
        <v>0.017073170731707315</v>
      </c>
      <c r="K146" s="197">
        <v>0.7</v>
      </c>
      <c r="L146" s="194">
        <v>1</v>
      </c>
      <c r="M146" s="240"/>
      <c r="N146" s="241"/>
      <c r="O146" s="241"/>
      <c r="P146" s="241">
        <v>2</v>
      </c>
      <c r="Q146" s="242">
        <v>5</v>
      </c>
      <c r="R146" s="163"/>
    </row>
    <row r="147" spans="1:18" ht="11.25" customHeight="1">
      <c r="A147" s="185" t="s">
        <v>159</v>
      </c>
      <c r="B147" s="200" t="s">
        <v>51</v>
      </c>
      <c r="C147" s="201" t="s">
        <v>54</v>
      </c>
      <c r="D147" s="202">
        <v>133</v>
      </c>
      <c r="E147" s="196">
        <v>133.41</v>
      </c>
      <c r="F147" s="243">
        <v>60.7</v>
      </c>
      <c r="G147" s="197">
        <v>0.067</v>
      </c>
      <c r="H147" s="197">
        <v>1E-05</v>
      </c>
      <c r="I147" s="197">
        <v>1100</v>
      </c>
      <c r="J147" s="197">
        <f t="shared" si="7"/>
        <v>0.0008292682926829269</v>
      </c>
      <c r="K147" s="197">
        <v>0.034</v>
      </c>
      <c r="L147" s="194">
        <v>1</v>
      </c>
      <c r="M147" s="240"/>
      <c r="N147" s="241">
        <v>0.057</v>
      </c>
      <c r="O147" s="241">
        <v>1.6E-05</v>
      </c>
      <c r="P147" s="241">
        <v>0.004</v>
      </c>
      <c r="Q147" s="245">
        <v>0.0002</v>
      </c>
      <c r="R147" s="163"/>
    </row>
    <row r="148" spans="1:18" ht="11.25" customHeight="1">
      <c r="A148" s="185" t="s">
        <v>160</v>
      </c>
      <c r="B148" s="200" t="s">
        <v>51</v>
      </c>
      <c r="C148" s="201" t="s">
        <v>54</v>
      </c>
      <c r="D148" s="202">
        <v>131</v>
      </c>
      <c r="E148" s="196">
        <v>131.39</v>
      </c>
      <c r="F148" s="243">
        <v>60.7</v>
      </c>
      <c r="G148" s="197">
        <v>0.069</v>
      </c>
      <c r="H148" s="197">
        <v>1E-05</v>
      </c>
      <c r="I148" s="197">
        <v>1280</v>
      </c>
      <c r="J148" s="197">
        <f t="shared" si="7"/>
        <v>0.00975609756097561</v>
      </c>
      <c r="K148" s="197">
        <v>0.4</v>
      </c>
      <c r="L148" s="194">
        <v>1</v>
      </c>
      <c r="M148" s="240"/>
      <c r="N148" s="246">
        <v>0.0059</v>
      </c>
      <c r="O148" s="246">
        <v>2E-06</v>
      </c>
      <c r="P148" s="241">
        <v>0.0005</v>
      </c>
      <c r="Q148" s="245">
        <v>0.01</v>
      </c>
      <c r="R148" s="163"/>
    </row>
    <row r="149" spans="1:18" ht="11.25" customHeight="1">
      <c r="A149" s="185" t="s">
        <v>161</v>
      </c>
      <c r="B149" s="200" t="s">
        <v>56</v>
      </c>
      <c r="C149" s="201" t="s">
        <v>35</v>
      </c>
      <c r="D149" s="202">
        <v>198</v>
      </c>
      <c r="E149" s="196">
        <v>197.45</v>
      </c>
      <c r="F149" s="243">
        <v>1777</v>
      </c>
      <c r="G149" s="197">
        <v>0.056</v>
      </c>
      <c r="H149" s="197">
        <v>6.5E-06</v>
      </c>
      <c r="I149" s="197">
        <v>1200</v>
      </c>
      <c r="J149" s="197">
        <f t="shared" si="7"/>
        <v>1.6097560975609756E-06</v>
      </c>
      <c r="K149" s="197">
        <v>6.6E-05</v>
      </c>
      <c r="L149" s="194">
        <v>1</v>
      </c>
      <c r="M149" s="240">
        <v>0.1</v>
      </c>
      <c r="N149" s="241"/>
      <c r="O149" s="241"/>
      <c r="P149" s="241">
        <v>0.1</v>
      </c>
      <c r="Q149" s="242">
        <f>P149*(70/20)</f>
        <v>0.35000000000000003</v>
      </c>
      <c r="R149" s="163"/>
    </row>
    <row r="150" spans="1:18" ht="11.25" customHeight="1">
      <c r="A150" s="185" t="s">
        <v>162</v>
      </c>
      <c r="B150" s="200" t="s">
        <v>56</v>
      </c>
      <c r="C150" s="201" t="s">
        <v>35</v>
      </c>
      <c r="D150" s="202">
        <v>198</v>
      </c>
      <c r="E150" s="196">
        <v>197.45</v>
      </c>
      <c r="F150" s="243">
        <v>1777</v>
      </c>
      <c r="G150" s="197">
        <v>0.031</v>
      </c>
      <c r="H150" s="197">
        <v>8.1E-06</v>
      </c>
      <c r="I150" s="197">
        <v>800</v>
      </c>
      <c r="J150" s="197">
        <f t="shared" si="7"/>
        <v>2.6829268292682926E-06</v>
      </c>
      <c r="K150" s="197">
        <v>0.00011</v>
      </c>
      <c r="L150" s="194">
        <v>1</v>
      </c>
      <c r="M150" s="240">
        <v>0.1</v>
      </c>
      <c r="N150" s="241">
        <v>0.011</v>
      </c>
      <c r="O150" s="241">
        <v>3.1E-06</v>
      </c>
      <c r="P150" s="241">
        <v>0.001</v>
      </c>
      <c r="Q150" s="242"/>
      <c r="R150" s="163"/>
    </row>
    <row r="151" spans="1:18" ht="11.25" customHeight="1">
      <c r="A151" s="204" t="s">
        <v>265</v>
      </c>
      <c r="B151" s="200" t="s">
        <v>56</v>
      </c>
      <c r="C151" s="201" t="s">
        <v>35</v>
      </c>
      <c r="D151" s="202">
        <v>255</v>
      </c>
      <c r="E151" s="196">
        <v>255.49</v>
      </c>
      <c r="F151" s="243">
        <v>107</v>
      </c>
      <c r="G151" s="197"/>
      <c r="H151" s="197"/>
      <c r="I151" s="197">
        <v>278</v>
      </c>
      <c r="J151" s="197">
        <f t="shared" si="7"/>
        <v>4.6341463414634145E-08</v>
      </c>
      <c r="K151" s="197">
        <v>1.9E-06</v>
      </c>
      <c r="L151" s="194">
        <v>1</v>
      </c>
      <c r="M151" s="240">
        <v>0.1</v>
      </c>
      <c r="N151" s="241"/>
      <c r="O151" s="241"/>
      <c r="P151" s="241">
        <v>0.01</v>
      </c>
      <c r="Q151" s="242"/>
      <c r="R151" s="163"/>
    </row>
    <row r="152" spans="1:18" ht="11.25" customHeight="1">
      <c r="A152" s="185" t="s">
        <v>215</v>
      </c>
      <c r="B152" s="200" t="s">
        <v>56</v>
      </c>
      <c r="C152" s="201" t="s">
        <v>35</v>
      </c>
      <c r="D152" s="202">
        <v>270</v>
      </c>
      <c r="E152" s="196">
        <v>269.51</v>
      </c>
      <c r="F152" s="243">
        <v>175</v>
      </c>
      <c r="G152" s="197"/>
      <c r="H152" s="197"/>
      <c r="I152" s="197">
        <v>200</v>
      </c>
      <c r="J152" s="197">
        <f>IF(K152&gt;0,(K152/41),K152)</f>
        <v>9.02439024390244E-09</v>
      </c>
      <c r="K152" s="197">
        <v>3.7E-07</v>
      </c>
      <c r="L152" s="194">
        <v>1</v>
      </c>
      <c r="M152" s="240">
        <v>0.1</v>
      </c>
      <c r="N152" s="241"/>
      <c r="O152" s="241"/>
      <c r="P152" s="241">
        <v>0.008</v>
      </c>
      <c r="Q152" s="242"/>
      <c r="R152" s="163"/>
    </row>
    <row r="153" spans="1:18" ht="11.25" customHeight="1">
      <c r="A153" s="185" t="s">
        <v>216</v>
      </c>
      <c r="B153" s="200" t="s">
        <v>51</v>
      </c>
      <c r="C153" s="201" t="s">
        <v>54</v>
      </c>
      <c r="D153" s="202">
        <v>147</v>
      </c>
      <c r="E153" s="196">
        <v>147.43</v>
      </c>
      <c r="F153" s="243">
        <v>94.9</v>
      </c>
      <c r="G153" s="197">
        <v>0.057</v>
      </c>
      <c r="H153" s="197">
        <v>9.2E-06</v>
      </c>
      <c r="I153" s="197">
        <v>1750</v>
      </c>
      <c r="J153" s="197">
        <f>IF(K153&gt;0,(K153/41),K153)</f>
        <v>0.0003414634146341464</v>
      </c>
      <c r="K153" s="197">
        <v>0.014</v>
      </c>
      <c r="L153" s="194">
        <v>1</v>
      </c>
      <c r="M153" s="240"/>
      <c r="N153" s="246">
        <v>30</v>
      </c>
      <c r="O153" s="246">
        <f>N153*(20*(1/70)*(1/1000))</f>
        <v>0.00857142857142857</v>
      </c>
      <c r="P153" s="246">
        <v>0.004</v>
      </c>
      <c r="Q153" s="245">
        <v>0.0003</v>
      </c>
      <c r="R153" s="163"/>
    </row>
    <row r="154" spans="1:18" ht="11.25" customHeight="1">
      <c r="A154" s="185" t="s">
        <v>217</v>
      </c>
      <c r="B154" s="200" t="s">
        <v>51</v>
      </c>
      <c r="C154" s="201" t="s">
        <v>54</v>
      </c>
      <c r="D154" s="202">
        <v>145</v>
      </c>
      <c r="E154" s="192">
        <v>145</v>
      </c>
      <c r="F154" s="254">
        <v>116</v>
      </c>
      <c r="G154" s="193">
        <v>0.071</v>
      </c>
      <c r="H154" s="193">
        <v>7.9E-06</v>
      </c>
      <c r="I154" s="193">
        <v>2700</v>
      </c>
      <c r="J154" s="193">
        <v>0.028</v>
      </c>
      <c r="K154" s="193">
        <f>IF(J154=0,"",(J154*41))</f>
        <v>1.1480000000000001</v>
      </c>
      <c r="L154" s="194">
        <v>1</v>
      </c>
      <c r="M154" s="248"/>
      <c r="N154" s="249"/>
      <c r="O154" s="249"/>
      <c r="P154" s="243">
        <v>0.003</v>
      </c>
      <c r="Q154" s="245">
        <v>0.0003</v>
      </c>
      <c r="R154" s="163"/>
    </row>
    <row r="155" spans="1:18" ht="11.25" customHeight="1">
      <c r="A155" s="185" t="s">
        <v>218</v>
      </c>
      <c r="B155" s="200" t="s">
        <v>56</v>
      </c>
      <c r="C155" s="201" t="s">
        <v>35</v>
      </c>
      <c r="D155" s="202">
        <v>335</v>
      </c>
      <c r="E155" s="196">
        <v>335.29</v>
      </c>
      <c r="F155" s="243">
        <v>16390</v>
      </c>
      <c r="G155" s="197"/>
      <c r="H155" s="197"/>
      <c r="I155" s="197">
        <v>0.184</v>
      </c>
      <c r="J155" s="197">
        <f>IF(K155&gt;0,(K155/41),K155)</f>
        <v>0.00010243902439024389</v>
      </c>
      <c r="K155" s="197">
        <v>0.0042</v>
      </c>
      <c r="L155" s="194">
        <v>1</v>
      </c>
      <c r="M155" s="240">
        <v>0.1</v>
      </c>
      <c r="N155" s="241">
        <v>0.0077</v>
      </c>
      <c r="O155" s="241"/>
      <c r="P155" s="241">
        <v>0.0075</v>
      </c>
      <c r="Q155" s="242"/>
      <c r="R155" s="163"/>
    </row>
    <row r="156" spans="1:18" ht="11.25" customHeight="1">
      <c r="A156" s="185" t="s">
        <v>266</v>
      </c>
      <c r="B156" s="200" t="s">
        <v>56</v>
      </c>
      <c r="C156" s="201" t="s">
        <v>35</v>
      </c>
      <c r="D156" s="202">
        <v>213</v>
      </c>
      <c r="E156" s="196">
        <v>213.11</v>
      </c>
      <c r="F156" s="243">
        <v>1683</v>
      </c>
      <c r="G156" s="197"/>
      <c r="H156" s="197"/>
      <c r="I156" s="197">
        <v>278</v>
      </c>
      <c r="J156" s="197">
        <f>IF(K156&gt;0,(K156/41),K156)</f>
        <v>3.170731707317073E-09</v>
      </c>
      <c r="K156" s="197">
        <v>1.3E-07</v>
      </c>
      <c r="L156" s="194">
        <v>1</v>
      </c>
      <c r="M156" s="240">
        <v>0.019</v>
      </c>
      <c r="N156" s="241"/>
      <c r="O156" s="241"/>
      <c r="P156" s="241">
        <v>0.03</v>
      </c>
      <c r="Q156" s="242"/>
      <c r="R156" s="163"/>
    </row>
    <row r="157" spans="1:18" ht="11.25" customHeight="1">
      <c r="A157" s="185" t="s">
        <v>219</v>
      </c>
      <c r="B157" s="200" t="s">
        <v>56</v>
      </c>
      <c r="C157" s="201" t="s">
        <v>35</v>
      </c>
      <c r="D157" s="202">
        <v>287</v>
      </c>
      <c r="E157" s="196">
        <v>287.15</v>
      </c>
      <c r="F157" s="243">
        <v>4605</v>
      </c>
      <c r="G157" s="197"/>
      <c r="H157" s="197"/>
      <c r="I157" s="197">
        <v>74</v>
      </c>
      <c r="J157" s="197">
        <f>IF(K157&gt;0,(K157/41),K157)</f>
        <v>2.6829268292682927E-09</v>
      </c>
      <c r="K157" s="197">
        <v>1.1E-07</v>
      </c>
      <c r="L157" s="194">
        <v>1</v>
      </c>
      <c r="M157" s="240">
        <v>0.1</v>
      </c>
      <c r="N157" s="241"/>
      <c r="O157" s="241"/>
      <c r="P157" s="241">
        <v>0.004</v>
      </c>
      <c r="Q157" s="242"/>
      <c r="R157" s="163"/>
    </row>
    <row r="158" spans="1:18" ht="11.25" customHeight="1">
      <c r="A158" s="185" t="s">
        <v>220</v>
      </c>
      <c r="B158" s="200" t="s">
        <v>56</v>
      </c>
      <c r="C158" s="201" t="s">
        <v>35</v>
      </c>
      <c r="D158" s="202">
        <v>227</v>
      </c>
      <c r="E158" s="196">
        <v>227.13</v>
      </c>
      <c r="F158" s="243">
        <v>2812</v>
      </c>
      <c r="G158" s="197"/>
      <c r="H158" s="197"/>
      <c r="I158" s="197">
        <v>130</v>
      </c>
      <c r="J158" s="197">
        <f>IF(K158&gt;0,(K158/41),K158)</f>
        <v>4.634146341463415E-07</v>
      </c>
      <c r="K158" s="197">
        <v>1.9E-05</v>
      </c>
      <c r="L158" s="194">
        <v>1</v>
      </c>
      <c r="M158" s="240">
        <v>0.032</v>
      </c>
      <c r="N158" s="241">
        <v>0.03</v>
      </c>
      <c r="O158" s="241"/>
      <c r="P158" s="241">
        <v>0.0005</v>
      </c>
      <c r="Q158" s="242"/>
      <c r="R158" s="163"/>
    </row>
    <row r="159" spans="1:18" ht="11.25" customHeight="1">
      <c r="A159" s="185" t="s">
        <v>163</v>
      </c>
      <c r="B159" s="200" t="s">
        <v>56</v>
      </c>
      <c r="C159" s="201" t="s">
        <v>35</v>
      </c>
      <c r="D159" s="202">
        <v>51</v>
      </c>
      <c r="E159" s="196">
        <v>50.94</v>
      </c>
      <c r="F159" s="197"/>
      <c r="G159" s="197"/>
      <c r="H159" s="197"/>
      <c r="I159" s="197"/>
      <c r="J159" s="197"/>
      <c r="K159" s="197"/>
      <c r="L159" s="195">
        <v>0.026</v>
      </c>
      <c r="M159" s="240"/>
      <c r="N159" s="241"/>
      <c r="O159" s="241"/>
      <c r="P159" s="246">
        <v>0.005</v>
      </c>
      <c r="Q159" s="242"/>
      <c r="R159" s="163"/>
    </row>
    <row r="160" spans="1:18" ht="11.25" customHeight="1">
      <c r="A160" s="185" t="s">
        <v>168</v>
      </c>
      <c r="B160" s="200" t="s">
        <v>51</v>
      </c>
      <c r="C160" s="201" t="s">
        <v>76</v>
      </c>
      <c r="D160" s="202">
        <v>63</v>
      </c>
      <c r="E160" s="196">
        <v>62.5</v>
      </c>
      <c r="F160" s="243">
        <v>21.7</v>
      </c>
      <c r="G160" s="197">
        <v>0.11</v>
      </c>
      <c r="H160" s="197">
        <v>1.2E-05</v>
      </c>
      <c r="I160" s="197">
        <v>8800</v>
      </c>
      <c r="J160" s="197">
        <f>IF(K160&gt;0,(K160/41),K160)</f>
        <v>0.02682926829268293</v>
      </c>
      <c r="K160" s="197">
        <v>1.1</v>
      </c>
      <c r="L160" s="194">
        <v>1</v>
      </c>
      <c r="M160" s="240"/>
      <c r="N160" s="241">
        <v>0.72</v>
      </c>
      <c r="O160" s="241">
        <v>4.4E-06</v>
      </c>
      <c r="P160" s="241">
        <v>0.003</v>
      </c>
      <c r="Q160" s="242">
        <v>0.1</v>
      </c>
      <c r="R160" s="163"/>
    </row>
    <row r="161" spans="1:18" ht="11.25" customHeight="1">
      <c r="A161" s="185" t="s">
        <v>164</v>
      </c>
      <c r="B161" s="200" t="s">
        <v>51</v>
      </c>
      <c r="C161" s="201" t="s">
        <v>54</v>
      </c>
      <c r="D161" s="202">
        <v>106</v>
      </c>
      <c r="E161" s="196">
        <v>106.17</v>
      </c>
      <c r="F161" s="243">
        <v>375</v>
      </c>
      <c r="G161" s="197">
        <v>0.068</v>
      </c>
      <c r="H161" s="197">
        <v>8.4E-06</v>
      </c>
      <c r="I161" s="197">
        <v>161</v>
      </c>
      <c r="J161" s="197">
        <f>IF(K161&gt;0,(K161/41),K161)</f>
        <v>0.007073170731707316</v>
      </c>
      <c r="K161" s="197">
        <v>0.29</v>
      </c>
      <c r="L161" s="194">
        <v>1</v>
      </c>
      <c r="M161" s="240"/>
      <c r="N161" s="241"/>
      <c r="O161" s="241"/>
      <c r="P161" s="241">
        <v>2</v>
      </c>
      <c r="Q161" s="245">
        <v>0.1</v>
      </c>
      <c r="R161" s="163"/>
    </row>
    <row r="162" spans="1:18" ht="11.25" customHeight="1" thickBot="1">
      <c r="A162" s="205" t="s">
        <v>165</v>
      </c>
      <c r="B162" s="206" t="s">
        <v>56</v>
      </c>
      <c r="C162" s="207" t="s">
        <v>35</v>
      </c>
      <c r="D162" s="208">
        <v>67</v>
      </c>
      <c r="E162" s="209">
        <v>67.41</v>
      </c>
      <c r="F162" s="210"/>
      <c r="G162" s="210"/>
      <c r="H162" s="210"/>
      <c r="I162" s="210"/>
      <c r="J162" s="210"/>
      <c r="K162" s="210"/>
      <c r="L162" s="211">
        <v>1</v>
      </c>
      <c r="M162" s="255"/>
      <c r="N162" s="256"/>
      <c r="O162" s="256"/>
      <c r="P162" s="256">
        <v>0.3</v>
      </c>
      <c r="Q162" s="257"/>
      <c r="R162" s="163"/>
    </row>
    <row r="163" spans="1:18" s="263" customFormat="1" ht="11.25" customHeight="1" thickTop="1">
      <c r="A163" s="133" t="s">
        <v>280</v>
      </c>
      <c r="B163" s="134"/>
      <c r="C163" s="134"/>
      <c r="D163" s="135"/>
      <c r="E163" s="135"/>
      <c r="F163" s="258"/>
      <c r="G163" s="258"/>
      <c r="H163" s="258"/>
      <c r="I163" s="258"/>
      <c r="J163" s="258"/>
      <c r="K163" s="258"/>
      <c r="L163" s="258"/>
      <c r="M163" s="259"/>
      <c r="N163" s="259"/>
      <c r="O163" s="260"/>
      <c r="P163" s="260"/>
      <c r="Q163" s="261"/>
      <c r="R163" s="262"/>
    </row>
    <row r="164" spans="1:18" s="263" customFormat="1" ht="11.25" customHeight="1">
      <c r="A164" s="96" t="s">
        <v>325</v>
      </c>
      <c r="B164" s="97"/>
      <c r="C164" s="97"/>
      <c r="D164" s="98"/>
      <c r="E164" s="98"/>
      <c r="F164" s="264"/>
      <c r="G164" s="264"/>
      <c r="H164" s="264"/>
      <c r="I164" s="264"/>
      <c r="J164" s="264"/>
      <c r="K164" s="264"/>
      <c r="L164" s="264"/>
      <c r="M164" s="265"/>
      <c r="N164" s="265"/>
      <c r="O164" s="266"/>
      <c r="P164" s="266"/>
      <c r="Q164" s="267"/>
      <c r="R164" s="262"/>
    </row>
    <row r="165" spans="1:18" s="263" customFormat="1" ht="11.25" customHeight="1">
      <c r="A165" s="96" t="s">
        <v>281</v>
      </c>
      <c r="B165" s="97"/>
      <c r="C165" s="97"/>
      <c r="D165" s="136"/>
      <c r="E165" s="136"/>
      <c r="F165" s="268"/>
      <c r="G165" s="268"/>
      <c r="H165" s="269"/>
      <c r="I165" s="268"/>
      <c r="J165" s="268"/>
      <c r="K165" s="268"/>
      <c r="L165" s="268"/>
      <c r="M165" s="270"/>
      <c r="N165" s="270"/>
      <c r="O165" s="270"/>
      <c r="P165" s="270"/>
      <c r="Q165" s="271"/>
      <c r="R165" s="262"/>
    </row>
    <row r="166" spans="1:18" s="263" customFormat="1" ht="11.25" customHeight="1">
      <c r="A166" s="99" t="s">
        <v>282</v>
      </c>
      <c r="B166" s="97"/>
      <c r="C166" s="97"/>
      <c r="D166" s="136"/>
      <c r="E166" s="136"/>
      <c r="F166" s="268"/>
      <c r="G166" s="268"/>
      <c r="H166" s="268"/>
      <c r="I166" s="268"/>
      <c r="J166" s="268"/>
      <c r="K166" s="268"/>
      <c r="L166" s="268"/>
      <c r="M166" s="270"/>
      <c r="N166" s="270"/>
      <c r="O166" s="270"/>
      <c r="P166" s="270"/>
      <c r="Q166" s="271"/>
      <c r="R166" s="262"/>
    </row>
    <row r="167" spans="1:18" s="263" customFormat="1" ht="11.25" customHeight="1">
      <c r="A167" s="137" t="s">
        <v>326</v>
      </c>
      <c r="B167" s="138"/>
      <c r="C167" s="138"/>
      <c r="D167" s="138"/>
      <c r="E167" s="138"/>
      <c r="F167" s="138"/>
      <c r="G167" s="138"/>
      <c r="H167" s="138"/>
      <c r="I167" s="138"/>
      <c r="J167" s="138"/>
      <c r="K167" s="138"/>
      <c r="L167" s="138"/>
      <c r="M167" s="272"/>
      <c r="N167" s="272"/>
      <c r="O167" s="272"/>
      <c r="P167" s="272"/>
      <c r="Q167" s="273"/>
      <c r="R167" s="139"/>
    </row>
    <row r="168" spans="1:18" s="263" customFormat="1" ht="11.25" customHeight="1">
      <c r="A168" s="140" t="s">
        <v>283</v>
      </c>
      <c r="B168" s="274"/>
      <c r="C168" s="274"/>
      <c r="D168" s="274"/>
      <c r="E168" s="274"/>
      <c r="F168" s="274"/>
      <c r="G168" s="274"/>
      <c r="H168" s="274"/>
      <c r="I168" s="274"/>
      <c r="J168" s="274"/>
      <c r="K168" s="274"/>
      <c r="L168" s="274"/>
      <c r="M168" s="272"/>
      <c r="N168" s="272"/>
      <c r="O168" s="272"/>
      <c r="P168" s="272"/>
      <c r="Q168" s="273"/>
      <c r="R168" s="275"/>
    </row>
    <row r="169" spans="1:18" s="277" customFormat="1" ht="12" customHeight="1">
      <c r="A169" s="377" t="s">
        <v>327</v>
      </c>
      <c r="B169" s="313"/>
      <c r="C169" s="313"/>
      <c r="D169" s="313"/>
      <c r="E169" s="313"/>
      <c r="F169" s="313"/>
      <c r="G169" s="313"/>
      <c r="H169" s="313"/>
      <c r="I169" s="313"/>
      <c r="J169" s="313"/>
      <c r="K169" s="313"/>
      <c r="L169" s="313"/>
      <c r="M169" s="313"/>
      <c r="N169" s="313"/>
      <c r="O169" s="313"/>
      <c r="P169" s="313"/>
      <c r="Q169" s="372"/>
      <c r="R169" s="276"/>
    </row>
    <row r="170" spans="1:18" s="277" customFormat="1" ht="25.5" customHeight="1">
      <c r="A170" s="377" t="s">
        <v>316</v>
      </c>
      <c r="B170" s="378"/>
      <c r="C170" s="378"/>
      <c r="D170" s="378"/>
      <c r="E170" s="378"/>
      <c r="F170" s="378"/>
      <c r="G170" s="378"/>
      <c r="H170" s="378"/>
      <c r="I170" s="378"/>
      <c r="J170" s="378"/>
      <c r="K170" s="378"/>
      <c r="L170" s="378"/>
      <c r="M170" s="378"/>
      <c r="N170" s="378"/>
      <c r="O170" s="378"/>
      <c r="P170" s="378"/>
      <c r="Q170" s="379"/>
      <c r="R170" s="276"/>
    </row>
    <row r="171" spans="1:18" s="277" customFormat="1" ht="36.75" customHeight="1">
      <c r="A171" s="377" t="s">
        <v>328</v>
      </c>
      <c r="B171" s="378"/>
      <c r="C171" s="378"/>
      <c r="D171" s="378"/>
      <c r="E171" s="378"/>
      <c r="F171" s="378"/>
      <c r="G171" s="378"/>
      <c r="H171" s="378"/>
      <c r="I171" s="378"/>
      <c r="J171" s="378"/>
      <c r="K171" s="378"/>
      <c r="L171" s="378"/>
      <c r="M171" s="378"/>
      <c r="N171" s="378"/>
      <c r="O171" s="378"/>
      <c r="P171" s="378"/>
      <c r="Q171" s="379"/>
      <c r="R171" s="276"/>
    </row>
    <row r="172" spans="1:18" s="277" customFormat="1" ht="25.5" customHeight="1">
      <c r="A172" s="380" t="s">
        <v>329</v>
      </c>
      <c r="B172" s="313"/>
      <c r="C172" s="313"/>
      <c r="D172" s="313"/>
      <c r="E172" s="313"/>
      <c r="F172" s="313"/>
      <c r="G172" s="313"/>
      <c r="H172" s="313"/>
      <c r="I172" s="313"/>
      <c r="J172" s="313"/>
      <c r="K172" s="313"/>
      <c r="L172" s="313"/>
      <c r="M172" s="313"/>
      <c r="N172" s="313"/>
      <c r="O172" s="313"/>
      <c r="P172" s="313"/>
      <c r="Q172" s="372"/>
      <c r="R172" s="276"/>
    </row>
    <row r="173" spans="1:18" s="277" customFormat="1" ht="12" customHeight="1">
      <c r="A173" s="377" t="s">
        <v>330</v>
      </c>
      <c r="B173" s="381"/>
      <c r="C173" s="381"/>
      <c r="D173" s="381"/>
      <c r="E173" s="381"/>
      <c r="F173" s="381"/>
      <c r="G173" s="381"/>
      <c r="H173" s="381"/>
      <c r="I173" s="381"/>
      <c r="J173" s="381"/>
      <c r="K173" s="381"/>
      <c r="L173" s="381"/>
      <c r="M173" s="381"/>
      <c r="N173" s="381"/>
      <c r="O173" s="381"/>
      <c r="P173" s="381"/>
      <c r="Q173" s="382"/>
      <c r="R173" s="276"/>
    </row>
    <row r="174" spans="1:18" s="263" customFormat="1" ht="11.25" customHeight="1">
      <c r="A174" s="140"/>
      <c r="B174" s="275"/>
      <c r="C174" s="275"/>
      <c r="D174" s="275"/>
      <c r="E174" s="275"/>
      <c r="F174" s="275"/>
      <c r="G174" s="275"/>
      <c r="H174" s="275"/>
      <c r="I174" s="275"/>
      <c r="J174" s="275"/>
      <c r="K174" s="275"/>
      <c r="L174" s="275"/>
      <c r="M174" s="278"/>
      <c r="N174" s="278"/>
      <c r="O174" s="278"/>
      <c r="P174" s="278"/>
      <c r="Q174" s="279"/>
      <c r="R174" s="275"/>
    </row>
    <row r="175" spans="1:18" s="263" customFormat="1" ht="11.25" customHeight="1">
      <c r="A175" s="141" t="s">
        <v>284</v>
      </c>
      <c r="B175" s="280"/>
      <c r="C175" s="280"/>
      <c r="D175" s="280"/>
      <c r="E175" s="280"/>
      <c r="F175" s="280"/>
      <c r="G175" s="280"/>
      <c r="H175" s="280"/>
      <c r="I175" s="280"/>
      <c r="J175" s="280"/>
      <c r="K175" s="280"/>
      <c r="L175" s="280"/>
      <c r="M175" s="281"/>
      <c r="N175" s="281"/>
      <c r="O175" s="281"/>
      <c r="P175" s="281"/>
      <c r="Q175" s="282"/>
      <c r="R175" s="280"/>
    </row>
    <row r="176" spans="1:18" s="277" customFormat="1" ht="12.75">
      <c r="A176" s="102" t="s">
        <v>285</v>
      </c>
      <c r="B176" s="103"/>
      <c r="C176" s="103"/>
      <c r="D176" s="142"/>
      <c r="E176" s="143"/>
      <c r="F176" s="103"/>
      <c r="G176" s="103"/>
      <c r="H176" s="103"/>
      <c r="I176" s="103"/>
      <c r="J176" s="103"/>
      <c r="K176" s="103"/>
      <c r="L176" s="103"/>
      <c r="M176" s="283"/>
      <c r="N176" s="283"/>
      <c r="O176" s="284"/>
      <c r="P176" s="284"/>
      <c r="Q176" s="285"/>
      <c r="R176" s="269"/>
    </row>
    <row r="177" spans="1:18" s="277" customFormat="1" ht="12.75">
      <c r="A177" s="102" t="s">
        <v>286</v>
      </c>
      <c r="B177" s="103"/>
      <c r="C177" s="103"/>
      <c r="D177" s="142"/>
      <c r="E177" s="143"/>
      <c r="F177" s="103"/>
      <c r="G177" s="103"/>
      <c r="H177" s="103"/>
      <c r="I177" s="103"/>
      <c r="J177" s="103"/>
      <c r="K177" s="103"/>
      <c r="L177" s="103"/>
      <c r="M177" s="283"/>
      <c r="N177" s="283"/>
      <c r="O177" s="284"/>
      <c r="P177" s="284"/>
      <c r="Q177" s="285"/>
      <c r="R177" s="269"/>
    </row>
    <row r="178" spans="1:18" s="277" customFormat="1" ht="12.75">
      <c r="A178" s="102" t="s">
        <v>287</v>
      </c>
      <c r="B178" s="103"/>
      <c r="C178" s="103"/>
      <c r="D178" s="142"/>
      <c r="E178" s="143"/>
      <c r="F178" s="103"/>
      <c r="G178" s="103"/>
      <c r="H178" s="103"/>
      <c r="I178" s="103"/>
      <c r="J178" s="103"/>
      <c r="K178" s="103"/>
      <c r="L178" s="103"/>
      <c r="M178" s="283"/>
      <c r="N178" s="283"/>
      <c r="O178" s="284"/>
      <c r="P178" s="284"/>
      <c r="Q178" s="285"/>
      <c r="R178" s="269"/>
    </row>
    <row r="179" spans="1:18" s="277" customFormat="1" ht="12.75">
      <c r="A179" s="100" t="s">
        <v>288</v>
      </c>
      <c r="B179" s="103"/>
      <c r="C179" s="103"/>
      <c r="D179" s="142"/>
      <c r="E179" s="143"/>
      <c r="F179" s="103"/>
      <c r="G179" s="103"/>
      <c r="H179" s="103"/>
      <c r="I179" s="103"/>
      <c r="J179" s="103"/>
      <c r="K179" s="103"/>
      <c r="L179" s="103"/>
      <c r="M179" s="283"/>
      <c r="N179" s="283"/>
      <c r="O179" s="284"/>
      <c r="P179" s="284"/>
      <c r="Q179" s="285"/>
      <c r="R179" s="269"/>
    </row>
    <row r="180" spans="1:18" s="263" customFormat="1" ht="11.25" customHeight="1">
      <c r="A180" s="99" t="s">
        <v>166</v>
      </c>
      <c r="B180" s="97"/>
      <c r="C180" s="97"/>
      <c r="D180" s="98"/>
      <c r="E180" s="98"/>
      <c r="F180" s="264"/>
      <c r="G180" s="264"/>
      <c r="H180" s="264"/>
      <c r="I180" s="264"/>
      <c r="J180" s="264"/>
      <c r="K180" s="264"/>
      <c r="L180" s="264"/>
      <c r="M180" s="265"/>
      <c r="N180" s="265"/>
      <c r="O180" s="266"/>
      <c r="P180" s="266"/>
      <c r="Q180" s="267"/>
      <c r="R180" s="262"/>
    </row>
    <row r="181" spans="1:18" s="263" customFormat="1" ht="11.25" customHeight="1">
      <c r="A181" s="99" t="s">
        <v>167</v>
      </c>
      <c r="B181" s="97"/>
      <c r="C181" s="97"/>
      <c r="D181" s="98"/>
      <c r="E181" s="98"/>
      <c r="F181" s="264"/>
      <c r="G181" s="264"/>
      <c r="H181" s="264"/>
      <c r="I181" s="264"/>
      <c r="J181" s="264"/>
      <c r="K181" s="264"/>
      <c r="L181" s="264"/>
      <c r="M181" s="265"/>
      <c r="N181" s="265"/>
      <c r="O181" s="266"/>
      <c r="P181" s="266"/>
      <c r="Q181" s="267"/>
      <c r="R181" s="262"/>
    </row>
    <row r="182" spans="1:18" s="263" customFormat="1" ht="11.25" customHeight="1">
      <c r="A182" s="100" t="s">
        <v>289</v>
      </c>
      <c r="B182" s="101"/>
      <c r="C182" s="101"/>
      <c r="D182" s="286"/>
      <c r="E182" s="286"/>
      <c r="F182" s="264"/>
      <c r="G182" s="264"/>
      <c r="H182" s="264"/>
      <c r="I182" s="264"/>
      <c r="J182" s="264"/>
      <c r="K182" s="264"/>
      <c r="L182" s="264"/>
      <c r="M182" s="265"/>
      <c r="N182" s="265"/>
      <c r="O182" s="266"/>
      <c r="P182" s="266"/>
      <c r="Q182" s="267"/>
      <c r="R182" s="262"/>
    </row>
    <row r="183" spans="1:18" s="263" customFormat="1" ht="11.25" customHeight="1">
      <c r="A183" s="102" t="s">
        <v>290</v>
      </c>
      <c r="B183" s="103"/>
      <c r="C183" s="101"/>
      <c r="D183" s="286"/>
      <c r="E183" s="286"/>
      <c r="F183" s="264"/>
      <c r="G183" s="264"/>
      <c r="H183" s="264"/>
      <c r="I183" s="264"/>
      <c r="J183" s="264"/>
      <c r="K183" s="264"/>
      <c r="L183" s="264"/>
      <c r="M183" s="265"/>
      <c r="N183" s="265"/>
      <c r="O183" s="266"/>
      <c r="P183" s="266"/>
      <c r="Q183" s="267"/>
      <c r="R183" s="262"/>
    </row>
    <row r="184" spans="1:18" s="263" customFormat="1" ht="11.25" customHeight="1">
      <c r="A184" s="100" t="s">
        <v>291</v>
      </c>
      <c r="B184" s="101"/>
      <c r="C184" s="101"/>
      <c r="D184" s="286"/>
      <c r="E184" s="286"/>
      <c r="F184" s="264"/>
      <c r="G184" s="264"/>
      <c r="H184" s="264"/>
      <c r="I184" s="264"/>
      <c r="J184" s="264"/>
      <c r="K184" s="264"/>
      <c r="L184" s="264"/>
      <c r="M184" s="265"/>
      <c r="N184" s="265"/>
      <c r="O184" s="266"/>
      <c r="P184" s="266"/>
      <c r="Q184" s="267"/>
      <c r="R184" s="262"/>
    </row>
    <row r="185" spans="1:18" s="277" customFormat="1" ht="12.75">
      <c r="A185" s="102" t="s">
        <v>292</v>
      </c>
      <c r="B185" s="103"/>
      <c r="C185" s="103"/>
      <c r="D185" s="142"/>
      <c r="E185" s="143"/>
      <c r="F185" s="103"/>
      <c r="G185" s="103"/>
      <c r="H185" s="103"/>
      <c r="I185" s="103"/>
      <c r="J185" s="103"/>
      <c r="K185" s="103"/>
      <c r="L185" s="103"/>
      <c r="M185" s="283"/>
      <c r="N185" s="283"/>
      <c r="O185" s="284"/>
      <c r="P185" s="284"/>
      <c r="Q185" s="285"/>
      <c r="R185" s="269"/>
    </row>
    <row r="186" spans="1:18" s="277" customFormat="1" ht="12.75">
      <c r="A186" s="102" t="s">
        <v>293</v>
      </c>
      <c r="B186" s="103"/>
      <c r="C186" s="103"/>
      <c r="D186" s="142"/>
      <c r="E186" s="143"/>
      <c r="F186" s="103"/>
      <c r="G186" s="103"/>
      <c r="H186" s="103"/>
      <c r="I186" s="103"/>
      <c r="J186" s="103"/>
      <c r="K186" s="103"/>
      <c r="L186" s="103"/>
      <c r="M186" s="283"/>
      <c r="N186" s="283"/>
      <c r="O186" s="284"/>
      <c r="P186" s="284"/>
      <c r="Q186" s="285"/>
      <c r="R186" s="269"/>
    </row>
    <row r="187" spans="1:18" s="277" customFormat="1" ht="12.75">
      <c r="A187" s="102" t="s">
        <v>294</v>
      </c>
      <c r="B187" s="103"/>
      <c r="C187" s="103"/>
      <c r="D187" s="142"/>
      <c r="E187" s="143"/>
      <c r="F187" s="103"/>
      <c r="G187" s="103"/>
      <c r="H187" s="103"/>
      <c r="I187" s="103"/>
      <c r="J187" s="103"/>
      <c r="K187" s="103"/>
      <c r="L187" s="103"/>
      <c r="M187" s="283"/>
      <c r="N187" s="283"/>
      <c r="O187" s="284"/>
      <c r="P187" s="284"/>
      <c r="Q187" s="285"/>
      <c r="R187" s="269"/>
    </row>
    <row r="188" spans="1:18" s="277" customFormat="1" ht="12.75">
      <c r="A188" s="102" t="s">
        <v>295</v>
      </c>
      <c r="B188" s="103"/>
      <c r="C188" s="103"/>
      <c r="D188" s="142"/>
      <c r="E188" s="143"/>
      <c r="F188" s="103"/>
      <c r="G188" s="103"/>
      <c r="H188" s="103"/>
      <c r="I188" s="103"/>
      <c r="J188" s="103"/>
      <c r="K188" s="103"/>
      <c r="L188" s="103"/>
      <c r="M188" s="283"/>
      <c r="N188" s="283"/>
      <c r="O188" s="284"/>
      <c r="P188" s="284"/>
      <c r="Q188" s="285"/>
      <c r="R188" s="269"/>
    </row>
    <row r="189" spans="1:18" s="263" customFormat="1" ht="11.25" customHeight="1">
      <c r="A189" s="102" t="s">
        <v>296</v>
      </c>
      <c r="B189" s="103"/>
      <c r="C189" s="103"/>
      <c r="D189" s="286"/>
      <c r="E189" s="286"/>
      <c r="F189" s="264"/>
      <c r="G189" s="264"/>
      <c r="H189" s="264"/>
      <c r="I189" s="264"/>
      <c r="J189" s="264"/>
      <c r="K189" s="264"/>
      <c r="L189" s="264"/>
      <c r="M189" s="265"/>
      <c r="N189" s="265"/>
      <c r="O189" s="266"/>
      <c r="P189" s="266"/>
      <c r="Q189" s="267"/>
      <c r="R189" s="262"/>
    </row>
    <row r="190" spans="1:18" s="277" customFormat="1" ht="12.75">
      <c r="A190" s="102" t="s">
        <v>317</v>
      </c>
      <c r="B190" s="103"/>
      <c r="C190" s="103"/>
      <c r="D190" s="142"/>
      <c r="E190" s="143"/>
      <c r="F190" s="103"/>
      <c r="G190" s="103"/>
      <c r="H190" s="103"/>
      <c r="I190" s="103"/>
      <c r="J190" s="103"/>
      <c r="K190" s="103"/>
      <c r="L190" s="103"/>
      <c r="M190" s="283"/>
      <c r="N190" s="283"/>
      <c r="O190" s="284"/>
      <c r="P190" s="284"/>
      <c r="Q190" s="285"/>
      <c r="R190" s="269"/>
    </row>
    <row r="191" spans="1:18" s="277" customFormat="1" ht="25.5" customHeight="1">
      <c r="A191" s="369" t="s">
        <v>297</v>
      </c>
      <c r="B191" s="370"/>
      <c r="C191" s="370"/>
      <c r="D191" s="370"/>
      <c r="E191" s="370"/>
      <c r="F191" s="370"/>
      <c r="G191" s="370"/>
      <c r="H191" s="370"/>
      <c r="I191" s="370"/>
      <c r="J191" s="370"/>
      <c r="K191" s="370"/>
      <c r="L191" s="370"/>
      <c r="M191" s="370"/>
      <c r="N191" s="370"/>
      <c r="O191" s="370"/>
      <c r="P191" s="370"/>
      <c r="Q191" s="371"/>
      <c r="R191" s="269"/>
    </row>
    <row r="192" spans="1:18" s="277" customFormat="1" ht="12" customHeight="1">
      <c r="A192" s="369" t="s">
        <v>331</v>
      </c>
      <c r="B192" s="313"/>
      <c r="C192" s="313"/>
      <c r="D192" s="313"/>
      <c r="E192" s="313"/>
      <c r="F192" s="313"/>
      <c r="G192" s="313"/>
      <c r="H192" s="313"/>
      <c r="I192" s="313"/>
      <c r="J192" s="313"/>
      <c r="K192" s="313"/>
      <c r="L192" s="313"/>
      <c r="M192" s="313"/>
      <c r="N192" s="313"/>
      <c r="O192" s="313"/>
      <c r="P192" s="313"/>
      <c r="Q192" s="372"/>
      <c r="R192" s="269"/>
    </row>
    <row r="193" spans="1:18" s="277" customFormat="1" ht="12.75">
      <c r="A193" s="102" t="s">
        <v>298</v>
      </c>
      <c r="B193" s="103"/>
      <c r="C193" s="103"/>
      <c r="D193" s="142"/>
      <c r="E193" s="143"/>
      <c r="F193" s="103"/>
      <c r="G193" s="103"/>
      <c r="H193" s="103"/>
      <c r="I193" s="103"/>
      <c r="J193" s="103"/>
      <c r="K193" s="103"/>
      <c r="L193" s="103"/>
      <c r="M193" s="283"/>
      <c r="N193" s="283"/>
      <c r="O193" s="284"/>
      <c r="P193" s="284"/>
      <c r="Q193" s="285"/>
      <c r="R193" s="269"/>
    </row>
    <row r="194" spans="1:18" s="263" customFormat="1" ht="11.25" customHeight="1">
      <c r="A194" s="144" t="s">
        <v>299</v>
      </c>
      <c r="B194" s="145"/>
      <c r="C194" s="145"/>
      <c r="D194" s="287"/>
      <c r="E194" s="287"/>
      <c r="F194" s="275"/>
      <c r="G194" s="275"/>
      <c r="H194" s="275"/>
      <c r="I194" s="275"/>
      <c r="J194" s="275"/>
      <c r="K194" s="275"/>
      <c r="L194" s="275"/>
      <c r="M194" s="288"/>
      <c r="N194" s="288"/>
      <c r="O194" s="289"/>
      <c r="P194" s="289"/>
      <c r="Q194" s="290"/>
      <c r="R194" s="291"/>
    </row>
    <row r="195" spans="1:18" s="263" customFormat="1" ht="11.25" customHeight="1">
      <c r="A195" s="140" t="s">
        <v>300</v>
      </c>
      <c r="B195" s="146"/>
      <c r="C195" s="147"/>
      <c r="D195" s="287"/>
      <c r="E195" s="287"/>
      <c r="F195" s="275"/>
      <c r="G195" s="275"/>
      <c r="H195" s="275"/>
      <c r="I195" s="275"/>
      <c r="J195" s="275"/>
      <c r="K195" s="275"/>
      <c r="L195" s="275"/>
      <c r="M195" s="288"/>
      <c r="N195" s="288"/>
      <c r="O195" s="289"/>
      <c r="P195" s="289"/>
      <c r="Q195" s="290"/>
      <c r="R195" s="291"/>
    </row>
    <row r="196" spans="1:18" s="263" customFormat="1" ht="11.25" customHeight="1">
      <c r="A196" s="140" t="s">
        <v>301</v>
      </c>
      <c r="B196" s="146"/>
      <c r="C196" s="147"/>
      <c r="D196" s="287"/>
      <c r="E196" s="287"/>
      <c r="F196" s="275"/>
      <c r="G196" s="275"/>
      <c r="H196" s="275"/>
      <c r="I196" s="275"/>
      <c r="J196" s="275"/>
      <c r="K196" s="275"/>
      <c r="L196" s="275"/>
      <c r="M196" s="288"/>
      <c r="N196" s="288"/>
      <c r="O196" s="289"/>
      <c r="P196" s="289"/>
      <c r="Q196" s="290"/>
      <c r="R196" s="291"/>
    </row>
    <row r="197" spans="1:18" ht="9" customHeight="1">
      <c r="A197" s="100" t="s">
        <v>332</v>
      </c>
      <c r="B197" s="148"/>
      <c r="C197" s="148"/>
      <c r="D197" s="149"/>
      <c r="E197" s="150"/>
      <c r="F197" s="148"/>
      <c r="G197" s="148"/>
      <c r="H197" s="148"/>
      <c r="I197" s="148"/>
      <c r="J197" s="148"/>
      <c r="K197" s="148"/>
      <c r="L197" s="148"/>
      <c r="M197" s="292"/>
      <c r="N197" s="292"/>
      <c r="O197" s="293"/>
      <c r="P197" s="293"/>
      <c r="Q197" s="294"/>
      <c r="R197" s="151"/>
    </row>
    <row r="198" spans="1:18" s="263" customFormat="1" ht="11.25" customHeight="1">
      <c r="A198" s="144" t="s">
        <v>302</v>
      </c>
      <c r="B198" s="145"/>
      <c r="C198" s="145"/>
      <c r="D198" s="287"/>
      <c r="E198" s="287"/>
      <c r="F198" s="275"/>
      <c r="G198" s="275"/>
      <c r="H198" s="275"/>
      <c r="I198" s="275"/>
      <c r="J198" s="275"/>
      <c r="K198" s="275"/>
      <c r="L198" s="275"/>
      <c r="M198" s="288"/>
      <c r="N198" s="288"/>
      <c r="O198" s="289"/>
      <c r="P198" s="289"/>
      <c r="Q198" s="290"/>
      <c r="R198" s="291"/>
    </row>
    <row r="199" spans="1:18" s="263" customFormat="1" ht="11.25" customHeight="1">
      <c r="A199" s="144" t="s">
        <v>303</v>
      </c>
      <c r="B199" s="145"/>
      <c r="C199" s="145"/>
      <c r="D199" s="287"/>
      <c r="E199" s="287"/>
      <c r="F199" s="275"/>
      <c r="G199" s="275"/>
      <c r="H199" s="275"/>
      <c r="I199" s="275"/>
      <c r="J199" s="275"/>
      <c r="K199" s="275"/>
      <c r="L199" s="275"/>
      <c r="M199" s="288"/>
      <c r="N199" s="288"/>
      <c r="O199" s="289"/>
      <c r="P199" s="289"/>
      <c r="Q199" s="290"/>
      <c r="R199" s="291"/>
    </row>
    <row r="200" spans="1:18" s="263" customFormat="1" ht="11.25" customHeight="1">
      <c r="A200" s="144" t="s">
        <v>318</v>
      </c>
      <c r="B200" s="139"/>
      <c r="C200" s="139"/>
      <c r="D200" s="139"/>
      <c r="E200" s="139"/>
      <c r="F200" s="139"/>
      <c r="G200" s="139"/>
      <c r="H200" s="139"/>
      <c r="I200" s="139"/>
      <c r="J200" s="139"/>
      <c r="K200" s="139"/>
      <c r="L200" s="139"/>
      <c r="M200" s="278"/>
      <c r="N200" s="278"/>
      <c r="O200" s="278"/>
      <c r="P200" s="278"/>
      <c r="Q200" s="279"/>
      <c r="R200" s="139"/>
    </row>
    <row r="201" spans="1:18" s="263" customFormat="1" ht="11.25" customHeight="1">
      <c r="A201" s="144" t="s">
        <v>304</v>
      </c>
      <c r="B201" s="145"/>
      <c r="C201" s="275"/>
      <c r="D201" s="287"/>
      <c r="E201" s="287"/>
      <c r="F201" s="275"/>
      <c r="G201" s="275"/>
      <c r="H201" s="275"/>
      <c r="I201" s="275"/>
      <c r="J201" s="275"/>
      <c r="K201" s="275"/>
      <c r="L201" s="275"/>
      <c r="M201" s="288"/>
      <c r="N201" s="288"/>
      <c r="O201" s="289"/>
      <c r="P201" s="289"/>
      <c r="Q201" s="290"/>
      <c r="R201" s="291"/>
    </row>
    <row r="202" spans="1:18" s="277" customFormat="1" ht="12.75">
      <c r="A202" s="144" t="s">
        <v>305</v>
      </c>
      <c r="B202" s="145"/>
      <c r="C202" s="145"/>
      <c r="D202" s="152"/>
      <c r="E202" s="153"/>
      <c r="F202" s="145"/>
      <c r="G202" s="145"/>
      <c r="H202" s="145"/>
      <c r="I202" s="145"/>
      <c r="J202" s="145"/>
      <c r="K202" s="145"/>
      <c r="L202" s="145"/>
      <c r="M202" s="295"/>
      <c r="N202" s="295"/>
      <c r="O202" s="296"/>
      <c r="P202" s="296"/>
      <c r="Q202" s="297"/>
      <c r="R202" s="298"/>
    </row>
    <row r="203" spans="1:18" s="277" customFormat="1" ht="13.5" thickBot="1">
      <c r="A203" s="212" t="s">
        <v>306</v>
      </c>
      <c r="B203" s="213"/>
      <c r="C203" s="213"/>
      <c r="D203" s="214"/>
      <c r="E203" s="215"/>
      <c r="F203" s="213"/>
      <c r="G203" s="213"/>
      <c r="H203" s="213"/>
      <c r="I203" s="213"/>
      <c r="J203" s="213"/>
      <c r="K203" s="213"/>
      <c r="L203" s="213"/>
      <c r="M203" s="299"/>
      <c r="N203" s="299"/>
      <c r="O203" s="300"/>
      <c r="P203" s="300"/>
      <c r="Q203" s="301"/>
      <c r="R203" s="302"/>
    </row>
    <row r="204" ht="12" thickTop="1"/>
    <row r="218" spans="4:18" s="277" customFormat="1" ht="12.75">
      <c r="D218" s="304"/>
      <c r="E218" s="219"/>
      <c r="M218" s="305"/>
      <c r="N218" s="305"/>
      <c r="O218" s="306"/>
      <c r="P218" s="306"/>
      <c r="Q218" s="306"/>
      <c r="R218" s="276"/>
    </row>
    <row r="219" spans="4:18" s="277" customFormat="1" ht="12.75">
      <c r="D219" s="304"/>
      <c r="E219" s="219"/>
      <c r="M219" s="305"/>
      <c r="N219" s="305"/>
      <c r="O219" s="306"/>
      <c r="P219" s="306"/>
      <c r="Q219" s="306"/>
      <c r="R219" s="276"/>
    </row>
    <row r="220" spans="4:18" s="277" customFormat="1" ht="12.75">
      <c r="D220" s="304"/>
      <c r="E220" s="219"/>
      <c r="M220" s="305"/>
      <c r="N220" s="305"/>
      <c r="O220" s="306"/>
      <c r="P220" s="306"/>
      <c r="Q220" s="306"/>
      <c r="R220" s="276"/>
    </row>
    <row r="221" spans="4:18" s="277" customFormat="1" ht="12.75">
      <c r="D221" s="304"/>
      <c r="E221" s="219"/>
      <c r="M221" s="305"/>
      <c r="N221" s="305"/>
      <c r="O221" s="306"/>
      <c r="P221" s="306"/>
      <c r="Q221" s="306"/>
      <c r="R221" s="276"/>
    </row>
    <row r="222" spans="4:18" s="277" customFormat="1" ht="12.75">
      <c r="D222" s="304"/>
      <c r="E222" s="219"/>
      <c r="M222" s="305"/>
      <c r="N222" s="305"/>
      <c r="O222" s="306"/>
      <c r="P222" s="306"/>
      <c r="Q222" s="306"/>
      <c r="R222" s="276"/>
    </row>
    <row r="223" spans="4:18" s="277" customFormat="1" ht="12.75">
      <c r="D223" s="304"/>
      <c r="E223" s="219"/>
      <c r="M223" s="305"/>
      <c r="N223" s="305"/>
      <c r="O223" s="306"/>
      <c r="P223" s="306"/>
      <c r="Q223" s="306"/>
      <c r="R223" s="276"/>
    </row>
    <row r="224" spans="4:18" s="277" customFormat="1" ht="12.75">
      <c r="D224" s="304"/>
      <c r="E224" s="219"/>
      <c r="M224" s="305"/>
      <c r="N224" s="305"/>
      <c r="O224" s="306"/>
      <c r="P224" s="306"/>
      <c r="Q224" s="306"/>
      <c r="R224" s="276"/>
    </row>
    <row r="225" spans="4:18" s="277" customFormat="1" ht="12.75">
      <c r="D225" s="304"/>
      <c r="E225" s="219"/>
      <c r="M225" s="305"/>
      <c r="N225" s="305"/>
      <c r="O225" s="306"/>
      <c r="P225" s="306"/>
      <c r="Q225" s="306"/>
      <c r="R225" s="276"/>
    </row>
    <row r="226" spans="4:18" s="277" customFormat="1" ht="12.75">
      <c r="D226" s="304"/>
      <c r="E226" s="219"/>
      <c r="M226" s="305"/>
      <c r="N226" s="305"/>
      <c r="O226" s="306"/>
      <c r="P226" s="306"/>
      <c r="Q226" s="306"/>
      <c r="R226" s="276"/>
    </row>
    <row r="227" spans="4:18" s="277" customFormat="1" ht="12.75">
      <c r="D227" s="304"/>
      <c r="E227" s="219"/>
      <c r="M227" s="305"/>
      <c r="N227" s="305"/>
      <c r="O227" s="306"/>
      <c r="P227" s="306"/>
      <c r="Q227" s="306"/>
      <c r="R227" s="276"/>
    </row>
    <row r="228" spans="4:18" s="277" customFormat="1" ht="12.75">
      <c r="D228" s="304"/>
      <c r="E228" s="219"/>
      <c r="M228" s="305"/>
      <c r="N228" s="305"/>
      <c r="O228" s="306"/>
      <c r="P228" s="306"/>
      <c r="Q228" s="306"/>
      <c r="R228" s="276"/>
    </row>
    <row r="229" spans="4:18" s="277" customFormat="1" ht="12.75">
      <c r="D229" s="304"/>
      <c r="E229" s="219"/>
      <c r="M229" s="305"/>
      <c r="N229" s="305"/>
      <c r="O229" s="306"/>
      <c r="P229" s="306"/>
      <c r="Q229" s="306"/>
      <c r="R229" s="276"/>
    </row>
    <row r="230" spans="4:18" s="277" customFormat="1" ht="12.75">
      <c r="D230" s="304"/>
      <c r="E230" s="219"/>
      <c r="M230" s="305"/>
      <c r="N230" s="305"/>
      <c r="O230" s="306"/>
      <c r="P230" s="306"/>
      <c r="Q230" s="306"/>
      <c r="R230" s="276"/>
    </row>
    <row r="231" spans="4:18" s="277" customFormat="1" ht="12.75">
      <c r="D231" s="304"/>
      <c r="E231" s="219"/>
      <c r="M231" s="305"/>
      <c r="N231" s="305"/>
      <c r="O231" s="306"/>
      <c r="P231" s="306"/>
      <c r="Q231" s="306"/>
      <c r="R231" s="276"/>
    </row>
    <row r="232" spans="4:18" s="277" customFormat="1" ht="12.75">
      <c r="D232" s="304"/>
      <c r="E232" s="219"/>
      <c r="M232" s="305"/>
      <c r="N232" s="305"/>
      <c r="O232" s="306"/>
      <c r="P232" s="306"/>
      <c r="Q232" s="306"/>
      <c r="R232" s="276"/>
    </row>
    <row r="233" spans="4:18" s="277" customFormat="1" ht="12.75">
      <c r="D233" s="304"/>
      <c r="E233" s="219"/>
      <c r="M233" s="305"/>
      <c r="N233" s="305"/>
      <c r="O233" s="306"/>
      <c r="P233" s="306"/>
      <c r="Q233" s="306"/>
      <c r="R233" s="276"/>
    </row>
    <row r="234" spans="4:18" s="277" customFormat="1" ht="12.75">
      <c r="D234" s="304"/>
      <c r="E234" s="219"/>
      <c r="M234" s="305"/>
      <c r="N234" s="305"/>
      <c r="O234" s="306"/>
      <c r="P234" s="306"/>
      <c r="Q234" s="306"/>
      <c r="R234" s="276"/>
    </row>
    <row r="235" spans="4:18" s="277" customFormat="1" ht="12.75">
      <c r="D235" s="304"/>
      <c r="E235" s="219"/>
      <c r="M235" s="305"/>
      <c r="N235" s="305"/>
      <c r="O235" s="306"/>
      <c r="P235" s="306"/>
      <c r="Q235" s="306"/>
      <c r="R235" s="276"/>
    </row>
    <row r="236" spans="4:18" s="277" customFormat="1" ht="12.75">
      <c r="D236" s="304"/>
      <c r="E236" s="219"/>
      <c r="M236" s="305"/>
      <c r="N236" s="305"/>
      <c r="O236" s="306"/>
      <c r="P236" s="306"/>
      <c r="Q236" s="306"/>
      <c r="R236" s="276"/>
    </row>
    <row r="237" spans="4:18" s="277" customFormat="1" ht="12.75">
      <c r="D237" s="304"/>
      <c r="E237" s="219"/>
      <c r="M237" s="305"/>
      <c r="N237" s="305"/>
      <c r="O237" s="306"/>
      <c r="P237" s="306"/>
      <c r="Q237" s="306"/>
      <c r="R237" s="276"/>
    </row>
    <row r="238" spans="4:18" s="277" customFormat="1" ht="12.75">
      <c r="D238" s="304"/>
      <c r="E238" s="219"/>
      <c r="M238" s="305"/>
      <c r="N238" s="305"/>
      <c r="O238" s="306"/>
      <c r="P238" s="306"/>
      <c r="Q238" s="306"/>
      <c r="R238" s="276"/>
    </row>
    <row r="239" spans="4:18" s="277" customFormat="1" ht="12.75">
      <c r="D239" s="304"/>
      <c r="E239" s="219"/>
      <c r="M239" s="305"/>
      <c r="N239" s="305"/>
      <c r="O239" s="306"/>
      <c r="P239" s="306"/>
      <c r="Q239" s="306"/>
      <c r="R239" s="276"/>
    </row>
    <row r="240" spans="4:18" s="277" customFormat="1" ht="12.75">
      <c r="D240" s="304"/>
      <c r="E240" s="219"/>
      <c r="M240" s="305"/>
      <c r="N240" s="305"/>
      <c r="O240" s="306"/>
      <c r="P240" s="306"/>
      <c r="Q240" s="306"/>
      <c r="R240" s="276"/>
    </row>
    <row r="241" spans="4:18" s="277" customFormat="1" ht="12.75">
      <c r="D241" s="304"/>
      <c r="E241" s="219"/>
      <c r="M241" s="305"/>
      <c r="N241" s="305"/>
      <c r="O241" s="306"/>
      <c r="P241" s="306"/>
      <c r="Q241" s="306"/>
      <c r="R241" s="276"/>
    </row>
    <row r="242" spans="4:18" s="277" customFormat="1" ht="12.75">
      <c r="D242" s="304"/>
      <c r="E242" s="219"/>
      <c r="M242" s="305"/>
      <c r="N242" s="305"/>
      <c r="O242" s="306"/>
      <c r="P242" s="306"/>
      <c r="Q242" s="306"/>
      <c r="R242" s="276"/>
    </row>
    <row r="243" spans="4:18" s="277" customFormat="1" ht="12.75">
      <c r="D243" s="304"/>
      <c r="E243" s="219"/>
      <c r="M243" s="305"/>
      <c r="N243" s="305"/>
      <c r="O243" s="306"/>
      <c r="P243" s="306"/>
      <c r="Q243" s="306"/>
      <c r="R243" s="276"/>
    </row>
    <row r="244" spans="4:18" s="277" customFormat="1" ht="12.75">
      <c r="D244" s="304"/>
      <c r="E244" s="219"/>
      <c r="M244" s="305"/>
      <c r="N244" s="305"/>
      <c r="O244" s="306"/>
      <c r="P244" s="306"/>
      <c r="Q244" s="306"/>
      <c r="R244" s="276"/>
    </row>
    <row r="245" spans="4:18" s="277" customFormat="1" ht="12.75">
      <c r="D245" s="304"/>
      <c r="E245" s="219"/>
      <c r="M245" s="305"/>
      <c r="N245" s="305"/>
      <c r="O245" s="306"/>
      <c r="P245" s="306"/>
      <c r="Q245" s="306"/>
      <c r="R245" s="276"/>
    </row>
    <row r="246" spans="4:18" s="277" customFormat="1" ht="12.75">
      <c r="D246" s="304"/>
      <c r="E246" s="219"/>
      <c r="M246" s="305"/>
      <c r="N246" s="305"/>
      <c r="O246" s="306"/>
      <c r="P246" s="306"/>
      <c r="Q246" s="306"/>
      <c r="R246" s="276"/>
    </row>
    <row r="247" spans="4:18" s="277" customFormat="1" ht="12.75">
      <c r="D247" s="304"/>
      <c r="E247" s="219"/>
      <c r="M247" s="305"/>
      <c r="N247" s="305"/>
      <c r="O247" s="306"/>
      <c r="P247" s="306"/>
      <c r="Q247" s="306"/>
      <c r="R247" s="276"/>
    </row>
    <row r="248" spans="4:18" s="277" customFormat="1" ht="12.75">
      <c r="D248" s="304"/>
      <c r="E248" s="219"/>
      <c r="M248" s="305"/>
      <c r="N248" s="305"/>
      <c r="O248" s="306"/>
      <c r="P248" s="306"/>
      <c r="Q248" s="306"/>
      <c r="R248" s="276"/>
    </row>
    <row r="249" spans="4:18" s="277" customFormat="1" ht="12.75">
      <c r="D249" s="304"/>
      <c r="E249" s="219"/>
      <c r="M249" s="305"/>
      <c r="N249" s="305"/>
      <c r="O249" s="306"/>
      <c r="P249" s="306"/>
      <c r="Q249" s="306"/>
      <c r="R249" s="276"/>
    </row>
    <row r="250" spans="4:18" s="277" customFormat="1" ht="12.75">
      <c r="D250" s="304"/>
      <c r="E250" s="219"/>
      <c r="M250" s="305"/>
      <c r="N250" s="305"/>
      <c r="O250" s="306"/>
      <c r="P250" s="306"/>
      <c r="Q250" s="306"/>
      <c r="R250" s="276"/>
    </row>
    <row r="251" spans="4:18" s="277" customFormat="1" ht="12.75">
      <c r="D251" s="304"/>
      <c r="E251" s="219"/>
      <c r="M251" s="305"/>
      <c r="N251" s="305"/>
      <c r="O251" s="306"/>
      <c r="P251" s="306"/>
      <c r="Q251" s="306"/>
      <c r="R251" s="276"/>
    </row>
    <row r="252" spans="4:18" s="277" customFormat="1" ht="12.75">
      <c r="D252" s="304"/>
      <c r="E252" s="219"/>
      <c r="M252" s="305"/>
      <c r="N252" s="305"/>
      <c r="O252" s="306"/>
      <c r="P252" s="306"/>
      <c r="Q252" s="306"/>
      <c r="R252" s="276"/>
    </row>
    <row r="253" spans="4:18" s="277" customFormat="1" ht="12.75">
      <c r="D253" s="304"/>
      <c r="E253" s="219"/>
      <c r="M253" s="305"/>
      <c r="N253" s="305"/>
      <c r="O253" s="306"/>
      <c r="P253" s="306"/>
      <c r="Q253" s="306"/>
      <c r="R253" s="276"/>
    </row>
    <row r="254" spans="4:18" s="277" customFormat="1" ht="12.75">
      <c r="D254" s="304"/>
      <c r="E254" s="219"/>
      <c r="M254" s="305"/>
      <c r="N254" s="305"/>
      <c r="O254" s="306"/>
      <c r="P254" s="306"/>
      <c r="Q254" s="306"/>
      <c r="R254" s="276"/>
    </row>
    <row r="255" spans="4:18" s="277" customFormat="1" ht="12.75">
      <c r="D255" s="304"/>
      <c r="E255" s="219"/>
      <c r="M255" s="305"/>
      <c r="N255" s="305"/>
      <c r="O255" s="306"/>
      <c r="P255" s="306"/>
      <c r="Q255" s="306"/>
      <c r="R255" s="276"/>
    </row>
    <row r="256" spans="4:18" s="277" customFormat="1" ht="12.75">
      <c r="D256" s="304"/>
      <c r="E256" s="219"/>
      <c r="M256" s="305"/>
      <c r="N256" s="305"/>
      <c r="O256" s="306"/>
      <c r="P256" s="306"/>
      <c r="Q256" s="306"/>
      <c r="R256" s="276"/>
    </row>
    <row r="257" spans="4:18" s="277" customFormat="1" ht="12.75">
      <c r="D257" s="304"/>
      <c r="E257" s="219"/>
      <c r="M257" s="305"/>
      <c r="N257" s="305"/>
      <c r="O257" s="306"/>
      <c r="P257" s="306"/>
      <c r="Q257" s="306"/>
      <c r="R257" s="276"/>
    </row>
    <row r="258" spans="4:18" s="277" customFormat="1" ht="12.75">
      <c r="D258" s="304"/>
      <c r="E258" s="219"/>
      <c r="M258" s="305"/>
      <c r="N258" s="305"/>
      <c r="O258" s="306"/>
      <c r="P258" s="306"/>
      <c r="Q258" s="306"/>
      <c r="R258" s="276"/>
    </row>
    <row r="259" spans="4:18" s="277" customFormat="1" ht="12.75">
      <c r="D259" s="304"/>
      <c r="E259" s="219"/>
      <c r="M259" s="305"/>
      <c r="N259" s="305"/>
      <c r="O259" s="306"/>
      <c r="P259" s="306"/>
      <c r="Q259" s="306"/>
      <c r="R259" s="276"/>
    </row>
    <row r="260" spans="4:18" s="277" customFormat="1" ht="12.75">
      <c r="D260" s="304"/>
      <c r="E260" s="219"/>
      <c r="M260" s="305"/>
      <c r="N260" s="305"/>
      <c r="O260" s="306"/>
      <c r="P260" s="306"/>
      <c r="Q260" s="306"/>
      <c r="R260" s="276"/>
    </row>
    <row r="261" spans="4:18" s="277" customFormat="1" ht="12.75">
      <c r="D261" s="304"/>
      <c r="E261" s="219"/>
      <c r="M261" s="305"/>
      <c r="N261" s="305"/>
      <c r="O261" s="306"/>
      <c r="P261" s="306"/>
      <c r="Q261" s="306"/>
      <c r="R261" s="276"/>
    </row>
    <row r="262" spans="4:18" s="277" customFormat="1" ht="12.75">
      <c r="D262" s="304"/>
      <c r="E262" s="219"/>
      <c r="M262" s="305"/>
      <c r="N262" s="305"/>
      <c r="O262" s="306"/>
      <c r="P262" s="306"/>
      <c r="Q262" s="306"/>
      <c r="R262" s="276"/>
    </row>
    <row r="263" spans="4:18" s="277" customFormat="1" ht="12.75">
      <c r="D263" s="304"/>
      <c r="E263" s="219"/>
      <c r="M263" s="305"/>
      <c r="N263" s="305"/>
      <c r="O263" s="306"/>
      <c r="P263" s="306"/>
      <c r="Q263" s="306"/>
      <c r="R263" s="276"/>
    </row>
    <row r="264" spans="4:18" s="277" customFormat="1" ht="12.75">
      <c r="D264" s="304"/>
      <c r="E264" s="219"/>
      <c r="M264" s="305"/>
      <c r="N264" s="305"/>
      <c r="O264" s="306"/>
      <c r="P264" s="306"/>
      <c r="Q264" s="306"/>
      <c r="R264" s="276"/>
    </row>
    <row r="265" spans="4:18" s="277" customFormat="1" ht="12.75">
      <c r="D265" s="304"/>
      <c r="E265" s="219"/>
      <c r="M265" s="305"/>
      <c r="N265" s="305"/>
      <c r="O265" s="306"/>
      <c r="P265" s="306"/>
      <c r="Q265" s="306"/>
      <c r="R265" s="276"/>
    </row>
    <row r="266" spans="4:18" s="277" customFormat="1" ht="12.75">
      <c r="D266" s="304"/>
      <c r="E266" s="219"/>
      <c r="M266" s="305"/>
      <c r="N266" s="305"/>
      <c r="O266" s="306"/>
      <c r="P266" s="306"/>
      <c r="Q266" s="306"/>
      <c r="R266" s="276"/>
    </row>
    <row r="267" spans="4:18" s="277" customFormat="1" ht="12.75">
      <c r="D267" s="304"/>
      <c r="E267" s="219"/>
      <c r="M267" s="305"/>
      <c r="N267" s="305"/>
      <c r="O267" s="306"/>
      <c r="P267" s="306"/>
      <c r="Q267" s="306"/>
      <c r="R267" s="276"/>
    </row>
    <row r="268" spans="4:18" s="277" customFormat="1" ht="12.75">
      <c r="D268" s="304"/>
      <c r="E268" s="219"/>
      <c r="M268" s="305"/>
      <c r="N268" s="305"/>
      <c r="O268" s="306"/>
      <c r="P268" s="306"/>
      <c r="Q268" s="306"/>
      <c r="R268" s="276"/>
    </row>
    <row r="269" spans="4:18" s="277" customFormat="1" ht="12.75">
      <c r="D269" s="304"/>
      <c r="E269" s="219"/>
      <c r="M269" s="305"/>
      <c r="N269" s="305"/>
      <c r="O269" s="306"/>
      <c r="P269" s="306"/>
      <c r="Q269" s="306"/>
      <c r="R269" s="276"/>
    </row>
    <row r="270" spans="4:17" ht="12.75">
      <c r="D270" s="304"/>
      <c r="E270" s="219"/>
      <c r="O270" s="307"/>
      <c r="P270" s="307"/>
      <c r="Q270" s="307"/>
    </row>
    <row r="271" spans="4:17" ht="12.75">
      <c r="D271" s="304"/>
      <c r="E271" s="219"/>
      <c r="O271" s="307"/>
      <c r="P271" s="307"/>
      <c r="Q271" s="307"/>
    </row>
    <row r="272" spans="4:17" ht="12.75">
      <c r="D272" s="304"/>
      <c r="E272" s="219"/>
      <c r="O272" s="307"/>
      <c r="P272" s="307"/>
      <c r="Q272" s="307"/>
    </row>
    <row r="273" spans="4:17" ht="12.75">
      <c r="D273" s="304"/>
      <c r="E273" s="219"/>
      <c r="O273" s="307"/>
      <c r="P273" s="307"/>
      <c r="Q273" s="307"/>
    </row>
    <row r="274" spans="4:17" ht="12.75">
      <c r="D274" s="304"/>
      <c r="E274" s="219"/>
      <c r="O274" s="307"/>
      <c r="P274" s="307"/>
      <c r="Q274" s="307"/>
    </row>
    <row r="275" spans="4:17" ht="12.75">
      <c r="D275" s="304"/>
      <c r="E275" s="219"/>
      <c r="O275" s="307"/>
      <c r="P275" s="307"/>
      <c r="Q275" s="307"/>
    </row>
    <row r="276" spans="15:17" ht="11.25">
      <c r="O276" s="307"/>
      <c r="P276" s="307"/>
      <c r="Q276" s="307"/>
    </row>
    <row r="277" spans="15:17" ht="11.25">
      <c r="O277" s="307"/>
      <c r="P277" s="307"/>
      <c r="Q277" s="307"/>
    </row>
    <row r="278" spans="15:17" ht="11.25">
      <c r="O278" s="307"/>
      <c r="P278" s="307"/>
      <c r="Q278" s="307"/>
    </row>
    <row r="279" spans="15:17" ht="11.25">
      <c r="O279" s="307"/>
      <c r="P279" s="307"/>
      <c r="Q279" s="307"/>
    </row>
    <row r="280" spans="15:17" ht="11.25">
      <c r="O280" s="307"/>
      <c r="P280" s="307"/>
      <c r="Q280" s="307"/>
    </row>
    <row r="281" spans="15:17" ht="11.25">
      <c r="O281" s="307"/>
      <c r="P281" s="307"/>
      <c r="Q281" s="307"/>
    </row>
    <row r="282" spans="15:17" ht="11.25">
      <c r="O282" s="307"/>
      <c r="P282" s="307"/>
      <c r="Q282" s="307"/>
    </row>
    <row r="283" spans="15:17" ht="11.25">
      <c r="O283" s="307"/>
      <c r="P283" s="307"/>
      <c r="Q283" s="307"/>
    </row>
    <row r="284" spans="15:17" ht="11.25">
      <c r="O284" s="307"/>
      <c r="P284" s="307"/>
      <c r="Q284" s="307"/>
    </row>
    <row r="285" spans="15:17" ht="11.25">
      <c r="O285" s="307"/>
      <c r="P285" s="307"/>
      <c r="Q285" s="307"/>
    </row>
    <row r="286" spans="15:17" ht="11.25">
      <c r="O286" s="307"/>
      <c r="P286" s="307"/>
      <c r="Q286" s="307"/>
    </row>
    <row r="287" spans="15:17" ht="11.25">
      <c r="O287" s="307"/>
      <c r="P287" s="307"/>
      <c r="Q287" s="307"/>
    </row>
    <row r="288" spans="15:17" ht="11.25">
      <c r="O288" s="307"/>
      <c r="P288" s="307"/>
      <c r="Q288" s="307"/>
    </row>
    <row r="289" spans="15:17" ht="11.25">
      <c r="O289" s="307"/>
      <c r="P289" s="307"/>
      <c r="Q289" s="307"/>
    </row>
    <row r="290" spans="15:17" ht="11.25">
      <c r="O290" s="307"/>
      <c r="P290" s="307"/>
      <c r="Q290" s="307"/>
    </row>
    <row r="291" spans="15:17" ht="11.25">
      <c r="O291" s="307"/>
      <c r="P291" s="307"/>
      <c r="Q291" s="307"/>
    </row>
    <row r="292" spans="15:17" ht="11.25">
      <c r="O292" s="307"/>
      <c r="P292" s="307"/>
      <c r="Q292" s="307"/>
    </row>
    <row r="293" spans="15:17" ht="11.25">
      <c r="O293" s="307"/>
      <c r="P293" s="307"/>
      <c r="Q293" s="307"/>
    </row>
    <row r="294" spans="15:17" ht="11.25">
      <c r="O294" s="307"/>
      <c r="P294" s="307"/>
      <c r="Q294" s="307"/>
    </row>
    <row r="295" spans="15:17" ht="11.25">
      <c r="O295" s="307"/>
      <c r="P295" s="307"/>
      <c r="Q295" s="307"/>
    </row>
    <row r="296" spans="15:17" ht="11.25">
      <c r="O296" s="307"/>
      <c r="P296" s="307"/>
      <c r="Q296" s="307"/>
    </row>
    <row r="297" spans="15:17" ht="11.25">
      <c r="O297" s="307"/>
      <c r="P297" s="307"/>
      <c r="Q297" s="307"/>
    </row>
    <row r="298" spans="15:17" ht="11.25">
      <c r="O298" s="307"/>
      <c r="P298" s="307"/>
      <c r="Q298" s="307"/>
    </row>
    <row r="299" spans="15:17" ht="11.25">
      <c r="O299" s="307"/>
      <c r="P299" s="307"/>
      <c r="Q299" s="307"/>
    </row>
    <row r="300" spans="15:17" ht="11.25">
      <c r="O300" s="307"/>
      <c r="P300" s="307"/>
      <c r="Q300" s="307"/>
    </row>
    <row r="301" spans="15:17" ht="11.25">
      <c r="O301" s="307"/>
      <c r="P301" s="307"/>
      <c r="Q301" s="307"/>
    </row>
    <row r="302" spans="15:17" ht="11.25">
      <c r="O302" s="307"/>
      <c r="P302" s="307"/>
      <c r="Q302" s="307"/>
    </row>
    <row r="303" spans="15:17" ht="11.25">
      <c r="O303" s="307"/>
      <c r="P303" s="307"/>
      <c r="Q303" s="307"/>
    </row>
    <row r="304" spans="15:17" ht="11.25">
      <c r="O304" s="307"/>
      <c r="P304" s="307"/>
      <c r="Q304" s="307"/>
    </row>
    <row r="305" spans="15:17" ht="11.25">
      <c r="O305" s="307"/>
      <c r="P305" s="307"/>
      <c r="Q305" s="307"/>
    </row>
    <row r="306" spans="15:17" ht="11.25">
      <c r="O306" s="307"/>
      <c r="P306" s="307"/>
      <c r="Q306" s="307"/>
    </row>
    <row r="307" spans="15:17" ht="11.25">
      <c r="O307" s="307"/>
      <c r="P307" s="307"/>
      <c r="Q307" s="307"/>
    </row>
    <row r="308" spans="15:17" ht="11.25">
      <c r="O308" s="307"/>
      <c r="P308" s="307"/>
      <c r="Q308" s="307"/>
    </row>
    <row r="309" spans="15:17" ht="11.25">
      <c r="O309" s="307"/>
      <c r="P309" s="307"/>
      <c r="Q309" s="307"/>
    </row>
    <row r="310" spans="15:17" ht="11.25">
      <c r="O310" s="307"/>
      <c r="P310" s="307"/>
      <c r="Q310" s="307"/>
    </row>
    <row r="311" spans="15:17" ht="11.25">
      <c r="O311" s="307"/>
      <c r="P311" s="307"/>
      <c r="Q311" s="307"/>
    </row>
    <row r="312" spans="15:17" ht="11.25">
      <c r="O312" s="307"/>
      <c r="P312" s="307"/>
      <c r="Q312" s="307"/>
    </row>
    <row r="313" spans="15:17" ht="11.25">
      <c r="O313" s="307"/>
      <c r="P313" s="307"/>
      <c r="Q313" s="307"/>
    </row>
    <row r="314" spans="15:17" ht="11.25">
      <c r="O314" s="307"/>
      <c r="P314" s="307"/>
      <c r="Q314" s="307"/>
    </row>
    <row r="315" spans="15:17" ht="11.25">
      <c r="O315" s="307"/>
      <c r="P315" s="307"/>
      <c r="Q315" s="307"/>
    </row>
    <row r="316" spans="15:17" ht="11.25">
      <c r="O316" s="307"/>
      <c r="P316" s="307"/>
      <c r="Q316" s="307"/>
    </row>
    <row r="317" spans="15:17" ht="11.25">
      <c r="O317" s="307"/>
      <c r="P317" s="307"/>
      <c r="Q317" s="307"/>
    </row>
    <row r="318" spans="15:17" ht="11.25">
      <c r="O318" s="307"/>
      <c r="P318" s="307"/>
      <c r="Q318" s="307"/>
    </row>
    <row r="319" spans="15:17" ht="11.25">
      <c r="O319" s="307"/>
      <c r="P319" s="307"/>
      <c r="Q319" s="307"/>
    </row>
    <row r="320" spans="15:17" ht="11.25">
      <c r="O320" s="307"/>
      <c r="P320" s="307"/>
      <c r="Q320" s="307"/>
    </row>
    <row r="321" spans="15:17" ht="11.25">
      <c r="O321" s="307"/>
      <c r="P321" s="307"/>
      <c r="Q321" s="307"/>
    </row>
    <row r="322" spans="15:17" ht="11.25">
      <c r="O322" s="307"/>
      <c r="P322" s="307"/>
      <c r="Q322" s="307"/>
    </row>
    <row r="323" spans="15:17" ht="11.25">
      <c r="O323" s="307"/>
      <c r="P323" s="307"/>
      <c r="Q323" s="307"/>
    </row>
    <row r="324" spans="15:17" ht="11.25">
      <c r="O324" s="307"/>
      <c r="P324" s="307"/>
      <c r="Q324" s="307"/>
    </row>
    <row r="325" spans="15:17" ht="11.25">
      <c r="O325" s="307"/>
      <c r="P325" s="307"/>
      <c r="Q325" s="307"/>
    </row>
    <row r="326" spans="15:17" ht="11.25">
      <c r="O326" s="307"/>
      <c r="P326" s="307"/>
      <c r="Q326" s="307"/>
    </row>
    <row r="327" spans="15:17" ht="11.25">
      <c r="O327" s="307"/>
      <c r="P327" s="307"/>
      <c r="Q327" s="307"/>
    </row>
    <row r="328" spans="15:17" ht="11.25">
      <c r="O328" s="307"/>
      <c r="P328" s="307"/>
      <c r="Q328" s="307"/>
    </row>
    <row r="329" spans="15:17" ht="11.25">
      <c r="O329" s="307"/>
      <c r="P329" s="307"/>
      <c r="Q329" s="307"/>
    </row>
    <row r="330" spans="15:17" ht="11.25">
      <c r="O330" s="307"/>
      <c r="P330" s="307"/>
      <c r="Q330" s="307"/>
    </row>
    <row r="331" spans="15:17" ht="11.25">
      <c r="O331" s="307"/>
      <c r="P331" s="307"/>
      <c r="Q331" s="307"/>
    </row>
    <row r="332" spans="15:17" ht="11.25">
      <c r="O332" s="307"/>
      <c r="P332" s="307"/>
      <c r="Q332" s="307"/>
    </row>
    <row r="333" spans="15:17" ht="11.25">
      <c r="O333" s="307"/>
      <c r="P333" s="307"/>
      <c r="Q333" s="307"/>
    </row>
    <row r="334" spans="15:17" ht="11.25">
      <c r="O334" s="307"/>
      <c r="P334" s="307"/>
      <c r="Q334" s="307"/>
    </row>
    <row r="335" spans="15:17" ht="11.25">
      <c r="O335" s="307"/>
      <c r="P335" s="307"/>
      <c r="Q335" s="307"/>
    </row>
    <row r="336" spans="15:17" ht="11.25">
      <c r="O336" s="307"/>
      <c r="P336" s="307"/>
      <c r="Q336" s="307"/>
    </row>
    <row r="337" spans="15:17" ht="11.25">
      <c r="O337" s="307"/>
      <c r="P337" s="307"/>
      <c r="Q337" s="307"/>
    </row>
    <row r="338" spans="15:17" ht="11.25">
      <c r="O338" s="307"/>
      <c r="P338" s="307"/>
      <c r="Q338" s="307"/>
    </row>
    <row r="339" spans="15:17" ht="11.25">
      <c r="O339" s="307"/>
      <c r="P339" s="307"/>
      <c r="Q339" s="307"/>
    </row>
    <row r="340" spans="15:17" ht="11.25">
      <c r="O340" s="307"/>
      <c r="P340" s="307"/>
      <c r="Q340" s="307"/>
    </row>
    <row r="341" spans="15:17" ht="11.25">
      <c r="O341" s="307"/>
      <c r="P341" s="307"/>
      <c r="Q341" s="307"/>
    </row>
    <row r="342" spans="15:17" ht="11.25">
      <c r="O342" s="307"/>
      <c r="P342" s="307"/>
      <c r="Q342" s="307"/>
    </row>
    <row r="343" spans="15:17" ht="11.25">
      <c r="O343" s="307"/>
      <c r="P343" s="307"/>
      <c r="Q343" s="307"/>
    </row>
    <row r="344" spans="15:17" ht="11.25">
      <c r="O344" s="307"/>
      <c r="P344" s="307"/>
      <c r="Q344" s="307"/>
    </row>
    <row r="345" spans="15:17" ht="11.25">
      <c r="O345" s="307"/>
      <c r="P345" s="307"/>
      <c r="Q345" s="307"/>
    </row>
    <row r="346" spans="15:17" ht="11.25">
      <c r="O346" s="307"/>
      <c r="P346" s="307"/>
      <c r="Q346" s="307"/>
    </row>
    <row r="347" spans="15:17" ht="11.25">
      <c r="O347" s="307"/>
      <c r="P347" s="307"/>
      <c r="Q347" s="307"/>
    </row>
    <row r="348" spans="15:17" ht="11.25">
      <c r="O348" s="307"/>
      <c r="P348" s="307"/>
      <c r="Q348" s="307"/>
    </row>
    <row r="349" spans="15:17" ht="11.25">
      <c r="O349" s="307"/>
      <c r="P349" s="307"/>
      <c r="Q349" s="307"/>
    </row>
    <row r="350" spans="15:17" ht="11.25">
      <c r="O350" s="307"/>
      <c r="P350" s="307"/>
      <c r="Q350" s="307"/>
    </row>
    <row r="351" spans="15:17" ht="11.25">
      <c r="O351" s="307"/>
      <c r="P351" s="307"/>
      <c r="Q351" s="307"/>
    </row>
    <row r="352" spans="15:17" ht="11.25">
      <c r="O352" s="307"/>
      <c r="P352" s="307"/>
      <c r="Q352" s="307"/>
    </row>
    <row r="353" spans="15:17" ht="11.25">
      <c r="O353" s="307"/>
      <c r="P353" s="307"/>
      <c r="Q353" s="307"/>
    </row>
    <row r="354" spans="15:17" ht="11.25">
      <c r="O354" s="307"/>
      <c r="P354" s="307"/>
      <c r="Q354" s="307"/>
    </row>
    <row r="355" spans="15:17" ht="11.25">
      <c r="O355" s="307"/>
      <c r="P355" s="307"/>
      <c r="Q355" s="307"/>
    </row>
    <row r="356" spans="15:17" ht="11.25">
      <c r="O356" s="307"/>
      <c r="P356" s="307"/>
      <c r="Q356" s="307"/>
    </row>
    <row r="357" spans="15:17" ht="11.25">
      <c r="O357" s="307"/>
      <c r="P357" s="307"/>
      <c r="Q357" s="307"/>
    </row>
    <row r="358" spans="15:17" ht="11.25">
      <c r="O358" s="307"/>
      <c r="P358" s="307"/>
      <c r="Q358" s="307"/>
    </row>
    <row r="359" spans="15:17" ht="11.25">
      <c r="O359" s="307"/>
      <c r="P359" s="307"/>
      <c r="Q359" s="307"/>
    </row>
    <row r="360" spans="15:17" ht="11.25">
      <c r="O360" s="307"/>
      <c r="P360" s="307"/>
      <c r="Q360" s="307"/>
    </row>
    <row r="361" spans="15:17" ht="11.25">
      <c r="O361" s="307"/>
      <c r="P361" s="307"/>
      <c r="Q361" s="307"/>
    </row>
    <row r="362" spans="15:17" ht="11.25">
      <c r="O362" s="307"/>
      <c r="P362" s="307"/>
      <c r="Q362" s="307"/>
    </row>
    <row r="363" spans="15:17" ht="11.25">
      <c r="O363" s="307"/>
      <c r="P363" s="307"/>
      <c r="Q363" s="307"/>
    </row>
    <row r="364" spans="15:17" ht="11.25">
      <c r="O364" s="307"/>
      <c r="P364" s="307"/>
      <c r="Q364" s="307"/>
    </row>
    <row r="365" spans="15:17" ht="11.25">
      <c r="O365" s="307"/>
      <c r="P365" s="307"/>
      <c r="Q365" s="307"/>
    </row>
    <row r="366" spans="15:17" ht="11.25">
      <c r="O366" s="307"/>
      <c r="P366" s="307"/>
      <c r="Q366" s="307"/>
    </row>
    <row r="367" spans="15:17" ht="11.25">
      <c r="O367" s="307"/>
      <c r="P367" s="307"/>
      <c r="Q367" s="307"/>
    </row>
    <row r="368" spans="15:17" ht="11.25">
      <c r="O368" s="307"/>
      <c r="P368" s="307"/>
      <c r="Q368" s="307"/>
    </row>
    <row r="369" spans="15:17" ht="11.25">
      <c r="O369" s="307"/>
      <c r="P369" s="307"/>
      <c r="Q369" s="307"/>
    </row>
    <row r="370" spans="15:17" ht="11.25">
      <c r="O370" s="307"/>
      <c r="P370" s="307"/>
      <c r="Q370" s="307"/>
    </row>
    <row r="371" spans="15:17" ht="11.25">
      <c r="O371" s="307"/>
      <c r="P371" s="307"/>
      <c r="Q371" s="307"/>
    </row>
    <row r="372" spans="15:17" ht="11.25">
      <c r="O372" s="307"/>
      <c r="P372" s="307"/>
      <c r="Q372" s="307"/>
    </row>
    <row r="373" spans="15:17" ht="11.25">
      <c r="O373" s="307"/>
      <c r="P373" s="307"/>
      <c r="Q373" s="307"/>
    </row>
    <row r="374" spans="15:17" ht="11.25">
      <c r="O374" s="307"/>
      <c r="P374" s="307"/>
      <c r="Q374" s="307"/>
    </row>
    <row r="375" spans="15:17" ht="11.25">
      <c r="O375" s="307"/>
      <c r="P375" s="307"/>
      <c r="Q375" s="307"/>
    </row>
    <row r="376" spans="15:17" ht="11.25">
      <c r="O376" s="307"/>
      <c r="P376" s="307"/>
      <c r="Q376" s="307"/>
    </row>
    <row r="377" spans="15:17" ht="11.25">
      <c r="O377" s="307"/>
      <c r="P377" s="307"/>
      <c r="Q377" s="307"/>
    </row>
    <row r="378" spans="15:17" ht="11.25">
      <c r="O378" s="307"/>
      <c r="P378" s="307"/>
      <c r="Q378" s="307"/>
    </row>
    <row r="379" spans="15:17" ht="11.25">
      <c r="O379" s="307"/>
      <c r="P379" s="307"/>
      <c r="Q379" s="307"/>
    </row>
    <row r="380" spans="15:17" ht="11.25">
      <c r="O380" s="307"/>
      <c r="P380" s="307"/>
      <c r="Q380" s="307"/>
    </row>
    <row r="381" spans="15:17" ht="11.25">
      <c r="O381" s="307"/>
      <c r="P381" s="307"/>
      <c r="Q381" s="307"/>
    </row>
    <row r="382" spans="15:17" ht="11.25">
      <c r="O382" s="307"/>
      <c r="P382" s="307"/>
      <c r="Q382" s="307"/>
    </row>
    <row r="383" spans="15:17" ht="11.25">
      <c r="O383" s="307"/>
      <c r="P383" s="307"/>
      <c r="Q383" s="307"/>
    </row>
    <row r="384" spans="15:17" ht="11.25">
      <c r="O384" s="307"/>
      <c r="P384" s="307"/>
      <c r="Q384" s="307"/>
    </row>
    <row r="385" spans="15:17" ht="11.25">
      <c r="O385" s="307"/>
      <c r="P385" s="307"/>
      <c r="Q385" s="307"/>
    </row>
    <row r="386" spans="15:17" ht="11.25">
      <c r="O386" s="307"/>
      <c r="P386" s="307"/>
      <c r="Q386" s="307"/>
    </row>
    <row r="387" spans="15:17" ht="11.25">
      <c r="O387" s="307"/>
      <c r="P387" s="307"/>
      <c r="Q387" s="307"/>
    </row>
    <row r="388" spans="15:17" ht="11.25">
      <c r="O388" s="307"/>
      <c r="P388" s="307"/>
      <c r="Q388" s="307"/>
    </row>
    <row r="389" spans="15:17" ht="11.25">
      <c r="O389" s="307"/>
      <c r="P389" s="307"/>
      <c r="Q389" s="307"/>
    </row>
    <row r="390" spans="15:17" ht="11.25">
      <c r="O390" s="307"/>
      <c r="P390" s="307"/>
      <c r="Q390" s="307"/>
    </row>
    <row r="391" spans="15:17" ht="11.25">
      <c r="O391" s="307"/>
      <c r="P391" s="307"/>
      <c r="Q391" s="307"/>
    </row>
    <row r="392" spans="15:17" ht="11.25">
      <c r="O392" s="307"/>
      <c r="P392" s="307"/>
      <c r="Q392" s="307"/>
    </row>
    <row r="393" spans="15:17" ht="11.25">
      <c r="O393" s="307"/>
      <c r="P393" s="307"/>
      <c r="Q393" s="307"/>
    </row>
    <row r="394" spans="15:17" ht="11.25">
      <c r="O394" s="307"/>
      <c r="P394" s="307"/>
      <c r="Q394" s="307"/>
    </row>
    <row r="395" spans="15:17" ht="11.25">
      <c r="O395" s="307"/>
      <c r="P395" s="307"/>
      <c r="Q395" s="307"/>
    </row>
    <row r="396" spans="15:17" ht="11.25">
      <c r="O396" s="307"/>
      <c r="P396" s="307"/>
      <c r="Q396" s="307"/>
    </row>
    <row r="397" spans="15:17" ht="11.25">
      <c r="O397" s="307"/>
      <c r="P397" s="307"/>
      <c r="Q397" s="307"/>
    </row>
    <row r="398" spans="15:17" ht="11.25">
      <c r="O398" s="307"/>
      <c r="P398" s="307"/>
      <c r="Q398" s="307"/>
    </row>
    <row r="399" spans="15:17" ht="11.25">
      <c r="O399" s="307"/>
      <c r="P399" s="307"/>
      <c r="Q399" s="307"/>
    </row>
    <row r="400" spans="15:17" ht="11.25">
      <c r="O400" s="307"/>
      <c r="P400" s="307"/>
      <c r="Q400" s="307"/>
    </row>
    <row r="401" spans="15:17" ht="11.25">
      <c r="O401" s="307"/>
      <c r="P401" s="307"/>
      <c r="Q401" s="307"/>
    </row>
    <row r="402" spans="15:17" ht="11.25">
      <c r="O402" s="307"/>
      <c r="P402" s="307"/>
      <c r="Q402" s="307"/>
    </row>
    <row r="403" spans="15:17" ht="11.25">
      <c r="O403" s="307"/>
      <c r="P403" s="307"/>
      <c r="Q403" s="307"/>
    </row>
    <row r="404" spans="15:17" ht="11.25">
      <c r="O404" s="307"/>
      <c r="P404" s="307"/>
      <c r="Q404" s="307"/>
    </row>
    <row r="405" spans="15:17" ht="11.25">
      <c r="O405" s="307"/>
      <c r="P405" s="307"/>
      <c r="Q405" s="307"/>
    </row>
    <row r="406" spans="15:17" ht="11.25">
      <c r="O406" s="307"/>
      <c r="P406" s="307"/>
      <c r="Q406" s="307"/>
    </row>
    <row r="407" spans="15:17" ht="11.25">
      <c r="O407" s="307"/>
      <c r="P407" s="307"/>
      <c r="Q407" s="307"/>
    </row>
    <row r="408" spans="15:17" ht="11.25">
      <c r="O408" s="307"/>
      <c r="P408" s="307"/>
      <c r="Q408" s="307"/>
    </row>
    <row r="409" spans="15:17" ht="11.25">
      <c r="O409" s="307"/>
      <c r="P409" s="307"/>
      <c r="Q409" s="307"/>
    </row>
    <row r="410" spans="15:17" ht="11.25">
      <c r="O410" s="307"/>
      <c r="P410" s="307"/>
      <c r="Q410" s="307"/>
    </row>
    <row r="411" spans="15:17" ht="11.25">
      <c r="O411" s="307"/>
      <c r="P411" s="307"/>
      <c r="Q411" s="307"/>
    </row>
    <row r="412" spans="15:17" ht="11.25">
      <c r="O412" s="307"/>
      <c r="P412" s="307"/>
      <c r="Q412" s="307"/>
    </row>
    <row r="413" spans="15:17" ht="11.25">
      <c r="O413" s="307"/>
      <c r="P413" s="307"/>
      <c r="Q413" s="307"/>
    </row>
    <row r="414" spans="15:17" ht="11.25">
      <c r="O414" s="307"/>
      <c r="P414" s="307"/>
      <c r="Q414" s="307"/>
    </row>
    <row r="415" spans="15:17" ht="11.25">
      <c r="O415" s="307"/>
      <c r="P415" s="307"/>
      <c r="Q415" s="307"/>
    </row>
    <row r="416" spans="15:17" ht="11.25">
      <c r="O416" s="307"/>
      <c r="P416" s="307"/>
      <c r="Q416" s="307"/>
    </row>
    <row r="417" spans="15:17" ht="11.25">
      <c r="O417" s="307"/>
      <c r="P417" s="307"/>
      <c r="Q417" s="307"/>
    </row>
    <row r="418" spans="15:17" ht="11.25">
      <c r="O418" s="307"/>
      <c r="P418" s="307"/>
      <c r="Q418" s="307"/>
    </row>
    <row r="419" spans="15:17" ht="11.25">
      <c r="O419" s="307"/>
      <c r="P419" s="307"/>
      <c r="Q419" s="307"/>
    </row>
    <row r="420" spans="15:17" ht="11.25">
      <c r="O420" s="307"/>
      <c r="P420" s="307"/>
      <c r="Q420" s="307"/>
    </row>
    <row r="421" spans="15:17" ht="11.25">
      <c r="O421" s="307"/>
      <c r="P421" s="307"/>
      <c r="Q421" s="307"/>
    </row>
    <row r="422" spans="15:17" ht="11.25">
      <c r="O422" s="307"/>
      <c r="P422" s="307"/>
      <c r="Q422" s="307"/>
    </row>
    <row r="423" spans="15:17" ht="11.25">
      <c r="O423" s="307"/>
      <c r="P423" s="307"/>
      <c r="Q423" s="307"/>
    </row>
    <row r="424" spans="15:17" ht="11.25">
      <c r="O424" s="307"/>
      <c r="P424" s="307"/>
      <c r="Q424" s="307"/>
    </row>
    <row r="425" spans="15:17" ht="11.25">
      <c r="O425" s="307"/>
      <c r="P425" s="307"/>
      <c r="Q425" s="307"/>
    </row>
    <row r="426" spans="15:17" ht="11.25">
      <c r="O426" s="307"/>
      <c r="P426" s="307"/>
      <c r="Q426" s="307"/>
    </row>
    <row r="427" spans="15:17" ht="11.25">
      <c r="O427" s="307"/>
      <c r="P427" s="307"/>
      <c r="Q427" s="307"/>
    </row>
    <row r="428" spans="15:17" ht="11.25">
      <c r="O428" s="307"/>
      <c r="P428" s="307"/>
      <c r="Q428" s="307"/>
    </row>
    <row r="429" spans="15:17" ht="11.25">
      <c r="O429" s="307"/>
      <c r="P429" s="307"/>
      <c r="Q429" s="307"/>
    </row>
    <row r="430" spans="15:17" ht="11.25">
      <c r="O430" s="307"/>
      <c r="P430" s="307"/>
      <c r="Q430" s="307"/>
    </row>
    <row r="431" spans="15:17" ht="11.25">
      <c r="O431" s="307"/>
      <c r="P431" s="307"/>
      <c r="Q431" s="307"/>
    </row>
    <row r="432" spans="15:17" ht="11.25">
      <c r="O432" s="307"/>
      <c r="P432" s="307"/>
      <c r="Q432" s="307"/>
    </row>
    <row r="433" spans="15:17" ht="11.25">
      <c r="O433" s="307"/>
      <c r="P433" s="307"/>
      <c r="Q433" s="307"/>
    </row>
    <row r="434" spans="15:17" ht="11.25">
      <c r="O434" s="307"/>
      <c r="P434" s="307"/>
      <c r="Q434" s="307"/>
    </row>
    <row r="435" spans="15:17" ht="11.25">
      <c r="O435" s="307"/>
      <c r="P435" s="307"/>
      <c r="Q435" s="307"/>
    </row>
    <row r="436" spans="15:17" ht="11.25">
      <c r="O436" s="307"/>
      <c r="P436" s="307"/>
      <c r="Q436" s="307"/>
    </row>
    <row r="437" spans="15:17" ht="11.25">
      <c r="O437" s="307"/>
      <c r="P437" s="307"/>
      <c r="Q437" s="307"/>
    </row>
    <row r="438" spans="15:17" ht="11.25">
      <c r="O438" s="307"/>
      <c r="P438" s="307"/>
      <c r="Q438" s="307"/>
    </row>
    <row r="439" spans="15:17" ht="11.25">
      <c r="O439" s="307"/>
      <c r="P439" s="307"/>
      <c r="Q439" s="307"/>
    </row>
    <row r="440" spans="15:17" ht="11.25">
      <c r="O440" s="307"/>
      <c r="P440" s="307"/>
      <c r="Q440" s="307"/>
    </row>
    <row r="441" spans="15:17" ht="11.25">
      <c r="O441" s="307"/>
      <c r="P441" s="307"/>
      <c r="Q441" s="307"/>
    </row>
  </sheetData>
  <sheetProtection password="CDA6" sheet="1" objects="1" scenarios="1"/>
  <mergeCells count="9">
    <mergeCell ref="A191:Q191"/>
    <mergeCell ref="A192:Q192"/>
    <mergeCell ref="B8:C8"/>
    <mergeCell ref="B9:C9"/>
    <mergeCell ref="A169:Q169"/>
    <mergeCell ref="A170:Q170"/>
    <mergeCell ref="A171:Q171"/>
    <mergeCell ref="A172:Q172"/>
    <mergeCell ref="A173:Q173"/>
  </mergeCells>
  <printOptions/>
  <pageMargins left="0.75" right="0.75" top="0.33" bottom="0.81" header="0.22" footer="0.5"/>
  <pageSetup fitToHeight="4" fitToWidth="1" horizontalDpi="600" verticalDpi="600" orientation="landscape" scale="62" r:id="rId1"/>
  <headerFooter alignWithMargins="0">
    <oddFooter>&amp;LINTERIM FINAL - Fall 2011
Hawai'i DPH&amp;CPage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Hawaii Department of Health</dc:creator>
  <cp:keywords/>
  <dc:description/>
  <cp:lastModifiedBy>.</cp:lastModifiedBy>
  <cp:lastPrinted>2011-11-25T20:52:07Z</cp:lastPrinted>
  <dcterms:created xsi:type="dcterms:W3CDTF">2000-03-28T21:52:37Z</dcterms:created>
  <dcterms:modified xsi:type="dcterms:W3CDTF">2012-10-11T05:14:14Z</dcterms:modified>
  <cp:category/>
  <cp:version/>
  <cp:contentType/>
  <cp:contentStatus/>
</cp:coreProperties>
</file>